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li\Desktop\"/>
    </mc:Choice>
  </mc:AlternateContent>
  <bookViews>
    <workbookView xWindow="0" yWindow="0" windowWidth="20490" windowHeight="7665" tabRatio="690" activeTab="7"/>
  </bookViews>
  <sheets>
    <sheet name="ارفع" sheetId="7" r:id="rId1"/>
    <sheet name="ذوب" sheetId="6" r:id="rId2"/>
    <sheet name="فخوز" sheetId="5" r:id="rId3"/>
    <sheet name="هرمز" sheetId="4" r:id="rId4"/>
    <sheet name="کاوه" sheetId="3" r:id="rId5"/>
    <sheet name="فولاژ" sheetId="2" r:id="rId6"/>
    <sheet name="فولاد" sheetId="1" r:id="rId7"/>
    <sheet name="پنل" sheetId="12" r:id="rId8"/>
    <sheet name="دیده بان بازار" sheetId="11" r:id="rId9"/>
  </sheets>
  <definedNames>
    <definedName name="MarketWatchPlus.aspx?d_0" localSheetId="8" hidden="1">'دیده بان بازار'!$A$4:$W$1080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5" i="5" l="1"/>
  <c r="B247" i="5"/>
  <c r="B248" i="5"/>
  <c r="B24" i="12"/>
  <c r="B25" i="12"/>
  <c r="B26" i="12"/>
  <c r="B27" i="12"/>
  <c r="B28" i="12"/>
  <c r="B29" i="12"/>
  <c r="B244" i="1"/>
  <c r="B246" i="1"/>
  <c r="B252" i="1" l="1"/>
  <c r="B251" i="1"/>
  <c r="P62" i="1" s="1"/>
  <c r="J253" i="1"/>
  <c r="B253" i="1" s="1"/>
  <c r="J251" i="1"/>
  <c r="J252" i="1"/>
  <c r="B23" i="12" l="1"/>
  <c r="B14" i="12"/>
  <c r="B15" i="12"/>
  <c r="B16" i="12"/>
  <c r="B17" i="12"/>
  <c r="B18" i="12"/>
  <c r="B19" i="12"/>
  <c r="B13" i="12"/>
  <c r="H14" i="12"/>
  <c r="H15" i="12"/>
  <c r="H16" i="12"/>
  <c r="H17" i="12"/>
  <c r="H18" i="12"/>
  <c r="H19" i="12"/>
  <c r="H13" i="12"/>
  <c r="B265" i="1"/>
  <c r="B171" i="2"/>
  <c r="B187" i="3"/>
  <c r="B166" i="4"/>
  <c r="B259" i="5"/>
  <c r="B229" i="6"/>
  <c r="B204" i="7"/>
  <c r="B153" i="4" l="1"/>
  <c r="B155" i="4"/>
  <c r="C176" i="3"/>
  <c r="B178" i="3"/>
  <c r="B158" i="2"/>
  <c r="B162" i="2"/>
  <c r="C207" i="6"/>
  <c r="B209" i="6"/>
  <c r="C192" i="7"/>
  <c r="B194" i="7"/>
  <c r="C194" i="7" l="1"/>
  <c r="C209" i="6"/>
  <c r="C247" i="5"/>
  <c r="C155" i="4" l="1"/>
  <c r="C178" i="3"/>
  <c r="C162" i="2"/>
  <c r="C246" i="1"/>
  <c r="C275" i="7" l="1"/>
  <c r="D275" i="7"/>
  <c r="E275" i="7"/>
  <c r="F275" i="7"/>
  <c r="G275" i="7"/>
  <c r="B275" i="7"/>
  <c r="S275" i="7"/>
  <c r="T275" i="7"/>
  <c r="U275" i="7"/>
  <c r="V275" i="7"/>
  <c r="W275" i="7"/>
  <c r="X275" i="7"/>
  <c r="Y275" i="7"/>
  <c r="Z275" i="7"/>
  <c r="AA275" i="7"/>
  <c r="AB275" i="7"/>
  <c r="AC275" i="7"/>
  <c r="R275" i="7"/>
  <c r="P29" i="12" s="1"/>
  <c r="S310" i="6"/>
  <c r="T310" i="6"/>
  <c r="U310" i="6"/>
  <c r="V310" i="6"/>
  <c r="P28" i="12" s="1"/>
  <c r="W310" i="6"/>
  <c r="X310" i="6"/>
  <c r="Y310" i="6"/>
  <c r="Z310" i="6"/>
  <c r="AA310" i="6"/>
  <c r="AB310" i="6"/>
  <c r="AC310" i="6"/>
  <c r="R310" i="6"/>
  <c r="C310" i="6"/>
  <c r="D310" i="6"/>
  <c r="E310" i="6"/>
  <c r="F310" i="6"/>
  <c r="G310" i="6"/>
  <c r="B310" i="6"/>
  <c r="O28" i="12"/>
  <c r="C338" i="5"/>
  <c r="D338" i="5"/>
  <c r="E338" i="5"/>
  <c r="F338" i="5"/>
  <c r="O27" i="12" s="1"/>
  <c r="G338" i="5"/>
  <c r="B338" i="5"/>
  <c r="S337" i="5"/>
  <c r="T337" i="5"/>
  <c r="U337" i="5"/>
  <c r="V337" i="5"/>
  <c r="W337" i="5"/>
  <c r="X337" i="5"/>
  <c r="Y337" i="5"/>
  <c r="Z337" i="5"/>
  <c r="AA337" i="5"/>
  <c r="AB337" i="5"/>
  <c r="AC337" i="5"/>
  <c r="R337" i="5"/>
  <c r="P27" i="12" s="1"/>
  <c r="O26" i="12"/>
  <c r="P26" i="12"/>
  <c r="S260" i="3"/>
  <c r="T260" i="3"/>
  <c r="U260" i="3"/>
  <c r="V260" i="3"/>
  <c r="P25" i="12" s="1"/>
  <c r="W260" i="3"/>
  <c r="X260" i="3"/>
  <c r="Y260" i="3"/>
  <c r="Z260" i="3"/>
  <c r="AA260" i="3"/>
  <c r="AB260" i="3"/>
  <c r="AC260" i="3"/>
  <c r="R260" i="3"/>
  <c r="C259" i="3"/>
  <c r="O25" i="12" s="1"/>
  <c r="D259" i="3"/>
  <c r="E259" i="3"/>
  <c r="F259" i="3"/>
  <c r="G259" i="3"/>
  <c r="B259" i="3"/>
  <c r="M29" i="12"/>
  <c r="L29" i="12"/>
  <c r="S300" i="6"/>
  <c r="T300" i="6"/>
  <c r="U300" i="6"/>
  <c r="V300" i="6"/>
  <c r="W300" i="6"/>
  <c r="X300" i="6"/>
  <c r="Y300" i="6"/>
  <c r="Z300" i="6"/>
  <c r="AA300" i="6"/>
  <c r="AB300" i="6"/>
  <c r="AC300" i="6"/>
  <c r="R300" i="6"/>
  <c r="C300" i="6"/>
  <c r="D300" i="6"/>
  <c r="E300" i="6"/>
  <c r="F300" i="6"/>
  <c r="G300" i="6"/>
  <c r="B300" i="6"/>
  <c r="S328" i="5"/>
  <c r="T328" i="5"/>
  <c r="U328" i="5"/>
  <c r="V328" i="5"/>
  <c r="W328" i="5"/>
  <c r="X328" i="5"/>
  <c r="Y328" i="5"/>
  <c r="Z328" i="5"/>
  <c r="AA328" i="5"/>
  <c r="AB328" i="5"/>
  <c r="AC328" i="5"/>
  <c r="R328" i="5"/>
  <c r="M27" i="12"/>
  <c r="C329" i="5"/>
  <c r="D329" i="5"/>
  <c r="E329" i="5"/>
  <c r="F329" i="5"/>
  <c r="G329" i="5"/>
  <c r="B329" i="5"/>
  <c r="M26" i="12"/>
  <c r="L26" i="12"/>
  <c r="M25" i="12"/>
  <c r="L25" i="12"/>
  <c r="K29" i="12"/>
  <c r="L5" i="12" s="1"/>
  <c r="J29" i="12"/>
  <c r="K28" i="12"/>
  <c r="K5" i="12" s="1"/>
  <c r="J28" i="12"/>
  <c r="K27" i="12"/>
  <c r="J5" i="12" s="1"/>
  <c r="J27" i="12"/>
  <c r="K26" i="12"/>
  <c r="I5" i="12" s="1"/>
  <c r="J26" i="12"/>
  <c r="K25" i="12"/>
  <c r="H5" i="12" s="1"/>
  <c r="J25" i="12"/>
  <c r="H29" i="12"/>
  <c r="G29" i="12"/>
  <c r="I29" i="12" s="1"/>
  <c r="L4" i="12" s="1"/>
  <c r="H28" i="12"/>
  <c r="G28" i="12"/>
  <c r="H27" i="12"/>
  <c r="G27" i="12"/>
  <c r="I27" i="12" s="1"/>
  <c r="J4" i="12" s="1"/>
  <c r="H26" i="12"/>
  <c r="G26" i="12"/>
  <c r="H25" i="12"/>
  <c r="G25" i="12"/>
  <c r="I25" i="12" s="1"/>
  <c r="H4" i="12" s="1"/>
  <c r="H24" i="12"/>
  <c r="F29" i="12"/>
  <c r="L3" i="12" s="1"/>
  <c r="O275" i="7"/>
  <c r="N275" i="7"/>
  <c r="E29" i="12" s="1"/>
  <c r="F28" i="12"/>
  <c r="K3" i="12" s="1"/>
  <c r="E28" i="12"/>
  <c r="O338" i="5"/>
  <c r="N338" i="5"/>
  <c r="F27" i="12"/>
  <c r="J3" i="12" s="1"/>
  <c r="E27" i="12"/>
  <c r="F25" i="12"/>
  <c r="H3" i="12" s="1"/>
  <c r="O259" i="3"/>
  <c r="N259" i="3"/>
  <c r="E25" i="12"/>
  <c r="C25" i="12"/>
  <c r="D28" i="12"/>
  <c r="K2" i="12" s="1"/>
  <c r="C28" i="12"/>
  <c r="D27" i="12"/>
  <c r="J2" i="12" s="1"/>
  <c r="O329" i="5"/>
  <c r="N329" i="5"/>
  <c r="C27" i="12"/>
  <c r="O238" i="4"/>
  <c r="O233" i="4"/>
  <c r="D25" i="12"/>
  <c r="H2" i="12" s="1"/>
  <c r="L19" i="12"/>
  <c r="L18" i="12"/>
  <c r="L17" i="12"/>
  <c r="L16" i="12"/>
  <c r="L15" i="12"/>
  <c r="B167" i="4"/>
  <c r="B169" i="4" s="1"/>
  <c r="B165" i="4"/>
  <c r="B186" i="3"/>
  <c r="B188" i="3" s="1"/>
  <c r="B189" i="3" s="1"/>
  <c r="L14" i="12"/>
  <c r="H226" i="5"/>
  <c r="Q210" i="1"/>
  <c r="F19" i="12"/>
  <c r="K19" i="12" s="1"/>
  <c r="F18" i="12"/>
  <c r="K18" i="12" s="1"/>
  <c r="F17" i="12"/>
  <c r="K17" i="12" s="1"/>
  <c r="F16" i="12"/>
  <c r="F15" i="12"/>
  <c r="K15" i="12" s="1"/>
  <c r="B191" i="3" l="1"/>
  <c r="B190" i="3"/>
  <c r="B168" i="4"/>
  <c r="B170" i="4"/>
  <c r="I26" i="12"/>
  <c r="I4" i="12" s="1"/>
  <c r="N25" i="12"/>
  <c r="H6" i="12" s="1"/>
  <c r="Q27" i="12"/>
  <c r="J7" i="12" s="1"/>
  <c r="N26" i="12"/>
  <c r="I6" i="12" s="1"/>
  <c r="Q25" i="12"/>
  <c r="H7" i="12" s="1"/>
  <c r="Q28" i="12"/>
  <c r="K7" i="12" s="1"/>
  <c r="I28" i="12"/>
  <c r="K4" i="12" s="1"/>
  <c r="Q26" i="12"/>
  <c r="I7" i="12" s="1"/>
  <c r="N29" i="12"/>
  <c r="L6" i="12" s="1"/>
  <c r="O29" i="12"/>
  <c r="Q29" i="12" s="1"/>
  <c r="L7" i="12" s="1"/>
  <c r="M28" i="12"/>
  <c r="L28" i="12"/>
  <c r="L27" i="12"/>
  <c r="N27" i="12" s="1"/>
  <c r="J6" i="12" s="1"/>
  <c r="K16" i="12"/>
  <c r="N28" i="12" l="1"/>
  <c r="K6" i="12" s="1"/>
  <c r="H176" i="7"/>
  <c r="G176" i="7"/>
  <c r="F176" i="7"/>
  <c r="C176" i="7"/>
  <c r="D176" i="7"/>
  <c r="E176" i="7"/>
  <c r="B176" i="7"/>
  <c r="G214" i="6"/>
  <c r="C208" i="6"/>
  <c r="K226" i="6"/>
  <c r="C226" i="6"/>
  <c r="D226" i="6"/>
  <c r="E226" i="6"/>
  <c r="F226" i="6"/>
  <c r="G226" i="6"/>
  <c r="H226" i="6"/>
  <c r="B226" i="6"/>
  <c r="P50" i="6"/>
  <c r="P49" i="6"/>
  <c r="AJ56" i="6"/>
  <c r="AJ57" i="6"/>
  <c r="AJ58" i="6"/>
  <c r="AJ59" i="6"/>
  <c r="AJ55" i="6"/>
  <c r="AJ50" i="6"/>
  <c r="AJ51" i="6"/>
  <c r="AJ52" i="6"/>
  <c r="AJ53" i="6"/>
  <c r="AJ49" i="6"/>
  <c r="B211" i="6"/>
  <c r="B210" i="6"/>
  <c r="G210" i="6"/>
  <c r="F210" i="6"/>
  <c r="E210" i="6"/>
  <c r="L211" i="6"/>
  <c r="G211" i="6"/>
  <c r="E211" i="6"/>
  <c r="F211" i="6"/>
  <c r="Q157" i="7"/>
  <c r="P157" i="7" s="1"/>
  <c r="B203" i="7" l="1"/>
  <c r="B205" i="7" s="1"/>
  <c r="A221" i="7"/>
  <c r="P35" i="7"/>
  <c r="Q162" i="7"/>
  <c r="P162" i="7" s="1"/>
  <c r="Q161" i="7"/>
  <c r="P161" i="7" s="1"/>
  <c r="Q160" i="7"/>
  <c r="P160" i="7" s="1"/>
  <c r="Q158" i="7"/>
  <c r="P158" i="7" s="1"/>
  <c r="O285" i="7"/>
  <c r="O284" i="7"/>
  <c r="O279" i="7"/>
  <c r="O278" i="7"/>
  <c r="O274" i="7"/>
  <c r="O273" i="7"/>
  <c r="O268" i="7"/>
  <c r="O267" i="7"/>
  <c r="N285" i="7"/>
  <c r="N284" i="7"/>
  <c r="N279" i="7"/>
  <c r="N278" i="7"/>
  <c r="N274" i="7"/>
  <c r="N273" i="7"/>
  <c r="N268" i="7"/>
  <c r="N267" i="7"/>
  <c r="G195" i="7"/>
  <c r="F195" i="7"/>
  <c r="B195" i="7" s="1"/>
  <c r="E195" i="7"/>
  <c r="J47" i="7"/>
  <c r="J140" i="7"/>
  <c r="J141" i="7"/>
  <c r="J142" i="7"/>
  <c r="J143" i="7"/>
  <c r="J144" i="7"/>
  <c r="J145" i="7"/>
  <c r="J146" i="7"/>
  <c r="J147" i="7"/>
  <c r="J148" i="7"/>
  <c r="J149" i="7"/>
  <c r="K149" i="7" s="1"/>
  <c r="J139" i="7"/>
  <c r="J126" i="7"/>
  <c r="J127" i="7"/>
  <c r="J128" i="7"/>
  <c r="J129" i="7"/>
  <c r="J130" i="7"/>
  <c r="J131" i="7"/>
  <c r="J132" i="7"/>
  <c r="J133" i="7"/>
  <c r="J134" i="7"/>
  <c r="J125" i="7"/>
  <c r="J72" i="7"/>
  <c r="F75" i="7"/>
  <c r="D72" i="7"/>
  <c r="D77" i="7" s="1"/>
  <c r="E72" i="7"/>
  <c r="E78" i="7" s="1"/>
  <c r="F72" i="7"/>
  <c r="F79" i="7" s="1"/>
  <c r="G72" i="7"/>
  <c r="G76" i="7" s="1"/>
  <c r="J76" i="7" s="1"/>
  <c r="J65" i="7" s="1"/>
  <c r="H72" i="7"/>
  <c r="H77" i="7" s="1"/>
  <c r="B72" i="7"/>
  <c r="B80" i="7" s="1"/>
  <c r="C72" i="7"/>
  <c r="C76" i="7" s="1"/>
  <c r="C61" i="7"/>
  <c r="D61" i="7"/>
  <c r="E61" i="7"/>
  <c r="F61" i="7"/>
  <c r="G61" i="7"/>
  <c r="H61" i="7"/>
  <c r="B61" i="7"/>
  <c r="R3" i="7"/>
  <c r="R2" i="7"/>
  <c r="G193" i="7"/>
  <c r="F193" i="7"/>
  <c r="E193" i="7"/>
  <c r="B192" i="7"/>
  <c r="B193" i="7" s="1"/>
  <c r="P36" i="7" s="1"/>
  <c r="I191" i="7"/>
  <c r="H191" i="7"/>
  <c r="G191" i="7"/>
  <c r="F191" i="7"/>
  <c r="E191" i="7"/>
  <c r="D191" i="7"/>
  <c r="B191" i="7" s="1"/>
  <c r="Q3" i="7" s="1"/>
  <c r="P3" i="7" s="1"/>
  <c r="H175" i="7"/>
  <c r="G175" i="7"/>
  <c r="F175" i="7"/>
  <c r="E175" i="7"/>
  <c r="D175" i="7"/>
  <c r="C175" i="7"/>
  <c r="B175" i="7"/>
  <c r="N172" i="7"/>
  <c r="M172" i="7"/>
  <c r="L172" i="7"/>
  <c r="K172" i="7"/>
  <c r="J172" i="7"/>
  <c r="I172" i="7"/>
  <c r="H172" i="7"/>
  <c r="G172" i="7"/>
  <c r="F172" i="7"/>
  <c r="E172" i="7"/>
  <c r="D172" i="7"/>
  <c r="C172" i="7"/>
  <c r="B172" i="7"/>
  <c r="N171" i="7"/>
  <c r="M171" i="7"/>
  <c r="L171" i="7"/>
  <c r="K171" i="7"/>
  <c r="J171" i="7"/>
  <c r="I171" i="7"/>
  <c r="H171" i="7"/>
  <c r="G171" i="7"/>
  <c r="F171" i="7"/>
  <c r="E171" i="7"/>
  <c r="D171" i="7"/>
  <c r="C171" i="7"/>
  <c r="B171" i="7"/>
  <c r="N170" i="7"/>
  <c r="M170" i="7"/>
  <c r="L170" i="7"/>
  <c r="K170" i="7"/>
  <c r="J170" i="7"/>
  <c r="I170" i="7"/>
  <c r="H170" i="7"/>
  <c r="G170" i="7"/>
  <c r="F170" i="7"/>
  <c r="E170" i="7"/>
  <c r="D170" i="7"/>
  <c r="C170" i="7"/>
  <c r="B170" i="7"/>
  <c r="G40" i="7"/>
  <c r="H40" i="7"/>
  <c r="I40" i="7"/>
  <c r="J40" i="7"/>
  <c r="K40" i="7"/>
  <c r="L40" i="7"/>
  <c r="M40" i="7"/>
  <c r="N40" i="7"/>
  <c r="Q40" i="7" s="1"/>
  <c r="B207" i="6"/>
  <c r="B230" i="6"/>
  <c r="B233" i="6" s="1"/>
  <c r="B245" i="5"/>
  <c r="G206" i="6"/>
  <c r="F206" i="6"/>
  <c r="E206" i="6"/>
  <c r="B228" i="6"/>
  <c r="H186" i="6"/>
  <c r="G186" i="6"/>
  <c r="F186" i="6"/>
  <c r="C186" i="6"/>
  <c r="D186" i="6"/>
  <c r="E186" i="6"/>
  <c r="B186" i="6"/>
  <c r="C185" i="6"/>
  <c r="D185" i="6"/>
  <c r="E185" i="6"/>
  <c r="B185" i="6"/>
  <c r="H185" i="6"/>
  <c r="G185" i="6"/>
  <c r="F185" i="6"/>
  <c r="O324" i="6"/>
  <c r="O325" i="6"/>
  <c r="O326" i="6"/>
  <c r="O327" i="6"/>
  <c r="O330" i="6" s="1"/>
  <c r="O328" i="6"/>
  <c r="O329" i="6"/>
  <c r="O323" i="6"/>
  <c r="O319" i="6"/>
  <c r="O314" i="6"/>
  <c r="O315" i="6"/>
  <c r="O316" i="6"/>
  <c r="O317" i="6"/>
  <c r="O318" i="6"/>
  <c r="O313" i="6"/>
  <c r="O309" i="6"/>
  <c r="O304" i="6"/>
  <c r="O305" i="6"/>
  <c r="O306" i="6"/>
  <c r="O307" i="6"/>
  <c r="O308" i="6"/>
  <c r="O303" i="6"/>
  <c r="O310" i="6" s="1"/>
  <c r="O294" i="6"/>
  <c r="O295" i="6"/>
  <c r="O296" i="6"/>
  <c r="O297" i="6"/>
  <c r="O298" i="6"/>
  <c r="O299" i="6"/>
  <c r="O293" i="6"/>
  <c r="N324" i="6"/>
  <c r="N330" i="6" s="1"/>
  <c r="N325" i="6"/>
  <c r="N326" i="6"/>
  <c r="N327" i="6"/>
  <c r="N328" i="6"/>
  <c r="N329" i="6"/>
  <c r="N323" i="6"/>
  <c r="N314" i="6"/>
  <c r="N315" i="6"/>
  <c r="N316" i="6"/>
  <c r="N317" i="6"/>
  <c r="N318" i="6"/>
  <c r="N313" i="6"/>
  <c r="N304" i="6"/>
  <c r="N305" i="6"/>
  <c r="N306" i="6"/>
  <c r="N310" i="6" s="1"/>
  <c r="N307" i="6"/>
  <c r="N308" i="6"/>
  <c r="N303" i="6"/>
  <c r="N294" i="6"/>
  <c r="N295" i="6"/>
  <c r="N296" i="6"/>
  <c r="N297" i="6"/>
  <c r="N298" i="6"/>
  <c r="N293" i="6"/>
  <c r="H139" i="4"/>
  <c r="G139" i="4"/>
  <c r="F139" i="4"/>
  <c r="C139" i="4"/>
  <c r="D139" i="4"/>
  <c r="E139" i="4"/>
  <c r="B139" i="4"/>
  <c r="H157" i="3"/>
  <c r="G157" i="3"/>
  <c r="F157" i="3"/>
  <c r="C157" i="3"/>
  <c r="D157" i="3"/>
  <c r="E157" i="3"/>
  <c r="B157" i="3"/>
  <c r="B176" i="3"/>
  <c r="P53" i="3"/>
  <c r="H156" i="3"/>
  <c r="G156" i="3"/>
  <c r="F156" i="3"/>
  <c r="C156" i="3"/>
  <c r="D156" i="3"/>
  <c r="E156" i="3"/>
  <c r="B156" i="3"/>
  <c r="B232" i="6" l="1"/>
  <c r="B231" i="6"/>
  <c r="D29" i="12"/>
  <c r="L2" i="12" s="1"/>
  <c r="C29" i="12"/>
  <c r="H79" i="7"/>
  <c r="D78" i="7"/>
  <c r="C81" i="7"/>
  <c r="C77" i="7"/>
  <c r="F80" i="7"/>
  <c r="B207" i="7"/>
  <c r="B208" i="7"/>
  <c r="B206" i="7"/>
  <c r="E76" i="7"/>
  <c r="H75" i="7"/>
  <c r="E80" i="7"/>
  <c r="E79" i="7"/>
  <c r="D76" i="7"/>
  <c r="J135" i="7"/>
  <c r="K135" i="7" s="1"/>
  <c r="B75" i="7"/>
  <c r="D80" i="7"/>
  <c r="D79" i="7"/>
  <c r="H76" i="7"/>
  <c r="R4" i="7"/>
  <c r="D75" i="7"/>
  <c r="H80" i="7"/>
  <c r="H78" i="7"/>
  <c r="F76" i="7"/>
  <c r="G81" i="7"/>
  <c r="J81" i="7" s="1"/>
  <c r="J70" i="7" s="1"/>
  <c r="G77" i="7"/>
  <c r="J77" i="7" s="1"/>
  <c r="J66" i="7" s="1"/>
  <c r="J61" i="7"/>
  <c r="C75" i="7"/>
  <c r="G75" i="7"/>
  <c r="J75" i="7" s="1"/>
  <c r="J64" i="7" s="1"/>
  <c r="F81" i="7"/>
  <c r="G78" i="7"/>
  <c r="J78" i="7" s="1"/>
  <c r="J67" i="7" s="1"/>
  <c r="C78" i="7"/>
  <c r="F77" i="7"/>
  <c r="E81" i="7"/>
  <c r="G79" i="7"/>
  <c r="J79" i="7" s="1"/>
  <c r="J68" i="7" s="1"/>
  <c r="C79" i="7"/>
  <c r="F78" i="7"/>
  <c r="E77" i="7"/>
  <c r="P156" i="7"/>
  <c r="Q156" i="7" s="1"/>
  <c r="E75" i="7"/>
  <c r="H81" i="7"/>
  <c r="D81" i="7"/>
  <c r="G80" i="7"/>
  <c r="J80" i="7" s="1"/>
  <c r="J69" i="7" s="1"/>
  <c r="C80" i="7"/>
  <c r="N286" i="7"/>
  <c r="O286" i="7"/>
  <c r="Q11" i="7"/>
  <c r="C193" i="7"/>
  <c r="N300" i="6"/>
  <c r="O300" i="6"/>
  <c r="H138" i="4"/>
  <c r="G138" i="4"/>
  <c r="F138" i="4"/>
  <c r="C138" i="4"/>
  <c r="D138" i="4"/>
  <c r="E138" i="4"/>
  <c r="B138" i="4"/>
  <c r="B258" i="5"/>
  <c r="B260" i="5" s="1"/>
  <c r="G226" i="5"/>
  <c r="F226" i="5"/>
  <c r="C226" i="5"/>
  <c r="D226" i="5"/>
  <c r="E226" i="5"/>
  <c r="B226" i="5"/>
  <c r="H225" i="5"/>
  <c r="G225" i="5"/>
  <c r="F225" i="5"/>
  <c r="C225" i="5"/>
  <c r="D225" i="5"/>
  <c r="E225" i="5"/>
  <c r="B225" i="5"/>
  <c r="B253" i="5"/>
  <c r="P86" i="5" s="1"/>
  <c r="F253" i="5"/>
  <c r="E253" i="5"/>
  <c r="E252" i="5"/>
  <c r="B252" i="5" s="1"/>
  <c r="P83" i="5" s="1"/>
  <c r="F252" i="5"/>
  <c r="E251" i="5"/>
  <c r="B251" i="5" s="1"/>
  <c r="P84" i="5" s="1"/>
  <c r="F251" i="5"/>
  <c r="O351" i="5"/>
  <c r="O352" i="5"/>
  <c r="O353" i="5"/>
  <c r="O354" i="5"/>
  <c r="O355" i="5"/>
  <c r="O350" i="5"/>
  <c r="O342" i="5"/>
  <c r="O343" i="5"/>
  <c r="O344" i="5"/>
  <c r="O345" i="5"/>
  <c r="O341" i="5"/>
  <c r="O333" i="5"/>
  <c r="O334" i="5"/>
  <c r="O335" i="5"/>
  <c r="O336" i="5"/>
  <c r="O337" i="5"/>
  <c r="O332" i="5"/>
  <c r="N351" i="5"/>
  <c r="N352" i="5"/>
  <c r="N353" i="5"/>
  <c r="N354" i="5"/>
  <c r="N355" i="5"/>
  <c r="N350" i="5"/>
  <c r="N342" i="5"/>
  <c r="N343" i="5"/>
  <c r="N344" i="5"/>
  <c r="N345" i="5"/>
  <c r="N346" i="5"/>
  <c r="N341" i="5"/>
  <c r="N326" i="5"/>
  <c r="N327" i="5"/>
  <c r="N328" i="5"/>
  <c r="N325" i="5"/>
  <c r="O326" i="5"/>
  <c r="O327" i="5"/>
  <c r="O328" i="5"/>
  <c r="O325" i="5"/>
  <c r="R10" i="5"/>
  <c r="G10" i="5"/>
  <c r="H10" i="5"/>
  <c r="I10" i="5"/>
  <c r="J10" i="5"/>
  <c r="K10" i="5"/>
  <c r="L10" i="5"/>
  <c r="M10" i="5"/>
  <c r="N10" i="5"/>
  <c r="C9" i="5"/>
  <c r="D9" i="5"/>
  <c r="E9" i="5"/>
  <c r="F9" i="5"/>
  <c r="G9" i="5"/>
  <c r="H9" i="5"/>
  <c r="I9" i="5"/>
  <c r="J9" i="5"/>
  <c r="K9" i="5"/>
  <c r="L9" i="5"/>
  <c r="M9" i="5"/>
  <c r="N9" i="5"/>
  <c r="B9" i="5"/>
  <c r="G120" i="5"/>
  <c r="H120" i="5"/>
  <c r="I120" i="5"/>
  <c r="J120" i="5"/>
  <c r="K120" i="5"/>
  <c r="F120" i="5"/>
  <c r="B28" i="5"/>
  <c r="C28" i="5"/>
  <c r="D28" i="5"/>
  <c r="J48" i="7" l="1"/>
  <c r="B261" i="5"/>
  <c r="B262" i="5"/>
  <c r="B263" i="5"/>
  <c r="N356" i="5"/>
  <c r="O356" i="5"/>
  <c r="N8" i="5"/>
  <c r="J8" i="5"/>
  <c r="M8" i="5"/>
  <c r="I8" i="5"/>
  <c r="L8" i="5"/>
  <c r="H8" i="5"/>
  <c r="M120" i="5"/>
  <c r="K8" i="5"/>
  <c r="G8" i="5"/>
  <c r="F250" i="5"/>
  <c r="E250" i="5"/>
  <c r="C249" i="5"/>
  <c r="E246" i="5"/>
  <c r="F246" i="5"/>
  <c r="O239" i="5"/>
  <c r="N239" i="5"/>
  <c r="S239" i="5"/>
  <c r="R239" i="5"/>
  <c r="E244" i="5" l="1"/>
  <c r="R16" i="5"/>
  <c r="Q16" i="5" s="1"/>
  <c r="F244" i="5"/>
  <c r="R9" i="5"/>
  <c r="R14" i="5"/>
  <c r="R13" i="5"/>
  <c r="Q8" i="5"/>
  <c r="C250" i="5"/>
  <c r="B249" i="5"/>
  <c r="B250" i="5" s="1"/>
  <c r="P88" i="5" s="1"/>
  <c r="C246" i="5"/>
  <c r="F154" i="4"/>
  <c r="I121" i="4" l="1"/>
  <c r="O247" i="4"/>
  <c r="O248" i="4" s="1"/>
  <c r="O246" i="4"/>
  <c r="O242" i="4"/>
  <c r="O241" i="4"/>
  <c r="O237" i="4"/>
  <c r="O236" i="4"/>
  <c r="O232" i="4"/>
  <c r="O231" i="4"/>
  <c r="N247" i="4"/>
  <c r="N246" i="4"/>
  <c r="N242" i="4"/>
  <c r="N241" i="4"/>
  <c r="N237" i="4"/>
  <c r="N236" i="4"/>
  <c r="N238" i="4" s="1"/>
  <c r="N232" i="4"/>
  <c r="N231" i="4"/>
  <c r="N233" i="4" s="1"/>
  <c r="C153" i="4"/>
  <c r="E152" i="4"/>
  <c r="N151" i="2"/>
  <c r="E157" i="2"/>
  <c r="F159" i="2"/>
  <c r="E159" i="2"/>
  <c r="E245" i="1"/>
  <c r="F245" i="1"/>
  <c r="G175" i="3"/>
  <c r="F175" i="3"/>
  <c r="E26" i="12" l="1"/>
  <c r="F26" i="12"/>
  <c r="I3" i="12" s="1"/>
  <c r="C26" i="12"/>
  <c r="D26" i="12"/>
  <c r="I2" i="12" s="1"/>
  <c r="N248" i="4"/>
  <c r="C154" i="4"/>
  <c r="D87" i="3"/>
  <c r="E87" i="3"/>
  <c r="I87" i="3" s="1"/>
  <c r="F87" i="3"/>
  <c r="G87" i="3"/>
  <c r="B87" i="3"/>
  <c r="C56" i="2"/>
  <c r="I56" i="2" s="1"/>
  <c r="D56" i="2"/>
  <c r="E56" i="2"/>
  <c r="F56" i="2"/>
  <c r="G56" i="2"/>
  <c r="B56" i="2"/>
  <c r="C97" i="1"/>
  <c r="D97" i="1"/>
  <c r="E97" i="1"/>
  <c r="F97" i="1"/>
  <c r="I97" i="1" s="1"/>
  <c r="J97" i="1" s="1"/>
  <c r="G97" i="1"/>
  <c r="B97" i="1"/>
  <c r="S65" i="3"/>
  <c r="S64" i="3"/>
  <c r="S63" i="3"/>
  <c r="S62" i="3"/>
  <c r="S61" i="3"/>
  <c r="R65" i="3"/>
  <c r="R63" i="3"/>
  <c r="R61" i="3"/>
  <c r="R62" i="3"/>
  <c r="R49" i="3"/>
  <c r="R48" i="3"/>
  <c r="R47" i="3"/>
  <c r="R46" i="3"/>
  <c r="R45" i="3"/>
  <c r="R32" i="3"/>
  <c r="R31" i="3"/>
  <c r="R30" i="3"/>
  <c r="R29" i="3"/>
  <c r="R9" i="3"/>
  <c r="P54" i="3"/>
  <c r="P55" i="3"/>
  <c r="P57" i="3"/>
  <c r="N170" i="3"/>
  <c r="E175" i="3" s="1"/>
  <c r="R170" i="3"/>
  <c r="S170" i="3"/>
  <c r="R33" i="3" s="1"/>
  <c r="O270" i="3"/>
  <c r="O271" i="3"/>
  <c r="O272" i="3"/>
  <c r="O269" i="3"/>
  <c r="O273" i="3" s="1"/>
  <c r="O263" i="3"/>
  <c r="O264" i="3"/>
  <c r="O265" i="3"/>
  <c r="O262" i="3"/>
  <c r="O256" i="3"/>
  <c r="O257" i="3"/>
  <c r="O258" i="3"/>
  <c r="O255" i="3"/>
  <c r="N270" i="3"/>
  <c r="N271" i="3"/>
  <c r="N272" i="3"/>
  <c r="N269" i="3"/>
  <c r="N273" i="3" s="1"/>
  <c r="N263" i="3"/>
  <c r="N264" i="3"/>
  <c r="N265" i="3"/>
  <c r="N262" i="3"/>
  <c r="N256" i="3"/>
  <c r="N257" i="3"/>
  <c r="N258" i="3"/>
  <c r="N255" i="3"/>
  <c r="N251" i="3"/>
  <c r="N250" i="3"/>
  <c r="C177" i="3" l="1"/>
  <c r="J103" i="2"/>
  <c r="J104" i="2"/>
  <c r="J105" i="2"/>
  <c r="J106" i="2"/>
  <c r="J107" i="2"/>
  <c r="J108" i="2"/>
  <c r="J109" i="2"/>
  <c r="J110" i="2"/>
  <c r="J111" i="2"/>
  <c r="J102" i="2"/>
  <c r="J90" i="2"/>
  <c r="J91" i="2"/>
  <c r="J92" i="2"/>
  <c r="J93" i="2"/>
  <c r="J94" i="2"/>
  <c r="J95" i="2"/>
  <c r="J96" i="2"/>
  <c r="J97" i="2"/>
  <c r="J98" i="2"/>
  <c r="J89" i="2"/>
  <c r="B170" i="2"/>
  <c r="B172" i="2" s="1"/>
  <c r="G24" i="12"/>
  <c r="I24" i="12" s="1"/>
  <c r="H139" i="2"/>
  <c r="G139" i="2"/>
  <c r="F139" i="2"/>
  <c r="C139" i="2"/>
  <c r="D139" i="2"/>
  <c r="E139" i="2"/>
  <c r="B139" i="2"/>
  <c r="H138" i="2"/>
  <c r="G138" i="2"/>
  <c r="F138" i="2"/>
  <c r="C138" i="2"/>
  <c r="D138" i="2"/>
  <c r="E138" i="2"/>
  <c r="B138" i="2"/>
  <c r="F14" i="12"/>
  <c r="W208" i="1"/>
  <c r="X208" i="1" s="1"/>
  <c r="W207" i="1"/>
  <c r="X207" i="1" s="1"/>
  <c r="W206" i="1"/>
  <c r="X206" i="1" s="1"/>
  <c r="X205" i="1"/>
  <c r="W205" i="1"/>
  <c r="W204" i="1"/>
  <c r="X204" i="1" s="1"/>
  <c r="W203" i="1"/>
  <c r="X203" i="1" s="1"/>
  <c r="Q206" i="1"/>
  <c r="R64" i="1"/>
  <c r="R63" i="1"/>
  <c r="R62" i="1"/>
  <c r="B175" i="2" l="1"/>
  <c r="B173" i="2"/>
  <c r="B174" i="2"/>
  <c r="X209" i="1"/>
  <c r="R210" i="1" s="1"/>
  <c r="K14" i="12"/>
  <c r="B263" i="1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R250" i="3"/>
  <c r="R251" i="3"/>
  <c r="B266" i="1" l="1"/>
  <c r="B268" i="1" s="1"/>
  <c r="L13" i="12"/>
  <c r="O250" i="3"/>
  <c r="O251" i="3"/>
  <c r="B269" i="1"/>
  <c r="P34" i="2"/>
  <c r="F161" i="2"/>
  <c r="E161" i="2"/>
  <c r="B267" i="1" l="1"/>
  <c r="C158" i="2"/>
  <c r="S261" i="2"/>
  <c r="T261" i="2"/>
  <c r="U261" i="2"/>
  <c r="V261" i="2"/>
  <c r="W261" i="2"/>
  <c r="X261" i="2"/>
  <c r="Y261" i="2"/>
  <c r="Z261" i="2"/>
  <c r="AA261" i="2"/>
  <c r="AB261" i="2"/>
  <c r="AC261" i="2"/>
  <c r="R261" i="2"/>
  <c r="S250" i="2"/>
  <c r="T250" i="2"/>
  <c r="U250" i="2"/>
  <c r="V250" i="2"/>
  <c r="W250" i="2"/>
  <c r="X250" i="2"/>
  <c r="Y250" i="2"/>
  <c r="Z250" i="2"/>
  <c r="AA250" i="2"/>
  <c r="AB250" i="2"/>
  <c r="AC250" i="2"/>
  <c r="R250" i="2"/>
  <c r="S244" i="2"/>
  <c r="T244" i="2"/>
  <c r="U244" i="2"/>
  <c r="V244" i="2"/>
  <c r="W244" i="2"/>
  <c r="X244" i="2"/>
  <c r="Y244" i="2"/>
  <c r="Z244" i="2"/>
  <c r="AA244" i="2"/>
  <c r="AB244" i="2"/>
  <c r="AC244" i="2"/>
  <c r="R244" i="2"/>
  <c r="C261" i="2"/>
  <c r="D261" i="2"/>
  <c r="E261" i="2"/>
  <c r="F261" i="2"/>
  <c r="G261" i="2"/>
  <c r="H261" i="2"/>
  <c r="I261" i="2"/>
  <c r="J261" i="2"/>
  <c r="K261" i="2"/>
  <c r="L261" i="2"/>
  <c r="M261" i="2"/>
  <c r="B261" i="2"/>
  <c r="C250" i="2"/>
  <c r="D250" i="2"/>
  <c r="E250" i="2"/>
  <c r="F250" i="2"/>
  <c r="G250" i="2"/>
  <c r="B250" i="2"/>
  <c r="C244" i="2"/>
  <c r="D244" i="2"/>
  <c r="E244" i="2"/>
  <c r="F244" i="2"/>
  <c r="G244" i="2"/>
  <c r="B244" i="2"/>
  <c r="AD260" i="2"/>
  <c r="AD261" i="2" s="1"/>
  <c r="O260" i="2"/>
  <c r="N260" i="2"/>
  <c r="AD259" i="2"/>
  <c r="O259" i="2"/>
  <c r="N259" i="2"/>
  <c r="AD258" i="2"/>
  <c r="O258" i="2"/>
  <c r="N258" i="2"/>
  <c r="O255" i="2"/>
  <c r="N255" i="2"/>
  <c r="O254" i="2"/>
  <c r="N254" i="2"/>
  <c r="O253" i="2"/>
  <c r="N253" i="2"/>
  <c r="AD249" i="2"/>
  <c r="O249" i="2"/>
  <c r="N249" i="2"/>
  <c r="AD248" i="2"/>
  <c r="O248" i="2"/>
  <c r="N248" i="2"/>
  <c r="AD247" i="2"/>
  <c r="O247" i="2"/>
  <c r="N247" i="2"/>
  <c r="AD243" i="2"/>
  <c r="O243" i="2"/>
  <c r="N243" i="2"/>
  <c r="AD242" i="2"/>
  <c r="O242" i="2"/>
  <c r="N242" i="2"/>
  <c r="AD241" i="2"/>
  <c r="O241" i="2"/>
  <c r="N241" i="2"/>
  <c r="L24" i="12" l="1"/>
  <c r="M24" i="12"/>
  <c r="P24" i="12"/>
  <c r="G4" i="12"/>
  <c r="O244" i="2"/>
  <c r="O24" i="12"/>
  <c r="O261" i="2"/>
  <c r="O250" i="2"/>
  <c r="B160" i="2"/>
  <c r="B161" i="2" s="1"/>
  <c r="P32" i="2" s="1"/>
  <c r="P35" i="2" s="1"/>
  <c r="C159" i="2"/>
  <c r="N244" i="2"/>
  <c r="N261" i="2"/>
  <c r="N250" i="2"/>
  <c r="AD244" i="2"/>
  <c r="AD250" i="2"/>
  <c r="Q24" i="12" l="1"/>
  <c r="G7" i="12" s="1"/>
  <c r="F24" i="12"/>
  <c r="G3" i="12" s="1"/>
  <c r="E24" i="12"/>
  <c r="K24" i="12"/>
  <c r="G5" i="12" s="1"/>
  <c r="J24" i="12"/>
  <c r="N24" i="12"/>
  <c r="G6" i="12" s="1"/>
  <c r="D24" i="12"/>
  <c r="G2" i="12" s="1"/>
  <c r="C24" i="12"/>
  <c r="B9" i="12"/>
  <c r="B8" i="12"/>
  <c r="B7" i="12"/>
  <c r="B6" i="12"/>
  <c r="G23" i="12"/>
  <c r="B164" i="2" l="1"/>
  <c r="C199" i="7"/>
  <c r="B199" i="7" s="1"/>
  <c r="J107" i="7" s="1"/>
  <c r="J86" i="7" s="1"/>
  <c r="C197" i="7"/>
  <c r="B197" i="7" s="1"/>
  <c r="C213" i="6"/>
  <c r="B213" i="6" s="1"/>
  <c r="C217" i="6"/>
  <c r="C214" i="6"/>
  <c r="C198" i="7"/>
  <c r="B198" i="7" s="1"/>
  <c r="J108" i="7" s="1"/>
  <c r="J87" i="7" s="1"/>
  <c r="C157" i="4"/>
  <c r="B157" i="4" s="1"/>
  <c r="C180" i="3"/>
  <c r="B180" i="3" s="1"/>
  <c r="B163" i="2"/>
  <c r="C247" i="1"/>
  <c r="B247" i="1" s="1"/>
  <c r="C248" i="5"/>
  <c r="C248" i="1"/>
  <c r="B248" i="1" s="1"/>
  <c r="C158" i="4"/>
  <c r="B158" i="4" s="1"/>
  <c r="C179" i="3"/>
  <c r="B179" i="3" s="1"/>
  <c r="C249" i="1"/>
  <c r="B249" i="1" s="1"/>
  <c r="C244" i="1"/>
  <c r="B245" i="1" l="1"/>
  <c r="C245" i="1"/>
  <c r="F13" i="12"/>
  <c r="H225" i="1"/>
  <c r="G225" i="1"/>
  <c r="F225" i="1"/>
  <c r="C225" i="1"/>
  <c r="D225" i="1"/>
  <c r="E225" i="1"/>
  <c r="B225" i="1"/>
  <c r="H224" i="1"/>
  <c r="G224" i="1"/>
  <c r="F224" i="1"/>
  <c r="C224" i="1"/>
  <c r="D224" i="1"/>
  <c r="E224" i="1"/>
  <c r="B224" i="1"/>
  <c r="K13" i="12" l="1"/>
  <c r="R74" i="1"/>
  <c r="Q74" i="1" s="1"/>
  <c r="P74" i="1" s="1"/>
  <c r="R72" i="1"/>
  <c r="Q72" i="1" s="1"/>
  <c r="P72" i="1" s="1"/>
  <c r="R73" i="1"/>
  <c r="Q73" i="1" s="1"/>
  <c r="P73" i="1" s="1"/>
  <c r="P65" i="1"/>
  <c r="O350" i="1"/>
  <c r="O351" i="1"/>
  <c r="O352" i="1"/>
  <c r="O349" i="1"/>
  <c r="O344" i="1"/>
  <c r="O345" i="1"/>
  <c r="O346" i="1"/>
  <c r="O343" i="1"/>
  <c r="O337" i="1"/>
  <c r="O338" i="1"/>
  <c r="O339" i="1"/>
  <c r="O336" i="1"/>
  <c r="O330" i="1"/>
  <c r="O331" i="1"/>
  <c r="O332" i="1"/>
  <c r="O329" i="1"/>
  <c r="AD350" i="1"/>
  <c r="AD351" i="1"/>
  <c r="AD352" i="1"/>
  <c r="AD349" i="1"/>
  <c r="S353" i="1"/>
  <c r="T353" i="1"/>
  <c r="U353" i="1"/>
  <c r="V353" i="1"/>
  <c r="W353" i="1"/>
  <c r="X353" i="1"/>
  <c r="Y353" i="1"/>
  <c r="Z353" i="1"/>
  <c r="AA353" i="1"/>
  <c r="AB353" i="1"/>
  <c r="AC353" i="1"/>
  <c r="R353" i="1"/>
  <c r="AD344" i="1"/>
  <c r="AD345" i="1"/>
  <c r="AD346" i="1"/>
  <c r="AD343" i="1"/>
  <c r="H23" i="12" s="1"/>
  <c r="I23" i="12" s="1"/>
  <c r="AD337" i="1"/>
  <c r="AD338" i="1"/>
  <c r="AD339" i="1"/>
  <c r="AD336" i="1"/>
  <c r="S340" i="1"/>
  <c r="T340" i="1"/>
  <c r="U340" i="1"/>
  <c r="V340" i="1"/>
  <c r="W340" i="1"/>
  <c r="X340" i="1"/>
  <c r="Y340" i="1"/>
  <c r="Z340" i="1"/>
  <c r="AA340" i="1"/>
  <c r="AB340" i="1"/>
  <c r="AC340" i="1"/>
  <c r="R340" i="1"/>
  <c r="AD330" i="1"/>
  <c r="AD331" i="1"/>
  <c r="AD332" i="1"/>
  <c r="AD329" i="1"/>
  <c r="S333" i="1"/>
  <c r="T333" i="1"/>
  <c r="U333" i="1"/>
  <c r="V333" i="1"/>
  <c r="W333" i="1"/>
  <c r="X333" i="1"/>
  <c r="Y333" i="1"/>
  <c r="Z333" i="1"/>
  <c r="AA333" i="1"/>
  <c r="AB333" i="1"/>
  <c r="AC333" i="1"/>
  <c r="R333" i="1"/>
  <c r="C353" i="1"/>
  <c r="D353" i="1"/>
  <c r="E353" i="1"/>
  <c r="F353" i="1"/>
  <c r="G353" i="1"/>
  <c r="B353" i="1"/>
  <c r="N350" i="1"/>
  <c r="N351" i="1"/>
  <c r="N352" i="1"/>
  <c r="N349" i="1"/>
  <c r="N344" i="1"/>
  <c r="N345" i="1"/>
  <c r="N346" i="1"/>
  <c r="N343" i="1"/>
  <c r="N337" i="1"/>
  <c r="N338" i="1"/>
  <c r="N339" i="1"/>
  <c r="N336" i="1"/>
  <c r="C340" i="1"/>
  <c r="D340" i="1"/>
  <c r="E340" i="1"/>
  <c r="F340" i="1"/>
  <c r="G340" i="1"/>
  <c r="B340" i="1"/>
  <c r="N330" i="1"/>
  <c r="N331" i="1"/>
  <c r="N332" i="1"/>
  <c r="N329" i="1"/>
  <c r="C333" i="1"/>
  <c r="D333" i="1"/>
  <c r="E333" i="1"/>
  <c r="F333" i="1"/>
  <c r="G333" i="1"/>
  <c r="B333" i="1"/>
  <c r="P64" i="1" l="1"/>
  <c r="P63" i="1"/>
  <c r="AD333" i="1"/>
  <c r="O23" i="12"/>
  <c r="M23" i="12"/>
  <c r="P23" i="12"/>
  <c r="L23" i="12"/>
  <c r="F4" i="12"/>
  <c r="O340" i="1"/>
  <c r="O353" i="1"/>
  <c r="N340" i="1"/>
  <c r="N353" i="1"/>
  <c r="J23" i="12" s="1"/>
  <c r="O333" i="1"/>
  <c r="N333" i="1"/>
  <c r="C23" i="12" s="1"/>
  <c r="AD340" i="1"/>
  <c r="AD353" i="1"/>
  <c r="F23" i="12" l="1"/>
  <c r="F3" i="12" s="1"/>
  <c r="N23" i="12"/>
  <c r="F6" i="12" s="1"/>
  <c r="Q23" i="12"/>
  <c r="F7" i="12" s="1"/>
  <c r="D23" i="12"/>
  <c r="F2" i="12" s="1"/>
  <c r="K23" i="12"/>
  <c r="F5" i="12" s="1"/>
  <c r="E23" i="12"/>
  <c r="B4" i="7"/>
  <c r="C4" i="7"/>
  <c r="D4" i="7"/>
  <c r="E4" i="7"/>
  <c r="F4" i="7"/>
  <c r="G4" i="7"/>
  <c r="H4" i="7"/>
  <c r="I4" i="7"/>
  <c r="J4" i="7"/>
  <c r="K4" i="7"/>
  <c r="L4" i="7"/>
  <c r="M4" i="7"/>
  <c r="N4" i="7"/>
  <c r="C8" i="7"/>
  <c r="C11" i="7" s="1"/>
  <c r="F8" i="7"/>
  <c r="F11" i="7" s="1"/>
  <c r="B11" i="7"/>
  <c r="B15" i="7" s="1"/>
  <c r="D11" i="7"/>
  <c r="D17" i="7" s="1"/>
  <c r="E11" i="7"/>
  <c r="E16" i="7" s="1"/>
  <c r="G11" i="7"/>
  <c r="G14" i="7" s="1"/>
  <c r="H11" i="7"/>
  <c r="H17" i="7" s="1"/>
  <c r="I11" i="7"/>
  <c r="I16" i="7" s="1"/>
  <c r="J11" i="7"/>
  <c r="J15" i="7" s="1"/>
  <c r="K11" i="7"/>
  <c r="K14" i="7" s="1"/>
  <c r="L11" i="7"/>
  <c r="L17" i="7" s="1"/>
  <c r="M11" i="7"/>
  <c r="M16" i="7" s="1"/>
  <c r="N11" i="7"/>
  <c r="N16" i="7" s="1"/>
  <c r="O11" i="7"/>
  <c r="O17" i="7"/>
  <c r="P17" i="7"/>
  <c r="C21" i="7"/>
  <c r="C35" i="7" s="1"/>
  <c r="F22" i="7"/>
  <c r="B24" i="7"/>
  <c r="B28" i="7" s="1"/>
  <c r="D24" i="7"/>
  <c r="D30" i="7" s="1"/>
  <c r="E24" i="7"/>
  <c r="E28" i="7" s="1"/>
  <c r="F24" i="7"/>
  <c r="F31" i="7" s="1"/>
  <c r="G24" i="7"/>
  <c r="G31" i="7" s="1"/>
  <c r="H24" i="7"/>
  <c r="H30" i="7" s="1"/>
  <c r="I24" i="7"/>
  <c r="I28" i="7" s="1"/>
  <c r="J24" i="7"/>
  <c r="J28" i="7" s="1"/>
  <c r="K24" i="7"/>
  <c r="K31" i="7" s="1"/>
  <c r="L24" i="7"/>
  <c r="L30" i="7" s="1"/>
  <c r="M24" i="7"/>
  <c r="M28" i="7" s="1"/>
  <c r="N24" i="7"/>
  <c r="N31" i="7" s="1"/>
  <c r="O24" i="7"/>
  <c r="L28" i="7"/>
  <c r="E29" i="7"/>
  <c r="O31" i="7"/>
  <c r="P31" i="7"/>
  <c r="Q31" i="7"/>
  <c r="B35" i="7"/>
  <c r="D35" i="7"/>
  <c r="E35" i="7"/>
  <c r="F36" i="7"/>
  <c r="B37" i="7"/>
  <c r="C37" i="7"/>
  <c r="D37" i="7"/>
  <c r="B46" i="7"/>
  <c r="B51" i="7"/>
  <c r="B55" i="7" s="1"/>
  <c r="D51" i="7"/>
  <c r="D55" i="7" s="1"/>
  <c r="B65" i="7"/>
  <c r="B76" i="7" s="1"/>
  <c r="B66" i="7"/>
  <c r="B77" i="7" s="1"/>
  <c r="B67" i="7"/>
  <c r="B68" i="7"/>
  <c r="B79" i="7" s="1"/>
  <c r="B70" i="7"/>
  <c r="B81" i="7" s="1"/>
  <c r="C71" i="7"/>
  <c r="D71" i="7"/>
  <c r="E71" i="7"/>
  <c r="F71" i="7"/>
  <c r="G71" i="7"/>
  <c r="H71" i="7"/>
  <c r="I71" i="7"/>
  <c r="J71" i="7"/>
  <c r="K71" i="7"/>
  <c r="B87" i="7"/>
  <c r="B88" i="7"/>
  <c r="B89" i="7"/>
  <c r="B90" i="7"/>
  <c r="B111" i="7" s="1"/>
  <c r="B92" i="7"/>
  <c r="C93" i="7"/>
  <c r="D93" i="7"/>
  <c r="E93" i="7"/>
  <c r="F93" i="7"/>
  <c r="G93" i="7"/>
  <c r="H93" i="7"/>
  <c r="I93" i="7"/>
  <c r="E107" i="7"/>
  <c r="F107" i="7"/>
  <c r="G107" i="7"/>
  <c r="H107" i="7"/>
  <c r="G199" i="7" s="1"/>
  <c r="C108" i="7"/>
  <c r="D108" i="7"/>
  <c r="E108" i="7"/>
  <c r="E117" i="7" s="1"/>
  <c r="F108" i="7"/>
  <c r="F117" i="7" s="1"/>
  <c r="G108" i="7"/>
  <c r="G117" i="7" s="1"/>
  <c r="H108" i="7"/>
  <c r="C109" i="7"/>
  <c r="D109" i="7"/>
  <c r="E109" i="7"/>
  <c r="F109" i="7"/>
  <c r="G109" i="7"/>
  <c r="H109" i="7"/>
  <c r="C110" i="7"/>
  <c r="C119" i="7" s="1"/>
  <c r="D110" i="7"/>
  <c r="D119" i="7" s="1"/>
  <c r="E110" i="7"/>
  <c r="E119" i="7" s="1"/>
  <c r="F110" i="7"/>
  <c r="F119" i="7" s="1"/>
  <c r="G110" i="7"/>
  <c r="G119" i="7" s="1"/>
  <c r="H110" i="7"/>
  <c r="H119" i="7" s="1"/>
  <c r="J119" i="7" s="1"/>
  <c r="J110" i="7" s="1"/>
  <c r="J89" i="7" s="1"/>
  <c r="C111" i="7"/>
  <c r="D111" i="7"/>
  <c r="E111" i="7"/>
  <c r="F111" i="7"/>
  <c r="G111" i="7"/>
  <c r="H111" i="7"/>
  <c r="B112" i="7"/>
  <c r="C112" i="7"/>
  <c r="D112" i="7"/>
  <c r="E112" i="7"/>
  <c r="F112" i="7"/>
  <c r="G112" i="7"/>
  <c r="H112" i="7"/>
  <c r="C113" i="7"/>
  <c r="D113" i="7"/>
  <c r="E113" i="7"/>
  <c r="F113" i="7"/>
  <c r="G113" i="7"/>
  <c r="H113" i="7"/>
  <c r="Y2" i="6"/>
  <c r="Z2" i="6"/>
  <c r="AG2" i="6"/>
  <c r="V3" i="6"/>
  <c r="Z3" i="6"/>
  <c r="AA3" i="6"/>
  <c r="AG3" i="6"/>
  <c r="V4" i="6"/>
  <c r="AC4" i="6"/>
  <c r="AD4" i="6"/>
  <c r="Y5" i="6"/>
  <c r="AC5" i="6"/>
  <c r="AD5" i="6"/>
  <c r="Y6" i="6"/>
  <c r="Z6" i="6"/>
  <c r="AG6" i="6"/>
  <c r="V7" i="6"/>
  <c r="Z7" i="6"/>
  <c r="AA7" i="6"/>
  <c r="AG7" i="6"/>
  <c r="Q8" i="6"/>
  <c r="P8" i="6" s="1"/>
  <c r="V8" i="6"/>
  <c r="W8" i="6"/>
  <c r="AD8" i="6"/>
  <c r="AG8" i="6"/>
  <c r="B9" i="6"/>
  <c r="U2" i="6" s="1"/>
  <c r="C9" i="6"/>
  <c r="V2" i="6" s="1"/>
  <c r="D9" i="6"/>
  <c r="W9" i="6" s="1"/>
  <c r="E9" i="6"/>
  <c r="B96" i="6" s="1"/>
  <c r="F9" i="6"/>
  <c r="Y8" i="6" s="1"/>
  <c r="G9" i="6"/>
  <c r="Z5" i="6" s="1"/>
  <c r="H9" i="6"/>
  <c r="AA9" i="6" s="1"/>
  <c r="I9" i="6"/>
  <c r="J9" i="6"/>
  <c r="AC2" i="6" s="1"/>
  <c r="K9" i="6"/>
  <c r="AD2" i="6" s="1"/>
  <c r="L9" i="6"/>
  <c r="M9" i="6"/>
  <c r="I206" i="6" s="1"/>
  <c r="N9" i="6"/>
  <c r="AG4" i="6" s="1"/>
  <c r="U9" i="6"/>
  <c r="V9" i="6"/>
  <c r="Y9" i="6"/>
  <c r="Z9" i="6"/>
  <c r="AD9" i="6"/>
  <c r="AG9" i="6"/>
  <c r="W13" i="6"/>
  <c r="AA13" i="6"/>
  <c r="AE13" i="6"/>
  <c r="W14" i="6"/>
  <c r="AE14" i="6"/>
  <c r="AD15" i="6"/>
  <c r="AD16" i="6"/>
  <c r="AE16" i="6"/>
  <c r="V17" i="6"/>
  <c r="W17" i="6"/>
  <c r="AE17" i="6"/>
  <c r="B18" i="6"/>
  <c r="U14" i="6" s="1"/>
  <c r="C18" i="6"/>
  <c r="V13" i="6" s="1"/>
  <c r="D18" i="6"/>
  <c r="W16" i="6" s="1"/>
  <c r="E18" i="6"/>
  <c r="X14" i="6" s="1"/>
  <c r="F18" i="6"/>
  <c r="G18" i="6"/>
  <c r="Z17" i="6" s="1"/>
  <c r="H18" i="6"/>
  <c r="AA15" i="6" s="1"/>
  <c r="I18" i="6"/>
  <c r="AB17" i="6" s="1"/>
  <c r="J18" i="6"/>
  <c r="AC15" i="6" s="1"/>
  <c r="K18" i="6"/>
  <c r="AD13" i="6" s="1"/>
  <c r="L18" i="6"/>
  <c r="AE15" i="6" s="1"/>
  <c r="M18" i="6"/>
  <c r="AF15" i="6" s="1"/>
  <c r="N18" i="6"/>
  <c r="AG16" i="6" s="1"/>
  <c r="W20" i="6"/>
  <c r="X20" i="6"/>
  <c r="AF20" i="6"/>
  <c r="AB21" i="6"/>
  <c r="AE22" i="6"/>
  <c r="AJ22" i="6"/>
  <c r="AE23" i="6"/>
  <c r="AA24" i="6"/>
  <c r="AB24" i="6"/>
  <c r="B25" i="6"/>
  <c r="U23" i="6" s="1"/>
  <c r="C25" i="6"/>
  <c r="V20" i="6" s="1"/>
  <c r="D25" i="6"/>
  <c r="W23" i="6" s="1"/>
  <c r="E25" i="6"/>
  <c r="X23" i="6" s="1"/>
  <c r="F25" i="6"/>
  <c r="G25" i="6"/>
  <c r="Z23" i="6" s="1"/>
  <c r="H25" i="6"/>
  <c r="AA20" i="6" s="1"/>
  <c r="I25" i="6"/>
  <c r="AB22" i="6" s="1"/>
  <c r="J25" i="6"/>
  <c r="AC23" i="6" s="1"/>
  <c r="K25" i="6"/>
  <c r="K26" i="6" s="1"/>
  <c r="AD26" i="6" s="1"/>
  <c r="L25" i="6"/>
  <c r="AE24" i="6" s="1"/>
  <c r="M25" i="6"/>
  <c r="AF22" i="6" s="1"/>
  <c r="N25" i="6"/>
  <c r="AG23" i="6" s="1"/>
  <c r="D26" i="6"/>
  <c r="W18" i="6" s="1"/>
  <c r="F26" i="6"/>
  <c r="H26" i="6"/>
  <c r="AA18" i="6" s="1"/>
  <c r="W26" i="6"/>
  <c r="AG32" i="6"/>
  <c r="AG34" i="6"/>
  <c r="P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AG41" i="6"/>
  <c r="P42" i="6"/>
  <c r="B43" i="6"/>
  <c r="C43" i="6"/>
  <c r="D43" i="6"/>
  <c r="E43" i="6"/>
  <c r="E44" i="6" s="1"/>
  <c r="F43" i="6"/>
  <c r="G43" i="6"/>
  <c r="H43" i="6"/>
  <c r="I43" i="6"/>
  <c r="I44" i="6" s="1"/>
  <c r="J43" i="6"/>
  <c r="K43" i="6"/>
  <c r="L43" i="6"/>
  <c r="M43" i="6"/>
  <c r="M44" i="6" s="1"/>
  <c r="N43" i="6"/>
  <c r="AG43" i="6"/>
  <c r="F44" i="6"/>
  <c r="J44" i="6"/>
  <c r="AC34" i="6" s="1"/>
  <c r="N44" i="6"/>
  <c r="AG36" i="6" s="1"/>
  <c r="B49" i="6"/>
  <c r="U49" i="6" s="1"/>
  <c r="C49" i="6"/>
  <c r="V49" i="6" s="1"/>
  <c r="D49" i="6"/>
  <c r="W49" i="6" s="1"/>
  <c r="E49" i="6"/>
  <c r="G49" i="6"/>
  <c r="Z49" i="6" s="1"/>
  <c r="H49" i="6"/>
  <c r="AA49" i="6" s="1"/>
  <c r="I49" i="6"/>
  <c r="AB49" i="6" s="1"/>
  <c r="J49" i="6"/>
  <c r="K49" i="6"/>
  <c r="AD49" i="6" s="1"/>
  <c r="L49" i="6"/>
  <c r="AE49" i="6" s="1"/>
  <c r="M49" i="6"/>
  <c r="AF49" i="6" s="1"/>
  <c r="N49" i="6"/>
  <c r="B50" i="6"/>
  <c r="U50" i="6" s="1"/>
  <c r="C50" i="6"/>
  <c r="V50" i="6" s="1"/>
  <c r="D50" i="6"/>
  <c r="W50" i="6" s="1"/>
  <c r="E50" i="6"/>
  <c r="G50" i="6"/>
  <c r="Z50" i="6" s="1"/>
  <c r="H50" i="6"/>
  <c r="AA50" i="6" s="1"/>
  <c r="I50" i="6"/>
  <c r="AB50" i="6" s="1"/>
  <c r="J50" i="6"/>
  <c r="K50" i="6"/>
  <c r="AD50" i="6" s="1"/>
  <c r="L50" i="6"/>
  <c r="AE50" i="6" s="1"/>
  <c r="M50" i="6"/>
  <c r="AF50" i="6" s="1"/>
  <c r="N50" i="6"/>
  <c r="B51" i="6"/>
  <c r="U51" i="6" s="1"/>
  <c r="C51" i="6"/>
  <c r="V51" i="6" s="1"/>
  <c r="D51" i="6"/>
  <c r="W51" i="6" s="1"/>
  <c r="E51" i="6"/>
  <c r="G51" i="6"/>
  <c r="Z51" i="6" s="1"/>
  <c r="H51" i="6"/>
  <c r="AA51" i="6" s="1"/>
  <c r="I51" i="6"/>
  <c r="AB51" i="6" s="1"/>
  <c r="J51" i="6"/>
  <c r="K51" i="6"/>
  <c r="AD51" i="6" s="1"/>
  <c r="L51" i="6"/>
  <c r="AE51" i="6" s="1"/>
  <c r="M51" i="6"/>
  <c r="AF51" i="6" s="1"/>
  <c r="N51" i="6"/>
  <c r="B52" i="6"/>
  <c r="U52" i="6" s="1"/>
  <c r="C52" i="6"/>
  <c r="V52" i="6" s="1"/>
  <c r="D52" i="6"/>
  <c r="W52" i="6" s="1"/>
  <c r="E52" i="6"/>
  <c r="G52" i="6"/>
  <c r="Z52" i="6" s="1"/>
  <c r="H52" i="6"/>
  <c r="AA52" i="6" s="1"/>
  <c r="I52" i="6"/>
  <c r="AB52" i="6" s="1"/>
  <c r="J52" i="6"/>
  <c r="K52" i="6"/>
  <c r="AD52" i="6" s="1"/>
  <c r="L52" i="6"/>
  <c r="AE52" i="6" s="1"/>
  <c r="M52" i="6"/>
  <c r="AF52" i="6" s="1"/>
  <c r="N52" i="6"/>
  <c r="B53" i="6"/>
  <c r="C53" i="6"/>
  <c r="D53" i="6"/>
  <c r="B55" i="6"/>
  <c r="C55" i="6"/>
  <c r="D55" i="6"/>
  <c r="E55" i="6"/>
  <c r="G55" i="6"/>
  <c r="H55" i="6"/>
  <c r="I55" i="6"/>
  <c r="J55" i="6"/>
  <c r="K55" i="6"/>
  <c r="L55" i="6"/>
  <c r="M55" i="6"/>
  <c r="N55" i="6"/>
  <c r="B56" i="6"/>
  <c r="C56" i="6"/>
  <c r="D56" i="6"/>
  <c r="E56" i="6"/>
  <c r="G56" i="6"/>
  <c r="H56" i="6"/>
  <c r="I56" i="6"/>
  <c r="J56" i="6"/>
  <c r="K56" i="6"/>
  <c r="L56" i="6"/>
  <c r="M56" i="6"/>
  <c r="N56" i="6"/>
  <c r="B57" i="6"/>
  <c r="C57" i="6"/>
  <c r="D57" i="6"/>
  <c r="E57" i="6"/>
  <c r="G57" i="6"/>
  <c r="H57" i="6"/>
  <c r="I57" i="6"/>
  <c r="J57" i="6"/>
  <c r="K57" i="6"/>
  <c r="L57" i="6"/>
  <c r="M57" i="6"/>
  <c r="N57" i="6"/>
  <c r="B58" i="6"/>
  <c r="E58" i="6"/>
  <c r="G58" i="6"/>
  <c r="Z58" i="6" s="1"/>
  <c r="H58" i="6"/>
  <c r="AA58" i="6" s="1"/>
  <c r="I58" i="6"/>
  <c r="J58" i="6"/>
  <c r="K58" i="6"/>
  <c r="AD58" i="6" s="1"/>
  <c r="L58" i="6"/>
  <c r="AE58" i="6" s="1"/>
  <c r="M58" i="6"/>
  <c r="N58" i="6"/>
  <c r="B59" i="6"/>
  <c r="C59" i="6"/>
  <c r="D59" i="6"/>
  <c r="E59" i="6"/>
  <c r="K64" i="6"/>
  <c r="J64" i="6" s="1"/>
  <c r="J67" i="6"/>
  <c r="J73" i="6"/>
  <c r="J74" i="6"/>
  <c r="U81" i="6"/>
  <c r="Q82" i="6"/>
  <c r="U82" i="6"/>
  <c r="Q83" i="6"/>
  <c r="R84" i="6"/>
  <c r="U84" i="6"/>
  <c r="Q86" i="6"/>
  <c r="R86" i="6"/>
  <c r="U87" i="6"/>
  <c r="Q88" i="6"/>
  <c r="U88" i="6"/>
  <c r="Q89" i="6"/>
  <c r="B90" i="6"/>
  <c r="C90" i="6"/>
  <c r="D90" i="6"/>
  <c r="E90" i="6"/>
  <c r="F90" i="6"/>
  <c r="G90" i="6"/>
  <c r="H90" i="6"/>
  <c r="U90" i="6" s="1"/>
  <c r="I90" i="6"/>
  <c r="Q92" i="6"/>
  <c r="R92" i="6"/>
  <c r="U93" i="6"/>
  <c r="R94" i="6"/>
  <c r="C95" i="6"/>
  <c r="D95" i="6"/>
  <c r="Q95" i="6" s="1"/>
  <c r="E95" i="6"/>
  <c r="F95" i="6"/>
  <c r="G95" i="6"/>
  <c r="H95" i="6"/>
  <c r="U95" i="6" s="1"/>
  <c r="I95" i="6"/>
  <c r="D96" i="6"/>
  <c r="R81" i="6" s="1"/>
  <c r="E96" i="6"/>
  <c r="F96" i="6"/>
  <c r="S94" i="6" s="1"/>
  <c r="H96" i="6"/>
  <c r="U94" i="6" s="1"/>
  <c r="S100" i="6"/>
  <c r="O101" i="6"/>
  <c r="O103" i="6"/>
  <c r="Q103" i="6"/>
  <c r="S104" i="6"/>
  <c r="O105" i="6"/>
  <c r="O107" i="6"/>
  <c r="P107" i="6"/>
  <c r="T107" i="6"/>
  <c r="O108" i="6"/>
  <c r="S108" i="6"/>
  <c r="T108" i="6"/>
  <c r="B109" i="6"/>
  <c r="O100" i="6" s="1"/>
  <c r="C109" i="6"/>
  <c r="P108" i="6" s="1"/>
  <c r="D109" i="6"/>
  <c r="E109" i="6"/>
  <c r="R101" i="6" s="1"/>
  <c r="F109" i="6"/>
  <c r="S101" i="6" s="1"/>
  <c r="G109" i="6"/>
  <c r="H109" i="6"/>
  <c r="U103" i="6" s="1"/>
  <c r="R111" i="6"/>
  <c r="B114" i="6"/>
  <c r="D114" i="6"/>
  <c r="E114" i="6"/>
  <c r="R112" i="6" s="1"/>
  <c r="F114" i="6"/>
  <c r="F115" i="6" s="1"/>
  <c r="G114" i="6"/>
  <c r="H114" i="6"/>
  <c r="H115" i="6"/>
  <c r="U114" i="6" s="1"/>
  <c r="I115" i="6"/>
  <c r="B119" i="6"/>
  <c r="C119" i="6"/>
  <c r="D119" i="6"/>
  <c r="E119" i="6"/>
  <c r="F119" i="6"/>
  <c r="G119" i="6"/>
  <c r="H119" i="6"/>
  <c r="B120" i="6"/>
  <c r="C120" i="6"/>
  <c r="D120" i="6"/>
  <c r="E120" i="6"/>
  <c r="F120" i="6"/>
  <c r="G120" i="6"/>
  <c r="H120" i="6"/>
  <c r="B121" i="6"/>
  <c r="C121" i="6"/>
  <c r="P121" i="6" s="1"/>
  <c r="D121" i="6"/>
  <c r="Q131" i="6" s="1"/>
  <c r="E121" i="6"/>
  <c r="R129" i="6" s="1"/>
  <c r="F121" i="6"/>
  <c r="S130" i="6" s="1"/>
  <c r="G121" i="6"/>
  <c r="H121" i="6"/>
  <c r="G217" i="6" s="1"/>
  <c r="B122" i="6"/>
  <c r="C122" i="6"/>
  <c r="P122" i="6" s="1"/>
  <c r="D122" i="6"/>
  <c r="E122" i="6"/>
  <c r="F122" i="6"/>
  <c r="G122" i="6"/>
  <c r="T122" i="6" s="1"/>
  <c r="X122" i="6" s="1"/>
  <c r="H122" i="6"/>
  <c r="B123" i="6"/>
  <c r="C123" i="6"/>
  <c r="D123" i="6"/>
  <c r="G123" i="6"/>
  <c r="B124" i="6"/>
  <c r="C124" i="6"/>
  <c r="D124" i="6"/>
  <c r="E124" i="6"/>
  <c r="F124" i="6"/>
  <c r="G124" i="6"/>
  <c r="H124" i="6"/>
  <c r="B125" i="6"/>
  <c r="C125" i="6"/>
  <c r="D125" i="6"/>
  <c r="E125" i="6"/>
  <c r="F125" i="6"/>
  <c r="G125" i="6"/>
  <c r="H125" i="6"/>
  <c r="B126" i="6"/>
  <c r="C126" i="6"/>
  <c r="D126" i="6"/>
  <c r="E126" i="6"/>
  <c r="F126" i="6"/>
  <c r="G126" i="6"/>
  <c r="H126" i="6"/>
  <c r="B127" i="6"/>
  <c r="C127" i="6"/>
  <c r="D127" i="6"/>
  <c r="E127" i="6"/>
  <c r="F127" i="6"/>
  <c r="G127" i="6"/>
  <c r="H127" i="6"/>
  <c r="D129" i="6"/>
  <c r="E129" i="6"/>
  <c r="F129" i="6"/>
  <c r="G129" i="6"/>
  <c r="H129" i="6"/>
  <c r="E130" i="6"/>
  <c r="F130" i="6"/>
  <c r="G130" i="6"/>
  <c r="D131" i="6"/>
  <c r="F131" i="6"/>
  <c r="G131" i="6"/>
  <c r="H131" i="6"/>
  <c r="K135" i="6"/>
  <c r="J135" i="6" s="1"/>
  <c r="K136" i="6"/>
  <c r="J136" i="6" s="1"/>
  <c r="K137" i="6"/>
  <c r="J137" i="6" s="1"/>
  <c r="K138" i="6"/>
  <c r="J138" i="6" s="1"/>
  <c r="K139" i="6"/>
  <c r="J139" i="6" s="1"/>
  <c r="K140" i="6"/>
  <c r="J140" i="6" s="1"/>
  <c r="K141" i="6"/>
  <c r="J141" i="6" s="1"/>
  <c r="K142" i="6"/>
  <c r="J142" i="6" s="1"/>
  <c r="K143" i="6"/>
  <c r="J143" i="6" s="1"/>
  <c r="K144" i="6"/>
  <c r="J144" i="6" s="1"/>
  <c r="K145" i="6"/>
  <c r="J145" i="6" s="1"/>
  <c r="J65" i="6" s="1"/>
  <c r="K149" i="6"/>
  <c r="J149" i="6" s="1"/>
  <c r="K150" i="6"/>
  <c r="J150" i="6" s="1"/>
  <c r="K151" i="6"/>
  <c r="J151" i="6" s="1"/>
  <c r="K152" i="6"/>
  <c r="J152" i="6" s="1"/>
  <c r="K153" i="6"/>
  <c r="J153" i="6" s="1"/>
  <c r="K154" i="6"/>
  <c r="J154" i="6" s="1"/>
  <c r="K155" i="6"/>
  <c r="J155" i="6" s="1"/>
  <c r="K156" i="6"/>
  <c r="J156" i="6" s="1"/>
  <c r="K157" i="6"/>
  <c r="J157" i="6" s="1"/>
  <c r="C158" i="6"/>
  <c r="K158" i="6"/>
  <c r="J158" i="6" s="1"/>
  <c r="K159" i="6"/>
  <c r="J159" i="6" s="1"/>
  <c r="P166" i="6" s="1"/>
  <c r="Q166" i="6" s="1"/>
  <c r="P168" i="6"/>
  <c r="Q168" i="6"/>
  <c r="Q170" i="6"/>
  <c r="P170" i="6" s="1"/>
  <c r="Q171" i="6"/>
  <c r="P171" i="6" s="1"/>
  <c r="P172" i="6"/>
  <c r="Q172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B208" i="6"/>
  <c r="E208" i="6"/>
  <c r="F208" i="6"/>
  <c r="N201" i="6"/>
  <c r="O201" i="6"/>
  <c r="R201" i="6"/>
  <c r="S201" i="6"/>
  <c r="A246" i="6"/>
  <c r="B249" i="6" s="1"/>
  <c r="B6" i="5"/>
  <c r="B13" i="5" s="1"/>
  <c r="C6" i="5"/>
  <c r="D6" i="5"/>
  <c r="D131" i="5" s="1"/>
  <c r="E6" i="5"/>
  <c r="E131" i="5" s="1"/>
  <c r="E137" i="5" s="1"/>
  <c r="F6" i="5"/>
  <c r="F17" i="5" s="1"/>
  <c r="G6" i="5"/>
  <c r="H6" i="5"/>
  <c r="H14" i="5" s="1"/>
  <c r="I6" i="5"/>
  <c r="I17" i="5" s="1"/>
  <c r="J6" i="5"/>
  <c r="J17" i="5" s="1"/>
  <c r="K6" i="5"/>
  <c r="K17" i="5" s="1"/>
  <c r="L6" i="5"/>
  <c r="I131" i="5" s="1"/>
  <c r="I140" i="5" s="1"/>
  <c r="M6" i="5"/>
  <c r="M17" i="5" s="1"/>
  <c r="N6" i="5"/>
  <c r="K131" i="5" s="1"/>
  <c r="O6" i="5"/>
  <c r="D17" i="5"/>
  <c r="E17" i="5"/>
  <c r="B38" i="5"/>
  <c r="C38" i="5"/>
  <c r="B39" i="5"/>
  <c r="C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E28" i="5"/>
  <c r="F28" i="5"/>
  <c r="F38" i="5" s="1"/>
  <c r="G28" i="5"/>
  <c r="G38" i="5" s="1"/>
  <c r="H28" i="5"/>
  <c r="I28" i="5"/>
  <c r="J28" i="5"/>
  <c r="J33" i="5" s="1"/>
  <c r="K28" i="5"/>
  <c r="K38" i="5" s="1"/>
  <c r="L28" i="5"/>
  <c r="L38" i="5" s="1"/>
  <c r="M28" i="5"/>
  <c r="N28" i="5"/>
  <c r="N39" i="5" s="1"/>
  <c r="J44" i="5"/>
  <c r="J45" i="5"/>
  <c r="B32" i="5"/>
  <c r="B44" i="5" s="1"/>
  <c r="C32" i="5"/>
  <c r="C45" i="5" s="1"/>
  <c r="D32" i="5"/>
  <c r="D33" i="5" s="1"/>
  <c r="E32" i="5"/>
  <c r="E44" i="5" s="1"/>
  <c r="F32" i="5"/>
  <c r="F45" i="5" s="1"/>
  <c r="G32" i="5"/>
  <c r="G45" i="5" s="1"/>
  <c r="H32" i="5"/>
  <c r="I32" i="5"/>
  <c r="I44" i="5" s="1"/>
  <c r="K32" i="5"/>
  <c r="K44" i="5" s="1"/>
  <c r="L32" i="5"/>
  <c r="M32" i="5"/>
  <c r="M44" i="5" s="1"/>
  <c r="N32" i="5"/>
  <c r="N44" i="5" s="1"/>
  <c r="B33" i="5"/>
  <c r="B46" i="5" s="1"/>
  <c r="P67" i="5"/>
  <c r="P68" i="5"/>
  <c r="P69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P73" i="5"/>
  <c r="P74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G252" i="5" s="1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G251" i="5" s="1"/>
  <c r="B85" i="5"/>
  <c r="C85" i="5"/>
  <c r="D85" i="5"/>
  <c r="E85" i="5"/>
  <c r="F85" i="5"/>
  <c r="G85" i="5"/>
  <c r="H85" i="5"/>
  <c r="I85" i="5"/>
  <c r="J85" i="5"/>
  <c r="K85" i="5"/>
  <c r="L85" i="5"/>
  <c r="M85" i="5"/>
  <c r="C88" i="5"/>
  <c r="D88" i="5"/>
  <c r="E88" i="5"/>
  <c r="F88" i="5"/>
  <c r="G88" i="5"/>
  <c r="H88" i="5"/>
  <c r="I88" i="5"/>
  <c r="J88" i="5"/>
  <c r="K88" i="5"/>
  <c r="L88" i="5"/>
  <c r="M88" i="5"/>
  <c r="N88" i="5"/>
  <c r="B89" i="5"/>
  <c r="C89" i="5"/>
  <c r="C100" i="5" s="1"/>
  <c r="D89" i="5"/>
  <c r="D100" i="5" s="1"/>
  <c r="E89" i="5"/>
  <c r="E100" i="5" s="1"/>
  <c r="F89" i="5"/>
  <c r="F100" i="5" s="1"/>
  <c r="G89" i="5"/>
  <c r="G100" i="5" s="1"/>
  <c r="H89" i="5"/>
  <c r="H100" i="5" s="1"/>
  <c r="I89" i="5"/>
  <c r="I100" i="5" s="1"/>
  <c r="J89" i="5"/>
  <c r="J100" i="5" s="1"/>
  <c r="K89" i="5"/>
  <c r="K100" i="5" s="1"/>
  <c r="L89" i="5"/>
  <c r="L100" i="5" s="1"/>
  <c r="M89" i="5"/>
  <c r="M100" i="5" s="1"/>
  <c r="N89" i="5"/>
  <c r="N106" i="5"/>
  <c r="M106" i="5" s="1"/>
  <c r="D107" i="5"/>
  <c r="E107" i="5"/>
  <c r="B108" i="5"/>
  <c r="C108" i="5"/>
  <c r="D113" i="5"/>
  <c r="E113" i="5"/>
  <c r="D115" i="5"/>
  <c r="E115" i="5"/>
  <c r="D116" i="5"/>
  <c r="E138" i="5"/>
  <c r="B130" i="5"/>
  <c r="C130" i="5"/>
  <c r="D130" i="5"/>
  <c r="E130" i="5"/>
  <c r="F130" i="5"/>
  <c r="G130" i="5"/>
  <c r="H130" i="5"/>
  <c r="I130" i="5"/>
  <c r="J130" i="5"/>
  <c r="K130" i="5"/>
  <c r="M153" i="5"/>
  <c r="B154" i="5"/>
  <c r="C154" i="5"/>
  <c r="D154" i="5"/>
  <c r="E154" i="5"/>
  <c r="F154" i="5"/>
  <c r="G154" i="5"/>
  <c r="H154" i="5"/>
  <c r="I154" i="5"/>
  <c r="J154" i="5"/>
  <c r="K154" i="5"/>
  <c r="B157" i="5"/>
  <c r="C157" i="5"/>
  <c r="C169" i="5" s="1"/>
  <c r="D157" i="5"/>
  <c r="E157" i="5"/>
  <c r="E166" i="5" s="1"/>
  <c r="F157" i="5"/>
  <c r="G157" i="5"/>
  <c r="D224" i="6" s="1"/>
  <c r="H157" i="5"/>
  <c r="H166" i="5" s="1"/>
  <c r="I157" i="5"/>
  <c r="F224" i="6" s="1"/>
  <c r="J157" i="5"/>
  <c r="K157" i="5"/>
  <c r="H224" i="6" s="1"/>
  <c r="B158" i="5"/>
  <c r="C158" i="5"/>
  <c r="D158" i="5"/>
  <c r="E158" i="5"/>
  <c r="F158" i="5"/>
  <c r="G158" i="5"/>
  <c r="H158" i="5"/>
  <c r="I158" i="5"/>
  <c r="J158" i="5"/>
  <c r="K158" i="5"/>
  <c r="B159" i="5"/>
  <c r="C159" i="5"/>
  <c r="D159" i="5"/>
  <c r="E159" i="5"/>
  <c r="F159" i="5"/>
  <c r="G159" i="5"/>
  <c r="G168" i="5" s="1"/>
  <c r="H159" i="5"/>
  <c r="I159" i="5"/>
  <c r="J159" i="5"/>
  <c r="K159" i="5"/>
  <c r="K168" i="5" s="1"/>
  <c r="N168" i="5" s="1"/>
  <c r="D160" i="5"/>
  <c r="E160" i="5"/>
  <c r="G160" i="5"/>
  <c r="H160" i="5"/>
  <c r="I160" i="5"/>
  <c r="J160" i="5"/>
  <c r="K160" i="5"/>
  <c r="D161" i="5"/>
  <c r="E161" i="5"/>
  <c r="K161" i="5"/>
  <c r="H162" i="5"/>
  <c r="I162" i="5"/>
  <c r="J162" i="5"/>
  <c r="K175" i="5"/>
  <c r="J175" i="5" s="1"/>
  <c r="K176" i="5"/>
  <c r="J176" i="5" s="1"/>
  <c r="K177" i="5"/>
  <c r="J177" i="5" s="1"/>
  <c r="K178" i="5"/>
  <c r="J178" i="5" s="1"/>
  <c r="K179" i="5"/>
  <c r="J179" i="5" s="1"/>
  <c r="K180" i="5"/>
  <c r="J180" i="5" s="1"/>
  <c r="K181" i="5"/>
  <c r="J181" i="5" s="1"/>
  <c r="K182" i="5"/>
  <c r="J182" i="5" s="1"/>
  <c r="K183" i="5"/>
  <c r="J183" i="5" s="1"/>
  <c r="K184" i="5"/>
  <c r="J184" i="5" s="1"/>
  <c r="K189" i="5"/>
  <c r="J189" i="5" s="1"/>
  <c r="C190" i="5"/>
  <c r="K190" i="5"/>
  <c r="J190" i="5" s="1"/>
  <c r="K191" i="5"/>
  <c r="J191" i="5" s="1"/>
  <c r="K192" i="5"/>
  <c r="J192" i="5" s="1"/>
  <c r="K193" i="5"/>
  <c r="J193" i="5" s="1"/>
  <c r="K194" i="5"/>
  <c r="J194" i="5" s="1"/>
  <c r="K195" i="5"/>
  <c r="J195" i="5" s="1"/>
  <c r="K196" i="5"/>
  <c r="J196" i="5" s="1"/>
  <c r="K197" i="5"/>
  <c r="J197" i="5" s="1"/>
  <c r="C198" i="5"/>
  <c r="K198" i="5"/>
  <c r="J198" i="5" s="1"/>
  <c r="P207" i="5"/>
  <c r="Q207" i="5"/>
  <c r="Q208" i="5"/>
  <c r="P208" i="5" s="1"/>
  <c r="Q210" i="5"/>
  <c r="P210" i="5" s="1"/>
  <c r="Q211" i="5"/>
  <c r="P211" i="5" s="1"/>
  <c r="P212" i="5"/>
  <c r="Q212" i="5" s="1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B246" i="5"/>
  <c r="P89" i="5" s="1"/>
  <c r="M157" i="5"/>
  <c r="A276" i="5"/>
  <c r="P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P5" i="4"/>
  <c r="P6" i="4"/>
  <c r="B7" i="4"/>
  <c r="C7" i="4"/>
  <c r="D7" i="4"/>
  <c r="W5" i="4" s="1"/>
  <c r="E7" i="4"/>
  <c r="X2" i="4" s="1"/>
  <c r="F7" i="4"/>
  <c r="Y2" i="4" s="1"/>
  <c r="G7" i="4"/>
  <c r="H7" i="4"/>
  <c r="AA5" i="4" s="1"/>
  <c r="I7" i="4"/>
  <c r="AB2" i="4" s="1"/>
  <c r="J7" i="4"/>
  <c r="K7" i="4"/>
  <c r="AD5" i="4" s="1"/>
  <c r="L7" i="4"/>
  <c r="AE5" i="4" s="1"/>
  <c r="M7" i="4"/>
  <c r="AF2" i="4" s="1"/>
  <c r="N7" i="4"/>
  <c r="AG5" i="4" s="1"/>
  <c r="AA7" i="4"/>
  <c r="AD7" i="4"/>
  <c r="AE7" i="4"/>
  <c r="AF7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J14" i="4" s="1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U16" i="4"/>
  <c r="V16" i="4"/>
  <c r="W16" i="4"/>
  <c r="X16" i="4"/>
  <c r="Y16" i="4"/>
  <c r="Z16" i="4"/>
  <c r="AA16" i="4"/>
  <c r="AB16" i="4"/>
  <c r="AC16" i="4"/>
  <c r="AD16" i="4"/>
  <c r="AE16" i="4"/>
  <c r="AF16" i="4"/>
  <c r="AJ16" i="4" s="1"/>
  <c r="AG16" i="4"/>
  <c r="U20" i="4"/>
  <c r="V20" i="4"/>
  <c r="Y20" i="4"/>
  <c r="Z20" i="4"/>
  <c r="AA20" i="4"/>
  <c r="AB20" i="4"/>
  <c r="AC20" i="4"/>
  <c r="AD20" i="4"/>
  <c r="AE20" i="4"/>
  <c r="AF20" i="4"/>
  <c r="AG20" i="4"/>
  <c r="U21" i="4"/>
  <c r="V21" i="4"/>
  <c r="Y21" i="4"/>
  <c r="Z21" i="4"/>
  <c r="AA21" i="4"/>
  <c r="AB21" i="4"/>
  <c r="AC21" i="4"/>
  <c r="AD21" i="4"/>
  <c r="AE21" i="4"/>
  <c r="AF21" i="4"/>
  <c r="AG21" i="4"/>
  <c r="U22" i="4"/>
  <c r="V22" i="4"/>
  <c r="Y22" i="4"/>
  <c r="Z22" i="4"/>
  <c r="AA22" i="4"/>
  <c r="AB22" i="4"/>
  <c r="AC22" i="4"/>
  <c r="AD22" i="4"/>
  <c r="AE22" i="4"/>
  <c r="AF22" i="4"/>
  <c r="AG22" i="4"/>
  <c r="U23" i="4"/>
  <c r="V23" i="4"/>
  <c r="Y23" i="4"/>
  <c r="Z23" i="4"/>
  <c r="AA23" i="4"/>
  <c r="AB23" i="4"/>
  <c r="AC23" i="4"/>
  <c r="AD23" i="4"/>
  <c r="AE23" i="4"/>
  <c r="AF23" i="4"/>
  <c r="AG23" i="4"/>
  <c r="U24" i="4"/>
  <c r="V24" i="4"/>
  <c r="Y24" i="4"/>
  <c r="Z24" i="4"/>
  <c r="AA24" i="4"/>
  <c r="AB24" i="4"/>
  <c r="AC24" i="4"/>
  <c r="AD24" i="4"/>
  <c r="AE24" i="4"/>
  <c r="AF24" i="4"/>
  <c r="AG24" i="4"/>
  <c r="D25" i="4"/>
  <c r="W25" i="4" s="1"/>
  <c r="E25" i="4"/>
  <c r="X23" i="4" s="1"/>
  <c r="U25" i="4"/>
  <c r="V25" i="4"/>
  <c r="Y25" i="4"/>
  <c r="Z25" i="4"/>
  <c r="AA25" i="4"/>
  <c r="AB25" i="4"/>
  <c r="AC25" i="4"/>
  <c r="AD25" i="4"/>
  <c r="AE25" i="4"/>
  <c r="AF25" i="4"/>
  <c r="AG25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B30" i="4"/>
  <c r="I30" i="4"/>
  <c r="J30" i="4"/>
  <c r="K30" i="4"/>
  <c r="L30" i="4"/>
  <c r="M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B32" i="4"/>
  <c r="U32" i="4" s="1"/>
  <c r="C32" i="4"/>
  <c r="D32" i="4"/>
  <c r="E32" i="4"/>
  <c r="F32" i="4"/>
  <c r="G32" i="4"/>
  <c r="H32" i="4"/>
  <c r="I32" i="4"/>
  <c r="J32" i="4"/>
  <c r="K32" i="4"/>
  <c r="L32" i="4"/>
  <c r="M32" i="4"/>
  <c r="N32" i="4"/>
  <c r="B33" i="4"/>
  <c r="E33" i="4"/>
  <c r="J39" i="4"/>
  <c r="I39" i="4" s="1"/>
  <c r="J42" i="4"/>
  <c r="I42" i="4" s="1"/>
  <c r="I45" i="4"/>
  <c r="I48" i="4"/>
  <c r="I49" i="4"/>
  <c r="R57" i="4"/>
  <c r="N61" i="4"/>
  <c r="B63" i="4"/>
  <c r="C63" i="4"/>
  <c r="D63" i="4"/>
  <c r="E63" i="4"/>
  <c r="F63" i="4"/>
  <c r="G63" i="4"/>
  <c r="B64" i="4"/>
  <c r="N57" i="4" s="1"/>
  <c r="C64" i="4"/>
  <c r="O59" i="4" s="1"/>
  <c r="D64" i="4"/>
  <c r="E64" i="4"/>
  <c r="Q57" i="4" s="1"/>
  <c r="F64" i="4"/>
  <c r="G64" i="4"/>
  <c r="S59" i="4" s="1"/>
  <c r="B75" i="4"/>
  <c r="C75" i="4"/>
  <c r="D75" i="4"/>
  <c r="E75" i="4"/>
  <c r="F75" i="4"/>
  <c r="G75" i="4"/>
  <c r="B78" i="4"/>
  <c r="N83" i="4" s="1"/>
  <c r="C78" i="4"/>
  <c r="O78" i="4" s="1"/>
  <c r="D78" i="4"/>
  <c r="E78" i="4"/>
  <c r="Q82" i="4" s="1"/>
  <c r="F78" i="4"/>
  <c r="G78" i="4"/>
  <c r="S84" i="4" s="1"/>
  <c r="R78" i="4"/>
  <c r="B79" i="4"/>
  <c r="C79" i="4"/>
  <c r="D79" i="4"/>
  <c r="E79" i="4"/>
  <c r="F79" i="4"/>
  <c r="R79" i="4" s="1"/>
  <c r="G79" i="4"/>
  <c r="B80" i="4"/>
  <c r="N80" i="4" s="1"/>
  <c r="C80" i="4"/>
  <c r="O80" i="4" s="1"/>
  <c r="D80" i="4"/>
  <c r="E80" i="4"/>
  <c r="F80" i="4"/>
  <c r="R80" i="4" s="1"/>
  <c r="G80" i="4"/>
  <c r="S80" i="4" s="1"/>
  <c r="B81" i="4"/>
  <c r="N81" i="4" s="1"/>
  <c r="C81" i="4"/>
  <c r="E81" i="4"/>
  <c r="F81" i="4"/>
  <c r="G81" i="4"/>
  <c r="S81" i="4" s="1"/>
  <c r="R81" i="4"/>
  <c r="B82" i="4"/>
  <c r="C82" i="4"/>
  <c r="D82" i="4"/>
  <c r="P82" i="4" s="1"/>
  <c r="E82" i="4"/>
  <c r="F82" i="4"/>
  <c r="G82" i="4"/>
  <c r="O82" i="4"/>
  <c r="D83" i="4"/>
  <c r="E83" i="4"/>
  <c r="F83" i="4"/>
  <c r="R83" i="4" s="1"/>
  <c r="G83" i="4"/>
  <c r="B84" i="4"/>
  <c r="N84" i="4" s="1"/>
  <c r="C84" i="4"/>
  <c r="D84" i="4"/>
  <c r="E84" i="4"/>
  <c r="Q84" i="4" s="1"/>
  <c r="F84" i="4"/>
  <c r="R84" i="4" s="1"/>
  <c r="J88" i="4"/>
  <c r="K88" i="4"/>
  <c r="K89" i="4"/>
  <c r="J89" i="4" s="1"/>
  <c r="K90" i="4"/>
  <c r="J90" i="4" s="1"/>
  <c r="K91" i="4"/>
  <c r="J91" i="4" s="1"/>
  <c r="K92" i="4"/>
  <c r="J92" i="4" s="1"/>
  <c r="K93" i="4"/>
  <c r="J93" i="4" s="1"/>
  <c r="K94" i="4"/>
  <c r="J94" i="4" s="1"/>
  <c r="K95" i="4"/>
  <c r="J95" i="4" s="1"/>
  <c r="J96" i="4"/>
  <c r="K96" i="4"/>
  <c r="K97" i="4"/>
  <c r="J97" i="4" s="1"/>
  <c r="C98" i="4"/>
  <c r="K102" i="4"/>
  <c r="J102" i="4" s="1"/>
  <c r="K103" i="4"/>
  <c r="J103" i="4" s="1"/>
  <c r="K104" i="4"/>
  <c r="J104" i="4" s="1"/>
  <c r="K105" i="4"/>
  <c r="J105" i="4" s="1"/>
  <c r="K106" i="4"/>
  <c r="J106" i="4" s="1"/>
  <c r="K107" i="4"/>
  <c r="J107" i="4" s="1"/>
  <c r="K108" i="4"/>
  <c r="J108" i="4" s="1"/>
  <c r="K109" i="4"/>
  <c r="J109" i="4" s="1"/>
  <c r="K110" i="4"/>
  <c r="J110" i="4" s="1"/>
  <c r="K111" i="4"/>
  <c r="J111" i="4" s="1"/>
  <c r="C112" i="4"/>
  <c r="K112" i="4"/>
  <c r="J112" i="4" s="1"/>
  <c r="P119" i="4" s="1"/>
  <c r="Q119" i="4" s="1"/>
  <c r="Q120" i="4"/>
  <c r="P120" i="4" s="1"/>
  <c r="Q121" i="4"/>
  <c r="P121" i="4" s="1"/>
  <c r="Q123" i="4"/>
  <c r="P123" i="4" s="1"/>
  <c r="Q124" i="4"/>
  <c r="P124" i="4" s="1"/>
  <c r="P125" i="4"/>
  <c r="Q125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Q131" i="4" s="1"/>
  <c r="N131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G152" i="4"/>
  <c r="B154" i="4"/>
  <c r="E154" i="4"/>
  <c r="R147" i="4"/>
  <c r="F152" i="4" s="1"/>
  <c r="S147" i="4"/>
  <c r="I78" i="4"/>
  <c r="G158" i="4"/>
  <c r="A183" i="4"/>
  <c r="K2" i="3"/>
  <c r="L2" i="3"/>
  <c r="M2" i="3"/>
  <c r="M29" i="3" s="1"/>
  <c r="B9" i="3"/>
  <c r="C9" i="3"/>
  <c r="D9" i="3"/>
  <c r="D10" i="3" s="1"/>
  <c r="E9" i="3"/>
  <c r="F9" i="3"/>
  <c r="G9" i="3"/>
  <c r="G10" i="3" s="1"/>
  <c r="H9" i="3"/>
  <c r="H10" i="3" s="1"/>
  <c r="I9" i="3"/>
  <c r="J9" i="3"/>
  <c r="J10" i="3" s="1"/>
  <c r="K9" i="3"/>
  <c r="L9" i="3"/>
  <c r="L10" i="3" s="1"/>
  <c r="N9" i="3"/>
  <c r="N10" i="3" s="1"/>
  <c r="R10" i="3"/>
  <c r="O10" i="3" s="1"/>
  <c r="K3" i="3"/>
  <c r="K5" i="3" s="1"/>
  <c r="K33" i="3" s="1"/>
  <c r="I14" i="3"/>
  <c r="E10" i="3"/>
  <c r="F10" i="3"/>
  <c r="I10" i="3"/>
  <c r="B15" i="3"/>
  <c r="B5" i="3"/>
  <c r="B33" i="3" s="1"/>
  <c r="C5" i="3"/>
  <c r="D5" i="3"/>
  <c r="D14" i="3" s="1"/>
  <c r="E5" i="3"/>
  <c r="E14" i="3" s="1"/>
  <c r="F5" i="3"/>
  <c r="F33" i="3" s="1"/>
  <c r="G5" i="3"/>
  <c r="H5" i="3"/>
  <c r="H15" i="3" s="1"/>
  <c r="I5" i="3"/>
  <c r="J5" i="3"/>
  <c r="J33" i="3" s="1"/>
  <c r="N5" i="3"/>
  <c r="N33" i="3" s="1"/>
  <c r="B16" i="3"/>
  <c r="F16" i="3"/>
  <c r="G16" i="3"/>
  <c r="B29" i="3"/>
  <c r="C29" i="3"/>
  <c r="D29" i="3"/>
  <c r="E29" i="3"/>
  <c r="F29" i="3"/>
  <c r="G29" i="3"/>
  <c r="H29" i="3"/>
  <c r="I29" i="3"/>
  <c r="J29" i="3"/>
  <c r="K29" i="3"/>
  <c r="L29" i="3"/>
  <c r="N29" i="3"/>
  <c r="Q29" i="3"/>
  <c r="P29" i="3" s="1"/>
  <c r="B30" i="3"/>
  <c r="C30" i="3"/>
  <c r="D30" i="3"/>
  <c r="E30" i="3"/>
  <c r="F30" i="3"/>
  <c r="G30" i="3"/>
  <c r="H30" i="3"/>
  <c r="I30" i="3"/>
  <c r="J30" i="3"/>
  <c r="K30" i="3"/>
  <c r="N30" i="3"/>
  <c r="Q30" i="3"/>
  <c r="P30" i="3" s="1"/>
  <c r="D31" i="3"/>
  <c r="E31" i="3"/>
  <c r="F31" i="3"/>
  <c r="G31" i="3"/>
  <c r="H31" i="3"/>
  <c r="I31" i="3"/>
  <c r="J31" i="3"/>
  <c r="K31" i="3"/>
  <c r="L31" i="3"/>
  <c r="M31" i="3"/>
  <c r="N31" i="3"/>
  <c r="Q31" i="3"/>
  <c r="P31" i="3" s="1"/>
  <c r="D32" i="3"/>
  <c r="E32" i="3"/>
  <c r="F32" i="3"/>
  <c r="G32" i="3"/>
  <c r="H32" i="3"/>
  <c r="I32" i="3"/>
  <c r="J32" i="3"/>
  <c r="K32" i="3"/>
  <c r="L32" i="3"/>
  <c r="M32" i="3"/>
  <c r="N32" i="3"/>
  <c r="Q32" i="3"/>
  <c r="P32" i="3" s="1"/>
  <c r="E33" i="3"/>
  <c r="I33" i="3"/>
  <c r="B25" i="3"/>
  <c r="C25" i="3"/>
  <c r="C31" i="3" s="1"/>
  <c r="D25" i="3"/>
  <c r="E25" i="3"/>
  <c r="F25" i="3"/>
  <c r="G25" i="3"/>
  <c r="H25" i="3"/>
  <c r="I25" i="3"/>
  <c r="J25" i="3"/>
  <c r="K25" i="3"/>
  <c r="L25" i="3"/>
  <c r="M25" i="3"/>
  <c r="N25" i="3"/>
  <c r="E45" i="3"/>
  <c r="I47" i="3"/>
  <c r="B42" i="3"/>
  <c r="B48" i="3" s="1"/>
  <c r="C42" i="3"/>
  <c r="C46" i="3" s="1"/>
  <c r="D42" i="3"/>
  <c r="D47" i="3" s="1"/>
  <c r="E42" i="3"/>
  <c r="E47" i="3" s="1"/>
  <c r="F42" i="3"/>
  <c r="F47" i="3" s="1"/>
  <c r="G42" i="3"/>
  <c r="G46" i="3" s="1"/>
  <c r="H42" i="3"/>
  <c r="H47" i="3" s="1"/>
  <c r="I42" i="3"/>
  <c r="I45" i="3" s="1"/>
  <c r="J42" i="3"/>
  <c r="J47" i="3" s="1"/>
  <c r="K42" i="3"/>
  <c r="K46" i="3" s="1"/>
  <c r="L42" i="3"/>
  <c r="L47" i="3" s="1"/>
  <c r="M42" i="3"/>
  <c r="M45" i="3" s="1"/>
  <c r="N42" i="3"/>
  <c r="D50" i="3"/>
  <c r="J50" i="3"/>
  <c r="B53" i="3"/>
  <c r="C53" i="3"/>
  <c r="D53" i="3"/>
  <c r="E53" i="3"/>
  <c r="F53" i="3"/>
  <c r="G53" i="3"/>
  <c r="G61" i="3" s="1"/>
  <c r="H53" i="3"/>
  <c r="I53" i="3"/>
  <c r="K53" i="3"/>
  <c r="L53" i="3"/>
  <c r="M53" i="3"/>
  <c r="B54" i="3"/>
  <c r="D54" i="3"/>
  <c r="E54" i="3"/>
  <c r="H54" i="3"/>
  <c r="I54" i="3"/>
  <c r="J54" i="3"/>
  <c r="K54" i="3"/>
  <c r="L54" i="3"/>
  <c r="M54" i="3"/>
  <c r="N54" i="3"/>
  <c r="D55" i="3"/>
  <c r="F55" i="3"/>
  <c r="G55" i="3"/>
  <c r="G63" i="3" s="1"/>
  <c r="H55" i="3"/>
  <c r="I55" i="3"/>
  <c r="J55" i="3"/>
  <c r="K55" i="3"/>
  <c r="L55" i="3"/>
  <c r="M55" i="3"/>
  <c r="N55" i="3"/>
  <c r="E56" i="3"/>
  <c r="F56" i="3"/>
  <c r="G56" i="3"/>
  <c r="H56" i="3"/>
  <c r="I56" i="3"/>
  <c r="J56" i="3"/>
  <c r="K56" i="3"/>
  <c r="L56" i="3"/>
  <c r="M56" i="3"/>
  <c r="N56" i="3"/>
  <c r="G177" i="3" s="1"/>
  <c r="R64" i="3"/>
  <c r="B57" i="3"/>
  <c r="C57" i="3"/>
  <c r="E57" i="3"/>
  <c r="F57" i="3"/>
  <c r="J57" i="3"/>
  <c r="N57" i="3"/>
  <c r="C72" i="3"/>
  <c r="I73" i="3"/>
  <c r="C77" i="3"/>
  <c r="C78" i="3"/>
  <c r="C86" i="3"/>
  <c r="C87" i="3" s="1"/>
  <c r="B91" i="3"/>
  <c r="B92" i="3" s="1"/>
  <c r="C91" i="3"/>
  <c r="C92" i="3" s="1"/>
  <c r="E91" i="3"/>
  <c r="F91" i="3"/>
  <c r="G91" i="3"/>
  <c r="G92" i="3" s="1"/>
  <c r="J92" i="3" s="1"/>
  <c r="B181" i="3" s="1"/>
  <c r="E92" i="3"/>
  <c r="F92" i="3"/>
  <c r="B101" i="3"/>
  <c r="C101" i="3"/>
  <c r="D101" i="3"/>
  <c r="E101" i="3"/>
  <c r="F101" i="3"/>
  <c r="G101" i="3"/>
  <c r="K106" i="3"/>
  <c r="J106" i="3" s="1"/>
  <c r="K107" i="3"/>
  <c r="J107" i="3" s="1"/>
  <c r="K108" i="3"/>
  <c r="J108" i="3" s="1"/>
  <c r="K109" i="3"/>
  <c r="J109" i="3" s="1"/>
  <c r="K110" i="3"/>
  <c r="J110" i="3" s="1"/>
  <c r="K111" i="3"/>
  <c r="J111" i="3" s="1"/>
  <c r="K112" i="3"/>
  <c r="J112" i="3" s="1"/>
  <c r="K113" i="3"/>
  <c r="J113" i="3" s="1"/>
  <c r="K114" i="3"/>
  <c r="J114" i="3" s="1"/>
  <c r="C115" i="3"/>
  <c r="C116" i="3" s="1"/>
  <c r="K115" i="3"/>
  <c r="J115" i="3" s="1"/>
  <c r="K120" i="3"/>
  <c r="J120" i="3" s="1"/>
  <c r="K121" i="3"/>
  <c r="J121" i="3" s="1"/>
  <c r="K122" i="3"/>
  <c r="J122" i="3" s="1"/>
  <c r="K123" i="3"/>
  <c r="J123" i="3" s="1"/>
  <c r="K124" i="3"/>
  <c r="J124" i="3" s="1"/>
  <c r="K125" i="3"/>
  <c r="J125" i="3" s="1"/>
  <c r="K126" i="3"/>
  <c r="J126" i="3" s="1"/>
  <c r="K127" i="3"/>
  <c r="J127" i="3" s="1"/>
  <c r="K128" i="3"/>
  <c r="J128" i="3" s="1"/>
  <c r="C129" i="3"/>
  <c r="C130" i="3" s="1"/>
  <c r="K129" i="3"/>
  <c r="J129" i="3" s="1"/>
  <c r="P138" i="3"/>
  <c r="Q138" i="3"/>
  <c r="Q139" i="3"/>
  <c r="P139" i="3" s="1"/>
  <c r="Q141" i="3"/>
  <c r="P141" i="3" s="1"/>
  <c r="Q142" i="3"/>
  <c r="P142" i="3" s="1"/>
  <c r="Q143" i="3"/>
  <c r="P143" i="3" s="1"/>
  <c r="M147" i="3"/>
  <c r="N147" i="3"/>
  <c r="P148" i="3"/>
  <c r="Q148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D175" i="3"/>
  <c r="H175" i="3"/>
  <c r="B175" i="3" s="1"/>
  <c r="I175" i="3"/>
  <c r="B177" i="3"/>
  <c r="E177" i="3"/>
  <c r="F177" i="3"/>
  <c r="G179" i="3"/>
  <c r="I101" i="3"/>
  <c r="Q33" i="3"/>
  <c r="R171" i="3"/>
  <c r="R13" i="3" s="1"/>
  <c r="Q13" i="3" s="1"/>
  <c r="P13" i="3" s="1"/>
  <c r="H201" i="3"/>
  <c r="I201" i="3" s="1"/>
  <c r="A204" i="3"/>
  <c r="B5" i="2"/>
  <c r="C5" i="2"/>
  <c r="D5" i="2"/>
  <c r="W5" i="2" s="1"/>
  <c r="E5" i="2"/>
  <c r="F5" i="2"/>
  <c r="Y5" i="2" s="1"/>
  <c r="G5" i="2"/>
  <c r="Z2" i="2" s="1"/>
  <c r="H5" i="2"/>
  <c r="AA5" i="2" s="1"/>
  <c r="I5" i="2"/>
  <c r="AB5" i="2" s="1"/>
  <c r="J5" i="2"/>
  <c r="C66" i="2" s="1"/>
  <c r="K5" i="2"/>
  <c r="AD2" i="2" s="1"/>
  <c r="L5" i="2"/>
  <c r="AE5" i="2" s="1"/>
  <c r="M5" i="2"/>
  <c r="N5" i="2"/>
  <c r="V5" i="2"/>
  <c r="P15" i="2"/>
  <c r="P26" i="2" s="1"/>
  <c r="B16" i="2"/>
  <c r="C16" i="2"/>
  <c r="D16" i="2"/>
  <c r="E16" i="2"/>
  <c r="X10" i="2" s="1"/>
  <c r="F16" i="2"/>
  <c r="Y12" i="2" s="1"/>
  <c r="G16" i="2"/>
  <c r="Z15" i="2" s="1"/>
  <c r="H16" i="2"/>
  <c r="I16" i="2"/>
  <c r="AB10" i="2" s="1"/>
  <c r="J16" i="2"/>
  <c r="AC10" i="2" s="1"/>
  <c r="K16" i="2"/>
  <c r="AD11" i="2" s="1"/>
  <c r="L16" i="2"/>
  <c r="M16" i="2"/>
  <c r="AF10" i="2" s="1"/>
  <c r="N16" i="2"/>
  <c r="B27" i="2"/>
  <c r="U23" i="2" s="1"/>
  <c r="C27" i="2"/>
  <c r="V22" i="2" s="1"/>
  <c r="D27" i="2"/>
  <c r="W26" i="2" s="1"/>
  <c r="E27" i="2"/>
  <c r="X25" i="2" s="1"/>
  <c r="F27" i="2"/>
  <c r="Y22" i="2" s="1"/>
  <c r="G27" i="2"/>
  <c r="Z26" i="2" s="1"/>
  <c r="H27" i="2"/>
  <c r="AA24" i="2" s="1"/>
  <c r="I27" i="2"/>
  <c r="AB23" i="2" s="1"/>
  <c r="J27" i="2"/>
  <c r="AC24" i="2" s="1"/>
  <c r="K27" i="2"/>
  <c r="AD26" i="2" s="1"/>
  <c r="L27" i="2"/>
  <c r="AE22" i="2" s="1"/>
  <c r="M27" i="2"/>
  <c r="AF25" i="2" s="1"/>
  <c r="N27" i="2"/>
  <c r="AG21" i="2" s="1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G161" i="2" s="1"/>
  <c r="B33" i="2"/>
  <c r="U33" i="2" s="1"/>
  <c r="C33" i="2"/>
  <c r="V36" i="2" s="1"/>
  <c r="D33" i="2"/>
  <c r="W37" i="2" s="1"/>
  <c r="E33" i="2"/>
  <c r="X36" i="2" s="1"/>
  <c r="F33" i="2"/>
  <c r="Y33" i="2" s="1"/>
  <c r="G33" i="2"/>
  <c r="H33" i="2"/>
  <c r="AA33" i="2" s="1"/>
  <c r="I33" i="2"/>
  <c r="J33" i="2"/>
  <c r="AC33" i="2" s="1"/>
  <c r="K33" i="2"/>
  <c r="AD37" i="2" s="1"/>
  <c r="L33" i="2"/>
  <c r="AE37" i="2" s="1"/>
  <c r="M33" i="2"/>
  <c r="AF33" i="2" s="1"/>
  <c r="N33" i="2"/>
  <c r="V33" i="2"/>
  <c r="W33" i="2"/>
  <c r="X33" i="2"/>
  <c r="B34" i="2"/>
  <c r="U34" i="2" s="1"/>
  <c r="C34" i="2"/>
  <c r="D34" i="2"/>
  <c r="W34" i="2" s="1"/>
  <c r="E34" i="2"/>
  <c r="F34" i="2"/>
  <c r="Y34" i="2" s="1"/>
  <c r="G34" i="2"/>
  <c r="H34" i="2"/>
  <c r="I34" i="2"/>
  <c r="J34" i="2"/>
  <c r="K34" i="2"/>
  <c r="L34" i="2"/>
  <c r="M34" i="2"/>
  <c r="N34" i="2"/>
  <c r="AG34" i="2" s="1"/>
  <c r="B35" i="2"/>
  <c r="C35" i="2"/>
  <c r="D35" i="2"/>
  <c r="E35" i="2"/>
  <c r="G35" i="2"/>
  <c r="H35" i="2"/>
  <c r="AA35" i="2" s="1"/>
  <c r="I35" i="2"/>
  <c r="AB35" i="2" s="1"/>
  <c r="J35" i="2"/>
  <c r="AC35" i="2" s="1"/>
  <c r="K35" i="2"/>
  <c r="L35" i="2"/>
  <c r="AE35" i="2" s="1"/>
  <c r="M35" i="2"/>
  <c r="N35" i="2"/>
  <c r="AG35" i="2" s="1"/>
  <c r="U35" i="2"/>
  <c r="I36" i="2"/>
  <c r="J36" i="2"/>
  <c r="AC36" i="2" s="1"/>
  <c r="K36" i="2"/>
  <c r="L36" i="2"/>
  <c r="M36" i="2"/>
  <c r="N36" i="2"/>
  <c r="U36" i="2"/>
  <c r="Y36" i="2"/>
  <c r="I37" i="2"/>
  <c r="U37" i="2"/>
  <c r="Y37" i="2"/>
  <c r="I42" i="2"/>
  <c r="D60" i="2"/>
  <c r="E60" i="2"/>
  <c r="F60" i="2"/>
  <c r="F81" i="2" s="1"/>
  <c r="G60" i="2"/>
  <c r="N60" i="2"/>
  <c r="D61" i="2"/>
  <c r="D82" i="2" s="1"/>
  <c r="O82" i="2" s="1"/>
  <c r="E61" i="2"/>
  <c r="F61" i="2"/>
  <c r="G61" i="2"/>
  <c r="G82" i="2" s="1"/>
  <c r="R82" i="2" s="1"/>
  <c r="D62" i="2"/>
  <c r="E62" i="2"/>
  <c r="E83" i="2" s="1"/>
  <c r="F62" i="2"/>
  <c r="F83" i="2" s="1"/>
  <c r="G62" i="2"/>
  <c r="G83" i="2" s="1"/>
  <c r="D64" i="2"/>
  <c r="E64" i="2"/>
  <c r="E85" i="2" s="1"/>
  <c r="F64" i="2"/>
  <c r="F85" i="2" s="1"/>
  <c r="G64" i="2"/>
  <c r="G85" i="2" s="1"/>
  <c r="B65" i="2"/>
  <c r="C65" i="2"/>
  <c r="B77" i="2"/>
  <c r="C77" i="2"/>
  <c r="D77" i="2"/>
  <c r="E77" i="2"/>
  <c r="F77" i="2"/>
  <c r="G77" i="2"/>
  <c r="B81" i="2"/>
  <c r="C81" i="2"/>
  <c r="E81" i="2"/>
  <c r="B82" i="2"/>
  <c r="C82" i="2"/>
  <c r="N82" i="2" s="1"/>
  <c r="T82" i="2"/>
  <c r="B83" i="2"/>
  <c r="C83" i="2"/>
  <c r="D83" i="2"/>
  <c r="K89" i="2"/>
  <c r="K90" i="2"/>
  <c r="K91" i="2"/>
  <c r="K92" i="2"/>
  <c r="K93" i="2"/>
  <c r="K94" i="2"/>
  <c r="K95" i="2"/>
  <c r="K96" i="2"/>
  <c r="K97" i="2"/>
  <c r="K98" i="2"/>
  <c r="K102" i="2"/>
  <c r="K103" i="2"/>
  <c r="K104" i="2"/>
  <c r="K105" i="2"/>
  <c r="K106" i="2"/>
  <c r="K107" i="2"/>
  <c r="K108" i="2"/>
  <c r="K109" i="2"/>
  <c r="K110" i="2"/>
  <c r="K111" i="2"/>
  <c r="Q120" i="2"/>
  <c r="P120" i="2" s="1"/>
  <c r="Q123" i="2"/>
  <c r="P123" i="2" s="1"/>
  <c r="Q124" i="2"/>
  <c r="P124" i="2" s="1"/>
  <c r="B131" i="2"/>
  <c r="C131" i="2"/>
  <c r="D131" i="2"/>
  <c r="E131" i="2"/>
  <c r="F131" i="2"/>
  <c r="G131" i="2"/>
  <c r="H131" i="2"/>
  <c r="I131" i="2"/>
  <c r="J131" i="2"/>
  <c r="K131" i="2"/>
  <c r="L131" i="2"/>
  <c r="M131" i="2"/>
  <c r="Q131" i="2" s="1"/>
  <c r="N131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B159" i="2"/>
  <c r="P33" i="2" s="1"/>
  <c r="I82" i="2"/>
  <c r="R151" i="2"/>
  <c r="F157" i="2" s="1"/>
  <c r="S151" i="2"/>
  <c r="A188" i="2"/>
  <c r="B6" i="1"/>
  <c r="B13" i="1" s="1"/>
  <c r="C6" i="1"/>
  <c r="C13" i="1" s="1"/>
  <c r="D6" i="1"/>
  <c r="D11" i="1" s="1"/>
  <c r="E6" i="1"/>
  <c r="E11" i="1" s="1"/>
  <c r="F6" i="1"/>
  <c r="F12" i="1" s="1"/>
  <c r="G6" i="1"/>
  <c r="G13" i="1" s="1"/>
  <c r="H6" i="1"/>
  <c r="H12" i="1" s="1"/>
  <c r="I6" i="1"/>
  <c r="I11" i="1" s="1"/>
  <c r="J6" i="1"/>
  <c r="J13" i="1" s="1"/>
  <c r="K6" i="1"/>
  <c r="K11" i="1" s="1"/>
  <c r="L6" i="1"/>
  <c r="L12" i="1" s="1"/>
  <c r="M6" i="1"/>
  <c r="M11" i="1" s="1"/>
  <c r="N6" i="1"/>
  <c r="N13" i="1" s="1"/>
  <c r="L11" i="1"/>
  <c r="D12" i="1"/>
  <c r="H13" i="1"/>
  <c r="L13" i="1"/>
  <c r="D24" i="1"/>
  <c r="B25" i="1"/>
  <c r="B33" i="1" s="1"/>
  <c r="C25" i="1"/>
  <c r="C32" i="1" s="1"/>
  <c r="E25" i="1"/>
  <c r="E30" i="1" s="1"/>
  <c r="F25" i="1"/>
  <c r="F31" i="1" s="1"/>
  <c r="G25" i="1"/>
  <c r="G33" i="1" s="1"/>
  <c r="H25" i="1"/>
  <c r="H29" i="1" s="1"/>
  <c r="I25" i="1"/>
  <c r="I33" i="1" s="1"/>
  <c r="J25" i="1"/>
  <c r="J31" i="1" s="1"/>
  <c r="K25" i="1"/>
  <c r="K29" i="1" s="1"/>
  <c r="L25" i="1"/>
  <c r="L32" i="1" s="1"/>
  <c r="M25" i="1"/>
  <c r="M34" i="1" s="1"/>
  <c r="N25" i="1"/>
  <c r="N31" i="1" s="1"/>
  <c r="R25" i="1"/>
  <c r="L29" i="1"/>
  <c r="C31" i="1"/>
  <c r="N33" i="1"/>
  <c r="D46" i="1"/>
  <c r="Q46" i="1"/>
  <c r="B47" i="1"/>
  <c r="B54" i="1" s="1"/>
  <c r="C47" i="1"/>
  <c r="C53" i="1" s="1"/>
  <c r="D47" i="1"/>
  <c r="D53" i="1" s="1"/>
  <c r="E47" i="1"/>
  <c r="E52" i="1" s="1"/>
  <c r="F47" i="1"/>
  <c r="F52" i="1" s="1"/>
  <c r="G47" i="1"/>
  <c r="G51" i="1" s="1"/>
  <c r="H47" i="1"/>
  <c r="H54" i="1" s="1"/>
  <c r="I47" i="1"/>
  <c r="I52" i="1" s="1"/>
  <c r="J47" i="1"/>
  <c r="J53" i="1" s="1"/>
  <c r="K47" i="1"/>
  <c r="K57" i="1" s="1"/>
  <c r="L47" i="1"/>
  <c r="L51" i="1" s="1"/>
  <c r="M47" i="1"/>
  <c r="M51" i="1" s="1"/>
  <c r="N47" i="1"/>
  <c r="N52" i="1" s="1"/>
  <c r="C51" i="1"/>
  <c r="D51" i="1"/>
  <c r="E51" i="1"/>
  <c r="L54" i="1"/>
  <c r="L55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G251" i="1" s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G252" i="1" s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G253" i="1" s="1"/>
  <c r="B65" i="1"/>
  <c r="C65" i="1"/>
  <c r="D65" i="1"/>
  <c r="E65" i="1"/>
  <c r="G65" i="1"/>
  <c r="H65" i="1"/>
  <c r="I65" i="1"/>
  <c r="K65" i="1"/>
  <c r="L65" i="1"/>
  <c r="M65" i="1"/>
  <c r="N65" i="1"/>
  <c r="B66" i="1"/>
  <c r="C66" i="1"/>
  <c r="D66" i="1"/>
  <c r="E66" i="1"/>
  <c r="G66" i="1"/>
  <c r="H66" i="1"/>
  <c r="I66" i="1"/>
  <c r="K66" i="1"/>
  <c r="L66" i="1"/>
  <c r="M66" i="1"/>
  <c r="N66" i="1"/>
  <c r="B67" i="1"/>
  <c r="C67" i="1"/>
  <c r="D67" i="1"/>
  <c r="E67" i="1"/>
  <c r="G67" i="1"/>
  <c r="H67" i="1"/>
  <c r="I67" i="1"/>
  <c r="K67" i="1"/>
  <c r="L67" i="1"/>
  <c r="M67" i="1"/>
  <c r="N67" i="1"/>
  <c r="B68" i="1"/>
  <c r="C68" i="1"/>
  <c r="F68" i="1"/>
  <c r="H68" i="1"/>
  <c r="L68" i="1"/>
  <c r="J83" i="1"/>
  <c r="I83" i="1" s="1"/>
  <c r="B105" i="1"/>
  <c r="C105" i="1"/>
  <c r="D105" i="1"/>
  <c r="E105" i="1"/>
  <c r="F105" i="1"/>
  <c r="G105" i="1"/>
  <c r="B109" i="1"/>
  <c r="C109" i="1"/>
  <c r="D109" i="1"/>
  <c r="E109" i="1"/>
  <c r="F109" i="1"/>
  <c r="G109" i="1"/>
  <c r="E111" i="1"/>
  <c r="E113" i="1" s="1"/>
  <c r="H114" i="1"/>
  <c r="I114" i="1"/>
  <c r="B124" i="1"/>
  <c r="B128" i="1"/>
  <c r="J138" i="1"/>
  <c r="I138" i="1" s="1"/>
  <c r="C139" i="1"/>
  <c r="D139" i="1"/>
  <c r="E139" i="1"/>
  <c r="F139" i="1"/>
  <c r="G139" i="1"/>
  <c r="J142" i="1"/>
  <c r="I142" i="1" s="1"/>
  <c r="B143" i="1"/>
  <c r="B144" i="1" s="1"/>
  <c r="C143" i="1"/>
  <c r="D143" i="1"/>
  <c r="E143" i="1"/>
  <c r="F143" i="1"/>
  <c r="G143" i="1"/>
  <c r="C149" i="1"/>
  <c r="D149" i="1"/>
  <c r="E149" i="1"/>
  <c r="F149" i="1"/>
  <c r="G149" i="1"/>
  <c r="C150" i="1"/>
  <c r="D150" i="1"/>
  <c r="E150" i="1"/>
  <c r="F150" i="1"/>
  <c r="G150" i="1"/>
  <c r="G249" i="1" s="1"/>
  <c r="C151" i="1"/>
  <c r="D151" i="1"/>
  <c r="E151" i="1"/>
  <c r="F151" i="1"/>
  <c r="G151" i="1"/>
  <c r="C152" i="1"/>
  <c r="D152" i="1"/>
  <c r="E152" i="1"/>
  <c r="F152" i="1"/>
  <c r="G152" i="1"/>
  <c r="C155" i="1"/>
  <c r="D155" i="1"/>
  <c r="D167" i="1" s="1"/>
  <c r="E155" i="1"/>
  <c r="F155" i="1"/>
  <c r="G155" i="1"/>
  <c r="C156" i="1"/>
  <c r="I161" i="1"/>
  <c r="I162" i="1"/>
  <c r="K175" i="1"/>
  <c r="J175" i="1" s="1"/>
  <c r="K176" i="1"/>
  <c r="K177" i="1"/>
  <c r="J177" i="1" s="1"/>
  <c r="K178" i="1"/>
  <c r="J178" i="1" s="1"/>
  <c r="K179" i="1"/>
  <c r="J179" i="1" s="1"/>
  <c r="K180" i="1"/>
  <c r="J180" i="1" s="1"/>
  <c r="K181" i="1"/>
  <c r="J181" i="1" s="1"/>
  <c r="K182" i="1"/>
  <c r="J182" i="1" s="1"/>
  <c r="K183" i="1"/>
  <c r="J183" i="1" s="1"/>
  <c r="K184" i="1"/>
  <c r="J184" i="1" s="1"/>
  <c r="K188" i="1"/>
  <c r="J188" i="1" s="1"/>
  <c r="K189" i="1"/>
  <c r="K190" i="1"/>
  <c r="J190" i="1" s="1"/>
  <c r="K191" i="1"/>
  <c r="J191" i="1" s="1"/>
  <c r="K192" i="1"/>
  <c r="J192" i="1" s="1"/>
  <c r="K193" i="1"/>
  <c r="J193" i="1" s="1"/>
  <c r="K194" i="1"/>
  <c r="J194" i="1" s="1"/>
  <c r="K195" i="1"/>
  <c r="J195" i="1" s="1"/>
  <c r="K196" i="1"/>
  <c r="J196" i="1" s="1"/>
  <c r="K197" i="1"/>
  <c r="J197" i="1" s="1"/>
  <c r="P206" i="1"/>
  <c r="Q207" i="1"/>
  <c r="P207" i="1" s="1"/>
  <c r="P209" i="1"/>
  <c r="P210" i="1"/>
  <c r="P211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N237" i="1"/>
  <c r="E243" i="1" s="1"/>
  <c r="R237" i="1"/>
  <c r="F243" i="1" s="1"/>
  <c r="S237" i="1"/>
  <c r="R238" i="1"/>
  <c r="S238" i="1"/>
  <c r="I149" i="1"/>
  <c r="G280" i="1"/>
  <c r="H280" i="1" s="1"/>
  <c r="A282" i="1"/>
  <c r="H52" i="1" l="1"/>
  <c r="H35" i="1"/>
  <c r="D13" i="1"/>
  <c r="H11" i="1"/>
  <c r="H58" i="1"/>
  <c r="D52" i="1"/>
  <c r="N76" i="1"/>
  <c r="P76" i="1" s="1"/>
  <c r="P66" i="1" s="1"/>
  <c r="I76" i="1"/>
  <c r="D76" i="1"/>
  <c r="N77" i="1"/>
  <c r="P77" i="1" s="1"/>
  <c r="P67" i="1" s="1"/>
  <c r="I77" i="1"/>
  <c r="D77" i="1"/>
  <c r="K77" i="1"/>
  <c r="E77" i="1"/>
  <c r="C73" i="1"/>
  <c r="C75" i="1"/>
  <c r="C78" i="1"/>
  <c r="C72" i="1"/>
  <c r="C74" i="1"/>
  <c r="H76" i="1"/>
  <c r="G73" i="1"/>
  <c r="G75" i="1"/>
  <c r="G72" i="1"/>
  <c r="G74" i="1"/>
  <c r="G78" i="1"/>
  <c r="M77" i="1"/>
  <c r="H77" i="1"/>
  <c r="C77" i="1"/>
  <c r="L76" i="1"/>
  <c r="G76" i="1"/>
  <c r="B76" i="1"/>
  <c r="K72" i="1"/>
  <c r="K74" i="1"/>
  <c r="K78" i="1"/>
  <c r="K73" i="1"/>
  <c r="K75" i="1"/>
  <c r="E72" i="1"/>
  <c r="E74" i="1"/>
  <c r="E78" i="1"/>
  <c r="E73" i="1"/>
  <c r="E75" i="1"/>
  <c r="Q76" i="1"/>
  <c r="M73" i="1"/>
  <c r="M75" i="1"/>
  <c r="M72" i="1"/>
  <c r="M74" i="1"/>
  <c r="M78" i="1"/>
  <c r="H73" i="1"/>
  <c r="H75" i="1"/>
  <c r="H72" i="1"/>
  <c r="H74" i="1"/>
  <c r="H78" i="1"/>
  <c r="M76" i="1"/>
  <c r="C76" i="1"/>
  <c r="L73" i="1"/>
  <c r="L75" i="1"/>
  <c r="L72" i="1"/>
  <c r="L74" i="1"/>
  <c r="L78" i="1"/>
  <c r="B78" i="1"/>
  <c r="B74" i="1"/>
  <c r="B73" i="1"/>
  <c r="B72" i="1"/>
  <c r="B75" i="1"/>
  <c r="L77" i="1"/>
  <c r="G77" i="1"/>
  <c r="B77" i="1"/>
  <c r="K76" i="1"/>
  <c r="E76" i="1"/>
  <c r="N72" i="1"/>
  <c r="N74" i="1"/>
  <c r="N78" i="1"/>
  <c r="P78" i="1" s="1"/>
  <c r="N73" i="1"/>
  <c r="N75" i="1"/>
  <c r="P75" i="1" s="1"/>
  <c r="G245" i="1"/>
  <c r="I72" i="1"/>
  <c r="I74" i="1"/>
  <c r="I78" i="1"/>
  <c r="I73" i="1"/>
  <c r="I75" i="1"/>
  <c r="D72" i="1"/>
  <c r="D74" i="1"/>
  <c r="D73" i="1"/>
  <c r="D75" i="1"/>
  <c r="E122" i="7"/>
  <c r="G121" i="7"/>
  <c r="C121" i="7"/>
  <c r="R131" i="6"/>
  <c r="AG59" i="6"/>
  <c r="AG53" i="6"/>
  <c r="AG57" i="6"/>
  <c r="AC59" i="6"/>
  <c r="AC53" i="6"/>
  <c r="AC57" i="6"/>
  <c r="X59" i="6"/>
  <c r="X53" i="6"/>
  <c r="X58" i="6"/>
  <c r="X57" i="6"/>
  <c r="AG56" i="6"/>
  <c r="AC56" i="6"/>
  <c r="X56" i="6"/>
  <c r="AG55" i="6"/>
  <c r="AC55" i="6"/>
  <c r="X55" i="6"/>
  <c r="AF59" i="6"/>
  <c r="AF53" i="6"/>
  <c r="AF57" i="6"/>
  <c r="AB59" i="6"/>
  <c r="AB53" i="6"/>
  <c r="AB57" i="6"/>
  <c r="W59" i="6"/>
  <c r="W53" i="6"/>
  <c r="W58" i="6"/>
  <c r="W57" i="6"/>
  <c r="AF56" i="6"/>
  <c r="AB56" i="6"/>
  <c r="W56" i="6"/>
  <c r="AF55" i="6"/>
  <c r="AB55" i="6"/>
  <c r="W55" i="6"/>
  <c r="R122" i="6"/>
  <c r="AG58" i="6"/>
  <c r="AC58" i="6"/>
  <c r="AE53" i="6"/>
  <c r="AE57" i="6"/>
  <c r="AE59" i="6"/>
  <c r="AA53" i="6"/>
  <c r="AA57" i="6"/>
  <c r="AA59" i="6"/>
  <c r="V53" i="6"/>
  <c r="V58" i="6"/>
  <c r="V57" i="6"/>
  <c r="V59" i="6"/>
  <c r="AE56" i="6"/>
  <c r="AA56" i="6"/>
  <c r="V56" i="6"/>
  <c r="AE55" i="6"/>
  <c r="AA55" i="6"/>
  <c r="V55" i="6"/>
  <c r="AF58" i="6"/>
  <c r="AB58" i="6"/>
  <c r="AD57" i="6"/>
  <c r="AD53" i="6"/>
  <c r="AD59" i="6"/>
  <c r="Z57" i="6"/>
  <c r="Z59" i="6"/>
  <c r="Z53" i="6"/>
  <c r="U57" i="6"/>
  <c r="U53" i="6"/>
  <c r="U59" i="6"/>
  <c r="U58" i="6"/>
  <c r="AD56" i="6"/>
  <c r="Z56" i="6"/>
  <c r="U56" i="6"/>
  <c r="AD55" i="6"/>
  <c r="Z55" i="6"/>
  <c r="U55" i="6"/>
  <c r="AG52" i="6"/>
  <c r="AC52" i="6"/>
  <c r="X52" i="6"/>
  <c r="AG51" i="6"/>
  <c r="AC51" i="6"/>
  <c r="X51" i="6"/>
  <c r="AG50" i="6"/>
  <c r="AC50" i="6"/>
  <c r="X50" i="6"/>
  <c r="AG49" i="6"/>
  <c r="AC49" i="6"/>
  <c r="X49" i="6"/>
  <c r="H122" i="7"/>
  <c r="J122" i="7" s="1"/>
  <c r="J113" i="7" s="1"/>
  <c r="J92" i="7" s="1"/>
  <c r="D122" i="7"/>
  <c r="G122" i="7"/>
  <c r="C122" i="7"/>
  <c r="F122" i="7"/>
  <c r="G118" i="7"/>
  <c r="C118" i="7"/>
  <c r="G116" i="7"/>
  <c r="P51" i="6"/>
  <c r="P55" i="6" s="1"/>
  <c r="P57" i="6"/>
  <c r="F121" i="7"/>
  <c r="F118" i="7"/>
  <c r="F116" i="7"/>
  <c r="F120" i="7"/>
  <c r="E31" i="7"/>
  <c r="H117" i="7"/>
  <c r="J117" i="7" s="1"/>
  <c r="G198" i="7"/>
  <c r="J30" i="7"/>
  <c r="N29" i="7"/>
  <c r="B71" i="7"/>
  <c r="B78" i="7"/>
  <c r="J31" i="7"/>
  <c r="J29" i="7"/>
  <c r="B113" i="7"/>
  <c r="F100" i="7"/>
  <c r="F99" i="7"/>
  <c r="F103" i="7"/>
  <c r="F98" i="7"/>
  <c r="F102" i="7"/>
  <c r="F101" i="7"/>
  <c r="F97" i="7"/>
  <c r="F96" i="7"/>
  <c r="E120" i="7"/>
  <c r="D117" i="7"/>
  <c r="D116" i="7"/>
  <c r="E99" i="7"/>
  <c r="E103" i="7"/>
  <c r="E98" i="7"/>
  <c r="E102" i="7"/>
  <c r="E97" i="7"/>
  <c r="E101" i="7"/>
  <c r="E100" i="7"/>
  <c r="E96" i="7"/>
  <c r="M31" i="7"/>
  <c r="M29" i="7"/>
  <c r="E121" i="7"/>
  <c r="H120" i="7"/>
  <c r="J120" i="7" s="1"/>
  <c r="J111" i="7" s="1"/>
  <c r="J90" i="7" s="1"/>
  <c r="D120" i="7"/>
  <c r="E118" i="7"/>
  <c r="C116" i="7"/>
  <c r="C117" i="7"/>
  <c r="E116" i="7"/>
  <c r="H98" i="7"/>
  <c r="H102" i="7"/>
  <c r="H96" i="7"/>
  <c r="H97" i="7"/>
  <c r="H101" i="7"/>
  <c r="H100" i="7"/>
  <c r="H103" i="7"/>
  <c r="H99" i="7"/>
  <c r="D98" i="7"/>
  <c r="D102" i="7"/>
  <c r="D96" i="7"/>
  <c r="D97" i="7"/>
  <c r="D101" i="7"/>
  <c r="D100" i="7"/>
  <c r="D103" i="7"/>
  <c r="D99" i="7"/>
  <c r="B93" i="7"/>
  <c r="B99" i="7" s="1"/>
  <c r="I30" i="7"/>
  <c r="H28" i="7"/>
  <c r="Q4" i="7"/>
  <c r="Q2" i="7" s="1"/>
  <c r="P2" i="7" s="1"/>
  <c r="H121" i="7"/>
  <c r="J121" i="7" s="1"/>
  <c r="J112" i="7" s="1"/>
  <c r="J91" i="7" s="1"/>
  <c r="D121" i="7"/>
  <c r="G120" i="7"/>
  <c r="C120" i="7"/>
  <c r="H118" i="7"/>
  <c r="J118" i="7" s="1"/>
  <c r="J109" i="7" s="1"/>
  <c r="J88" i="7" s="1"/>
  <c r="D118" i="7"/>
  <c r="H116" i="7"/>
  <c r="J116" i="7" s="1"/>
  <c r="G97" i="7"/>
  <c r="G101" i="7"/>
  <c r="G100" i="7"/>
  <c r="G96" i="7"/>
  <c r="G99" i="7"/>
  <c r="G103" i="7"/>
  <c r="G98" i="7"/>
  <c r="G102" i="7"/>
  <c r="C97" i="7"/>
  <c r="C101" i="7"/>
  <c r="C100" i="7"/>
  <c r="C96" i="7"/>
  <c r="C99" i="7"/>
  <c r="C103" i="7"/>
  <c r="C102" i="7"/>
  <c r="C98" i="7"/>
  <c r="B109" i="7"/>
  <c r="B108" i="7"/>
  <c r="B120" i="7" s="1"/>
  <c r="I31" i="7"/>
  <c r="B30" i="7"/>
  <c r="I29" i="7"/>
  <c r="D28" i="7"/>
  <c r="F29" i="7"/>
  <c r="N17" i="7"/>
  <c r="D15" i="7"/>
  <c r="I14" i="7"/>
  <c r="H15" i="7"/>
  <c r="J17" i="7"/>
  <c r="E14" i="7"/>
  <c r="J16" i="7"/>
  <c r="N14" i="7"/>
  <c r="D14" i="7"/>
  <c r="N15" i="7"/>
  <c r="M14" i="7"/>
  <c r="G17" i="7"/>
  <c r="K16" i="7"/>
  <c r="G15" i="7"/>
  <c r="J14" i="7"/>
  <c r="G170" i="5"/>
  <c r="K169" i="5"/>
  <c r="N169" i="5" s="1"/>
  <c r="I171" i="5"/>
  <c r="R121" i="6"/>
  <c r="S125" i="6"/>
  <c r="R125" i="6"/>
  <c r="R130" i="6"/>
  <c r="Q125" i="6"/>
  <c r="G208" i="6"/>
  <c r="R124" i="6"/>
  <c r="R123" i="6"/>
  <c r="U131" i="6"/>
  <c r="Q130" i="6"/>
  <c r="E225" i="6"/>
  <c r="R126" i="6"/>
  <c r="R127" i="6"/>
  <c r="Q126" i="6"/>
  <c r="U127" i="6"/>
  <c r="Q127" i="6"/>
  <c r="AF33" i="6"/>
  <c r="AF36" i="6"/>
  <c r="AF44" i="6"/>
  <c r="AF34" i="6"/>
  <c r="AF41" i="6"/>
  <c r="AF39" i="6"/>
  <c r="AF42" i="6"/>
  <c r="AB34" i="6"/>
  <c r="AB39" i="6"/>
  <c r="AB41" i="6"/>
  <c r="AB36" i="6"/>
  <c r="X38" i="6"/>
  <c r="X33" i="6"/>
  <c r="X42" i="6"/>
  <c r="X40" i="6"/>
  <c r="AG14" i="6"/>
  <c r="S113" i="6"/>
  <c r="H44" i="6"/>
  <c r="N26" i="6"/>
  <c r="AG26" i="6" s="1"/>
  <c r="AG21" i="6"/>
  <c r="AC20" i="6"/>
  <c r="E115" i="6"/>
  <c r="R113" i="6"/>
  <c r="R108" i="6"/>
  <c r="S107" i="6"/>
  <c r="S106" i="6"/>
  <c r="R104" i="6"/>
  <c r="S102" i="6"/>
  <c r="R100" i="6"/>
  <c r="Q93" i="6"/>
  <c r="S88" i="6"/>
  <c r="Q87" i="6"/>
  <c r="U85" i="6"/>
  <c r="Q84" i="6"/>
  <c r="S82" i="6"/>
  <c r="Q81" i="6"/>
  <c r="G44" i="6"/>
  <c r="Z34" i="6" s="1"/>
  <c r="B44" i="6"/>
  <c r="U38" i="6" s="1"/>
  <c r="J26" i="6"/>
  <c r="B26" i="6"/>
  <c r="U26" i="6" s="1"/>
  <c r="AF24" i="6"/>
  <c r="AJ24" i="6" s="1"/>
  <c r="X24" i="6"/>
  <c r="AC22" i="6"/>
  <c r="AF21" i="6"/>
  <c r="AJ21" i="6" s="1"/>
  <c r="U21" i="6"/>
  <c r="AB20" i="6"/>
  <c r="AA17" i="6"/>
  <c r="U17" i="6"/>
  <c r="AA16" i="6"/>
  <c r="X15" i="6"/>
  <c r="AC14" i="6"/>
  <c r="AC9" i="6"/>
  <c r="AC8" i="6"/>
  <c r="U8" i="6"/>
  <c r="AD7" i="6"/>
  <c r="Y7" i="6"/>
  <c r="AD6" i="6"/>
  <c r="V6" i="6"/>
  <c r="AA5" i="6"/>
  <c r="V5" i="6"/>
  <c r="Z4" i="6"/>
  <c r="AD3" i="6"/>
  <c r="Y3" i="6"/>
  <c r="AC38" i="6"/>
  <c r="L44" i="6"/>
  <c r="Z36" i="6"/>
  <c r="AG24" i="6"/>
  <c r="AB23" i="6"/>
  <c r="X21" i="6"/>
  <c r="W5" i="6"/>
  <c r="U119" i="6"/>
  <c r="Q119" i="6"/>
  <c r="D115" i="6"/>
  <c r="Q109" i="6" s="1"/>
  <c r="S111" i="6"/>
  <c r="R107" i="6"/>
  <c r="R106" i="6"/>
  <c r="R102" i="6"/>
  <c r="U92" i="6"/>
  <c r="U89" i="6"/>
  <c r="R88" i="6"/>
  <c r="U86" i="6"/>
  <c r="Q85" i="6"/>
  <c r="U83" i="6"/>
  <c r="R82" i="6"/>
  <c r="AA25" i="6"/>
  <c r="AF23" i="6"/>
  <c r="AJ23" i="6" s="1"/>
  <c r="X22" i="6"/>
  <c r="AC21" i="6"/>
  <c r="AG20" i="6"/>
  <c r="U18" i="6"/>
  <c r="U16" i="6"/>
  <c r="W15" i="6"/>
  <c r="AA14" i="6"/>
  <c r="AB13" i="6"/>
  <c r="U13" i="6"/>
  <c r="Z8" i="6"/>
  <c r="AC7" i="6"/>
  <c r="W7" i="6"/>
  <c r="AC6" i="6"/>
  <c r="AG5" i="6"/>
  <c r="Y4" i="6"/>
  <c r="AC3" i="6"/>
  <c r="W3" i="6"/>
  <c r="H225" i="6"/>
  <c r="U130" i="6"/>
  <c r="S127" i="6"/>
  <c r="U124" i="6"/>
  <c r="U122" i="6"/>
  <c r="T120" i="6"/>
  <c r="X120" i="6" s="1"/>
  <c r="S120" i="6"/>
  <c r="U126" i="6"/>
  <c r="Q124" i="6"/>
  <c r="U123" i="6"/>
  <c r="Q123" i="6"/>
  <c r="D225" i="6"/>
  <c r="U129" i="6"/>
  <c r="Q129" i="6"/>
  <c r="U125" i="6"/>
  <c r="S123" i="6"/>
  <c r="Q122" i="6"/>
  <c r="Q121" i="6"/>
  <c r="T130" i="6"/>
  <c r="X130" i="6" s="1"/>
  <c r="T119" i="6"/>
  <c r="X119" i="6" s="1"/>
  <c r="P123" i="6"/>
  <c r="U121" i="6"/>
  <c r="R119" i="6"/>
  <c r="T131" i="6"/>
  <c r="X131" i="6" s="1"/>
  <c r="O119" i="6"/>
  <c r="F225" i="6"/>
  <c r="S126" i="6"/>
  <c r="S124" i="6"/>
  <c r="O123" i="6"/>
  <c r="T121" i="6"/>
  <c r="X121" i="6" s="1"/>
  <c r="P119" i="6"/>
  <c r="F65" i="3"/>
  <c r="F50" i="3"/>
  <c r="C49" i="3"/>
  <c r="J46" i="3"/>
  <c r="F48" i="3"/>
  <c r="F46" i="3"/>
  <c r="N65" i="3"/>
  <c r="Q65" i="3" s="1"/>
  <c r="N62" i="3"/>
  <c r="Q62" i="3" s="1"/>
  <c r="F61" i="3"/>
  <c r="B50" i="3"/>
  <c r="E46" i="3"/>
  <c r="E62" i="3"/>
  <c r="L49" i="3"/>
  <c r="D15" i="3"/>
  <c r="K10" i="3"/>
  <c r="H50" i="3"/>
  <c r="H49" i="3"/>
  <c r="D48" i="3"/>
  <c r="K45" i="3"/>
  <c r="H33" i="3"/>
  <c r="H14" i="3"/>
  <c r="D91" i="3"/>
  <c r="D92" i="3" s="1"/>
  <c r="E65" i="3"/>
  <c r="G62" i="3"/>
  <c r="G65" i="3"/>
  <c r="G64" i="3"/>
  <c r="N63" i="3"/>
  <c r="Q63" i="3" s="1"/>
  <c r="F63" i="3"/>
  <c r="E61" i="3"/>
  <c r="L50" i="3"/>
  <c r="G50" i="3"/>
  <c r="E49" i="3"/>
  <c r="H48" i="3"/>
  <c r="I46" i="3"/>
  <c r="D46" i="3"/>
  <c r="B31" i="3"/>
  <c r="B32" i="3"/>
  <c r="M30" i="3"/>
  <c r="D16" i="3"/>
  <c r="N14" i="3"/>
  <c r="H13" i="3"/>
  <c r="E64" i="3"/>
  <c r="E63" i="3"/>
  <c r="L46" i="3"/>
  <c r="L45" i="3"/>
  <c r="D13" i="3"/>
  <c r="L48" i="3"/>
  <c r="D45" i="3"/>
  <c r="N61" i="3"/>
  <c r="N64" i="3"/>
  <c r="Q64" i="3" s="1"/>
  <c r="F64" i="3"/>
  <c r="F62" i="3"/>
  <c r="K50" i="3"/>
  <c r="M49" i="3"/>
  <c r="D49" i="3"/>
  <c r="G48" i="3"/>
  <c r="K47" i="3"/>
  <c r="H46" i="3"/>
  <c r="H45" i="3"/>
  <c r="D33" i="3"/>
  <c r="H16" i="3"/>
  <c r="J14" i="3"/>
  <c r="F13" i="3"/>
  <c r="M63" i="3"/>
  <c r="I63" i="3"/>
  <c r="M61" i="3"/>
  <c r="K63" i="3"/>
  <c r="K61" i="3"/>
  <c r="J62" i="3"/>
  <c r="J63" i="3"/>
  <c r="M62" i="3"/>
  <c r="I62" i="3"/>
  <c r="L64" i="3"/>
  <c r="L65" i="3"/>
  <c r="K65" i="3"/>
  <c r="K64" i="3"/>
  <c r="J64" i="3"/>
  <c r="J61" i="3"/>
  <c r="J65" i="3"/>
  <c r="L62" i="3"/>
  <c r="H62" i="3"/>
  <c r="M64" i="3"/>
  <c r="M65" i="3"/>
  <c r="I64" i="3"/>
  <c r="I61" i="3"/>
  <c r="I65" i="3"/>
  <c r="L63" i="3"/>
  <c r="H63" i="3"/>
  <c r="K62" i="3"/>
  <c r="L61" i="3"/>
  <c r="H64" i="3"/>
  <c r="H61" i="3"/>
  <c r="H65" i="3"/>
  <c r="W3" i="4"/>
  <c r="S83" i="4"/>
  <c r="S82" i="4"/>
  <c r="Q79" i="4"/>
  <c r="S78" i="4"/>
  <c r="N58" i="4"/>
  <c r="X33" i="4"/>
  <c r="AF31" i="4"/>
  <c r="AB31" i="4"/>
  <c r="X31" i="4"/>
  <c r="AF30" i="4"/>
  <c r="AB30" i="4"/>
  <c r="X25" i="4"/>
  <c r="AJ11" i="4"/>
  <c r="W7" i="4"/>
  <c r="AA2" i="4"/>
  <c r="W2" i="4"/>
  <c r="O84" i="4"/>
  <c r="S79" i="4"/>
  <c r="O79" i="4"/>
  <c r="Q78" i="4"/>
  <c r="AD31" i="4"/>
  <c r="Z31" i="4"/>
  <c r="V31" i="4"/>
  <c r="AD30" i="4"/>
  <c r="AA3" i="4"/>
  <c r="AG33" i="2"/>
  <c r="G159" i="2"/>
  <c r="AG37" i="2"/>
  <c r="AG36" i="2"/>
  <c r="AC11" i="2"/>
  <c r="AC37" i="2"/>
  <c r="AF36" i="2"/>
  <c r="I167" i="5"/>
  <c r="B131" i="5"/>
  <c r="B136" i="5" s="1"/>
  <c r="H33" i="5"/>
  <c r="H46" i="5" s="1"/>
  <c r="K62" i="5"/>
  <c r="K69" i="5" s="1"/>
  <c r="J47" i="5"/>
  <c r="I166" i="5"/>
  <c r="D47" i="5"/>
  <c r="I45" i="5"/>
  <c r="M33" i="5"/>
  <c r="M42" i="5" s="1"/>
  <c r="L62" i="5"/>
  <c r="L69" i="5" s="1"/>
  <c r="H62" i="5"/>
  <c r="H69" i="5" s="1"/>
  <c r="P75" i="5"/>
  <c r="H170" i="5"/>
  <c r="G131" i="5"/>
  <c r="G136" i="5" s="1"/>
  <c r="C44" i="5"/>
  <c r="D14" i="5"/>
  <c r="K94" i="5"/>
  <c r="G94" i="5"/>
  <c r="C94" i="5"/>
  <c r="K39" i="5"/>
  <c r="C171" i="5"/>
  <c r="K166" i="5"/>
  <c r="E139" i="5"/>
  <c r="Q40" i="5"/>
  <c r="B224" i="6"/>
  <c r="K171" i="5"/>
  <c r="K170" i="5"/>
  <c r="N170" i="5" s="1"/>
  <c r="M161" i="5" s="1"/>
  <c r="G169" i="5"/>
  <c r="C166" i="5"/>
  <c r="D167" i="5"/>
  <c r="K99" i="5"/>
  <c r="G99" i="5"/>
  <c r="C99" i="5"/>
  <c r="K95" i="5"/>
  <c r="G95" i="5"/>
  <c r="C95" i="5"/>
  <c r="L94" i="5"/>
  <c r="H94" i="5"/>
  <c r="D94" i="5"/>
  <c r="J62" i="5"/>
  <c r="J73" i="5" s="1"/>
  <c r="B62" i="5"/>
  <c r="B74" i="5" s="1"/>
  <c r="L17" i="5"/>
  <c r="J46" i="5"/>
  <c r="F13" i="5"/>
  <c r="G171" i="5"/>
  <c r="H171" i="5"/>
  <c r="C170" i="5"/>
  <c r="H169" i="5"/>
  <c r="C168" i="5"/>
  <c r="K167" i="5"/>
  <c r="N167" i="5" s="1"/>
  <c r="M158" i="5" s="1"/>
  <c r="G167" i="5"/>
  <c r="C167" i="5"/>
  <c r="G166" i="5"/>
  <c r="H131" i="5"/>
  <c r="H137" i="5" s="1"/>
  <c r="B47" i="5"/>
  <c r="C33" i="5"/>
  <c r="C47" i="5" s="1"/>
  <c r="B42" i="5"/>
  <c r="N38" i="5"/>
  <c r="J14" i="5"/>
  <c r="E224" i="6"/>
  <c r="G248" i="5"/>
  <c r="D170" i="5"/>
  <c r="D169" i="5"/>
  <c r="D168" i="5"/>
  <c r="H167" i="5"/>
  <c r="J167" i="5"/>
  <c r="N62" i="5"/>
  <c r="N68" i="5" s="1"/>
  <c r="I62" i="5"/>
  <c r="I67" i="5" s="1"/>
  <c r="E62" i="5"/>
  <c r="E69" i="5" s="1"/>
  <c r="J42" i="5"/>
  <c r="D244" i="5"/>
  <c r="B244" i="5" s="1"/>
  <c r="Q6" i="5" s="1"/>
  <c r="Q9" i="5" s="1"/>
  <c r="Q10" i="5" s="1"/>
  <c r="Q4" i="5" s="1"/>
  <c r="L14" i="5"/>
  <c r="G135" i="5"/>
  <c r="J166" i="5"/>
  <c r="G224" i="6"/>
  <c r="F169" i="5"/>
  <c r="C224" i="6"/>
  <c r="B169" i="5"/>
  <c r="B168" i="5"/>
  <c r="K141" i="5"/>
  <c r="K135" i="5"/>
  <c r="K136" i="5"/>
  <c r="K137" i="5"/>
  <c r="K140" i="5"/>
  <c r="I135" i="5"/>
  <c r="I136" i="5"/>
  <c r="I137" i="5"/>
  <c r="I138" i="5"/>
  <c r="I139" i="5"/>
  <c r="D135" i="5"/>
  <c r="D137" i="5"/>
  <c r="D138" i="5"/>
  <c r="K185" i="5"/>
  <c r="N96" i="5"/>
  <c r="N100" i="5"/>
  <c r="B100" i="5"/>
  <c r="B99" i="5"/>
  <c r="J96" i="5"/>
  <c r="F96" i="5"/>
  <c r="B96" i="5"/>
  <c r="D141" i="5"/>
  <c r="K139" i="5"/>
  <c r="N139" i="5" s="1"/>
  <c r="E135" i="5"/>
  <c r="E140" i="5"/>
  <c r="E136" i="5"/>
  <c r="B45" i="5"/>
  <c r="H244" i="5"/>
  <c r="I169" i="5"/>
  <c r="J131" i="5"/>
  <c r="J138" i="5" s="1"/>
  <c r="N138" i="5" s="1"/>
  <c r="F131" i="5"/>
  <c r="F137" i="5" s="1"/>
  <c r="N99" i="5"/>
  <c r="G250" i="5"/>
  <c r="J99" i="5"/>
  <c r="F99" i="5"/>
  <c r="M96" i="5"/>
  <c r="I96" i="5"/>
  <c r="E96" i="5"/>
  <c r="N95" i="5"/>
  <c r="J95" i="5"/>
  <c r="F95" i="5"/>
  <c r="B95" i="5"/>
  <c r="F62" i="5"/>
  <c r="F74" i="5" s="1"/>
  <c r="N45" i="5"/>
  <c r="F44" i="5"/>
  <c r="G39" i="5"/>
  <c r="L13" i="5"/>
  <c r="D13" i="5"/>
  <c r="G246" i="5"/>
  <c r="C199" i="5"/>
  <c r="I170" i="5"/>
  <c r="E169" i="5"/>
  <c r="E167" i="5"/>
  <c r="I141" i="5"/>
  <c r="E141" i="5"/>
  <c r="L99" i="5"/>
  <c r="H99" i="5"/>
  <c r="D99" i="5"/>
  <c r="K96" i="5"/>
  <c r="G96" i="5"/>
  <c r="C96" i="5"/>
  <c r="L95" i="5"/>
  <c r="H95" i="5"/>
  <c r="D95" i="5"/>
  <c r="M94" i="5"/>
  <c r="I94" i="5"/>
  <c r="E94" i="5"/>
  <c r="D62" i="5"/>
  <c r="D67" i="5" s="1"/>
  <c r="G62" i="5"/>
  <c r="G67" i="5" s="1"/>
  <c r="C62" i="5"/>
  <c r="C68" i="5" s="1"/>
  <c r="P71" i="5"/>
  <c r="K33" i="5"/>
  <c r="K47" i="5" s="1"/>
  <c r="G33" i="5"/>
  <c r="G46" i="5" s="1"/>
  <c r="L39" i="5"/>
  <c r="H17" i="5"/>
  <c r="N17" i="5"/>
  <c r="G244" i="5"/>
  <c r="F14" i="5"/>
  <c r="H13" i="5"/>
  <c r="E170" i="5"/>
  <c r="M99" i="5"/>
  <c r="I99" i="5"/>
  <c r="E99" i="5"/>
  <c r="L96" i="5"/>
  <c r="H96" i="5"/>
  <c r="D96" i="5"/>
  <c r="M95" i="5"/>
  <c r="Q95" i="5" s="1"/>
  <c r="I95" i="5"/>
  <c r="E95" i="5"/>
  <c r="N94" i="5"/>
  <c r="J94" i="5"/>
  <c r="F94" i="5"/>
  <c r="B94" i="5"/>
  <c r="M62" i="5"/>
  <c r="M73" i="5" s="1"/>
  <c r="K45" i="5"/>
  <c r="F33" i="5"/>
  <c r="F42" i="5" s="1"/>
  <c r="F39" i="5"/>
  <c r="J13" i="5"/>
  <c r="Q83" i="4"/>
  <c r="Q81" i="4"/>
  <c r="V81" i="4" s="1"/>
  <c r="I81" i="4" s="1"/>
  <c r="Q80" i="4"/>
  <c r="Q62" i="4"/>
  <c r="Q60" i="4"/>
  <c r="Q56" i="4"/>
  <c r="G154" i="4"/>
  <c r="AG30" i="4"/>
  <c r="AG32" i="4"/>
  <c r="AG33" i="4"/>
  <c r="AC32" i="4"/>
  <c r="AC33" i="4"/>
  <c r="Y30" i="4"/>
  <c r="Y32" i="4"/>
  <c r="Y33" i="4"/>
  <c r="AG29" i="4"/>
  <c r="AC29" i="4"/>
  <c r="Y29" i="4"/>
  <c r="U29" i="4"/>
  <c r="W24" i="4"/>
  <c r="W21" i="4"/>
  <c r="W20" i="4"/>
  <c r="AB6" i="4"/>
  <c r="X5" i="4"/>
  <c r="D152" i="4"/>
  <c r="O83" i="4"/>
  <c r="O81" i="4"/>
  <c r="P79" i="4"/>
  <c r="O61" i="4"/>
  <c r="Q59" i="4"/>
  <c r="S57" i="4"/>
  <c r="AF32" i="4"/>
  <c r="AF33" i="4"/>
  <c r="AB32" i="4"/>
  <c r="AB33" i="4"/>
  <c r="X30" i="4"/>
  <c r="X32" i="4"/>
  <c r="AG31" i="4"/>
  <c r="AC31" i="4"/>
  <c r="Y31" i="4"/>
  <c r="U31" i="4"/>
  <c r="AC30" i="4"/>
  <c r="AF29" i="4"/>
  <c r="AB29" i="4"/>
  <c r="X29" i="4"/>
  <c r="W23" i="4"/>
  <c r="AB7" i="4"/>
  <c r="AA6" i="4"/>
  <c r="Y3" i="4"/>
  <c r="Q58" i="4"/>
  <c r="AE32" i="4"/>
  <c r="AE33" i="4"/>
  <c r="AA30" i="4"/>
  <c r="AA33" i="4"/>
  <c r="AA32" i="4"/>
  <c r="W30" i="4"/>
  <c r="W32" i="4"/>
  <c r="W33" i="4"/>
  <c r="AE29" i="4"/>
  <c r="AA29" i="4"/>
  <c r="W29" i="4"/>
  <c r="AF6" i="4"/>
  <c r="X6" i="4"/>
  <c r="AF5" i="4"/>
  <c r="S60" i="4"/>
  <c r="O58" i="4"/>
  <c r="U33" i="4"/>
  <c r="AD32" i="4"/>
  <c r="AD33" i="4"/>
  <c r="Z33" i="4"/>
  <c r="Z30" i="4"/>
  <c r="Z32" i="4"/>
  <c r="V30" i="4"/>
  <c r="V32" i="4"/>
  <c r="V33" i="4"/>
  <c r="AE31" i="4"/>
  <c r="AA31" i="4"/>
  <c r="W31" i="4"/>
  <c r="AE30" i="4"/>
  <c r="U30" i="4"/>
  <c r="AD29" i="4"/>
  <c r="Z29" i="4"/>
  <c r="V29" i="4"/>
  <c r="X7" i="4"/>
  <c r="AD6" i="4"/>
  <c r="W6" i="4"/>
  <c r="AB5" i="4"/>
  <c r="AD2" i="4"/>
  <c r="P32" i="4"/>
  <c r="P56" i="3"/>
  <c r="B182" i="3"/>
  <c r="J90" i="3" s="1"/>
  <c r="I90" i="3" s="1"/>
  <c r="I96" i="3" s="1"/>
  <c r="I72" i="3" s="1"/>
  <c r="K116" i="3"/>
  <c r="J175" i="3"/>
  <c r="AA37" i="2"/>
  <c r="AE36" i="2"/>
  <c r="W36" i="2"/>
  <c r="Q5" i="2"/>
  <c r="P5" i="2" s="1"/>
  <c r="AA36" i="2"/>
  <c r="W35" i="2"/>
  <c r="AA32" i="2"/>
  <c r="F110" i="1"/>
  <c r="D110" i="1"/>
  <c r="E110" i="1"/>
  <c r="G110" i="1"/>
  <c r="C110" i="1"/>
  <c r="N35" i="1"/>
  <c r="M57" i="1"/>
  <c r="L58" i="1"/>
  <c r="D56" i="1"/>
  <c r="C55" i="1"/>
  <c r="L52" i="1"/>
  <c r="H51" i="1"/>
  <c r="G32" i="1"/>
  <c r="F13" i="1"/>
  <c r="E10" i="1"/>
  <c r="M54" i="1"/>
  <c r="E55" i="1"/>
  <c r="L56" i="1"/>
  <c r="D55" i="1"/>
  <c r="D54" i="1"/>
  <c r="H36" i="1"/>
  <c r="H33" i="1"/>
  <c r="I12" i="1"/>
  <c r="G144" i="1"/>
  <c r="E54" i="1"/>
  <c r="F35" i="1"/>
  <c r="F33" i="1"/>
  <c r="N57" i="1"/>
  <c r="M55" i="1"/>
  <c r="I34" i="1"/>
  <c r="M32" i="1"/>
  <c r="J52" i="1"/>
  <c r="B52" i="1"/>
  <c r="L31" i="1"/>
  <c r="L30" i="1"/>
  <c r="F58" i="1"/>
  <c r="I54" i="1"/>
  <c r="L35" i="1"/>
  <c r="B35" i="1"/>
  <c r="L33" i="1"/>
  <c r="C33" i="1"/>
  <c r="H31" i="1"/>
  <c r="K30" i="1"/>
  <c r="G12" i="1"/>
  <c r="C11" i="1"/>
  <c r="D58" i="1"/>
  <c r="H56" i="1"/>
  <c r="H55" i="1"/>
  <c r="N54" i="1"/>
  <c r="I51" i="1"/>
  <c r="K36" i="1"/>
  <c r="J35" i="1"/>
  <c r="L34" i="1"/>
  <c r="J33" i="1"/>
  <c r="G31" i="1"/>
  <c r="H30" i="1"/>
  <c r="F14" i="1"/>
  <c r="F10" i="1"/>
  <c r="B31" i="7"/>
  <c r="B29" i="7"/>
  <c r="K28" i="7"/>
  <c r="G28" i="7"/>
  <c r="L15" i="7"/>
  <c r="N30" i="7"/>
  <c r="F30" i="7"/>
  <c r="G29" i="7"/>
  <c r="N28" i="7"/>
  <c r="F28" i="7"/>
  <c r="B17" i="7"/>
  <c r="G16" i="7"/>
  <c r="K15" i="7"/>
  <c r="L14" i="7"/>
  <c r="H14" i="7"/>
  <c r="B14" i="7"/>
  <c r="M30" i="7"/>
  <c r="E30" i="7"/>
  <c r="K29" i="7"/>
  <c r="K17" i="7"/>
  <c r="B16" i="7"/>
  <c r="M81" i="2"/>
  <c r="E66" i="2"/>
  <c r="E67" i="2" s="1"/>
  <c r="AE32" i="2"/>
  <c r="W32" i="2"/>
  <c r="AC23" i="2"/>
  <c r="E65" i="2"/>
  <c r="O83" i="2"/>
  <c r="E82" i="2"/>
  <c r="P82" i="2" s="1"/>
  <c r="U26" i="2"/>
  <c r="AB36" i="2"/>
  <c r="X21" i="2"/>
  <c r="R83" i="2"/>
  <c r="U83" i="2" s="1"/>
  <c r="I83" i="2" s="1"/>
  <c r="AF35" i="2"/>
  <c r="X34" i="2"/>
  <c r="AB33" i="2"/>
  <c r="Z32" i="2"/>
  <c r="AF32" i="2"/>
  <c r="X32" i="2"/>
  <c r="AJ32" i="2" s="1"/>
  <c r="W25" i="2"/>
  <c r="AC22" i="2"/>
  <c r="X16" i="2"/>
  <c r="AD14" i="2"/>
  <c r="W3" i="2"/>
  <c r="F65" i="2"/>
  <c r="Z37" i="2"/>
  <c r="V37" i="2"/>
  <c r="Z36" i="2"/>
  <c r="AD36" i="2"/>
  <c r="AA26" i="2"/>
  <c r="W24" i="2"/>
  <c r="AF21" i="2"/>
  <c r="Y13" i="2"/>
  <c r="H157" i="2"/>
  <c r="B157" i="2" s="1"/>
  <c r="W2" i="2"/>
  <c r="R85" i="2"/>
  <c r="U85" i="2" s="1"/>
  <c r="I85" i="2" s="1"/>
  <c r="AB15" i="2"/>
  <c r="AF37" i="2"/>
  <c r="AB37" i="2"/>
  <c r="X37" i="2"/>
  <c r="X35" i="2"/>
  <c r="AF34" i="2"/>
  <c r="AB34" i="2"/>
  <c r="AC25" i="2"/>
  <c r="X23" i="2"/>
  <c r="AD16" i="2"/>
  <c r="AE16" i="2"/>
  <c r="Y10" i="2"/>
  <c r="W4" i="2"/>
  <c r="Z33" i="2"/>
  <c r="AG25" i="2"/>
  <c r="AB25" i="2"/>
  <c r="AG24" i="2"/>
  <c r="V24" i="2"/>
  <c r="W23" i="2"/>
  <c r="AA22" i="2"/>
  <c r="AE21" i="2"/>
  <c r="W21" i="2"/>
  <c r="AC14" i="2"/>
  <c r="AD12" i="2"/>
  <c r="Y11" i="2"/>
  <c r="AD5" i="2"/>
  <c r="V4" i="2"/>
  <c r="V3" i="2"/>
  <c r="V2" i="2"/>
  <c r="Z35" i="2"/>
  <c r="K112" i="2"/>
  <c r="F82" i="2"/>
  <c r="Q82" i="2" s="1"/>
  <c r="D66" i="2"/>
  <c r="O61" i="2" s="1"/>
  <c r="AE34" i="2"/>
  <c r="AA34" i="2"/>
  <c r="AE33" i="2"/>
  <c r="AB32" i="2"/>
  <c r="AE26" i="2"/>
  <c r="Y26" i="2"/>
  <c r="AA25" i="2"/>
  <c r="AE24" i="2"/>
  <c r="U24" i="2"/>
  <c r="AA23" i="2"/>
  <c r="AG22" i="2"/>
  <c r="W22" i="2"/>
  <c r="AA21" i="2"/>
  <c r="U21" i="2"/>
  <c r="X15" i="2"/>
  <c r="Y14" i="2"/>
  <c r="AC12" i="2"/>
  <c r="AD10" i="2"/>
  <c r="AD4" i="2"/>
  <c r="AD3" i="2"/>
  <c r="V35" i="2"/>
  <c r="AD32" i="2"/>
  <c r="V32" i="2"/>
  <c r="AE25" i="2"/>
  <c r="AE23" i="2"/>
  <c r="Y23" i="2"/>
  <c r="Y21" i="2"/>
  <c r="AF15" i="2"/>
  <c r="AC13" i="2"/>
  <c r="Z5" i="2"/>
  <c r="Z4" i="2"/>
  <c r="Z3" i="2"/>
  <c r="K55" i="1"/>
  <c r="K31" i="1"/>
  <c r="B31" i="1"/>
  <c r="G30" i="1"/>
  <c r="G29" i="1"/>
  <c r="K14" i="1"/>
  <c r="G10" i="1"/>
  <c r="C144" i="1"/>
  <c r="M58" i="1"/>
  <c r="C57" i="1"/>
  <c r="K53" i="1"/>
  <c r="M35" i="1"/>
  <c r="I35" i="1"/>
  <c r="E35" i="1"/>
  <c r="K34" i="1"/>
  <c r="M33" i="1"/>
  <c r="E33" i="1"/>
  <c r="K32" i="1"/>
  <c r="B29" i="1"/>
  <c r="G14" i="1"/>
  <c r="R36" i="1"/>
  <c r="F144" i="1"/>
  <c r="I58" i="1"/>
  <c r="I56" i="1"/>
  <c r="K35" i="1"/>
  <c r="G35" i="1"/>
  <c r="G34" i="1"/>
  <c r="K33" i="1"/>
  <c r="E14" i="1"/>
  <c r="K10" i="1"/>
  <c r="G57" i="1"/>
  <c r="G56" i="1"/>
  <c r="G53" i="1"/>
  <c r="D144" i="1"/>
  <c r="E120" i="1"/>
  <c r="E162" i="1" s="1"/>
  <c r="D111" i="1"/>
  <c r="D112" i="1" s="1"/>
  <c r="E57" i="1"/>
  <c r="K56" i="1"/>
  <c r="E56" i="1"/>
  <c r="G55" i="1"/>
  <c r="M53" i="1"/>
  <c r="E53" i="1"/>
  <c r="K52" i="1"/>
  <c r="G52" i="1"/>
  <c r="C52" i="1"/>
  <c r="K51" i="1"/>
  <c r="I36" i="1"/>
  <c r="C34" i="1"/>
  <c r="H32" i="1"/>
  <c r="F29" i="1"/>
  <c r="E36" i="1"/>
  <c r="M14" i="1"/>
  <c r="M13" i="1"/>
  <c r="I13" i="1"/>
  <c r="E13" i="1"/>
  <c r="M12" i="1"/>
  <c r="C12" i="1"/>
  <c r="G11" i="1"/>
  <c r="I10" i="1"/>
  <c r="C10" i="1"/>
  <c r="J29" i="1"/>
  <c r="D243" i="1"/>
  <c r="G167" i="1"/>
  <c r="F111" i="1"/>
  <c r="E58" i="1"/>
  <c r="I57" i="1"/>
  <c r="M56" i="1"/>
  <c r="C56" i="1"/>
  <c r="I55" i="1"/>
  <c r="I53" i="1"/>
  <c r="M52" i="1"/>
  <c r="L36" i="1"/>
  <c r="G36" i="1"/>
  <c r="H34" i="1"/>
  <c r="N29" i="1"/>
  <c r="I14" i="1"/>
  <c r="C14" i="1"/>
  <c r="K13" i="1"/>
  <c r="K12" i="1"/>
  <c r="E12" i="1"/>
  <c r="M10" i="1"/>
  <c r="E167" i="1"/>
  <c r="I150" i="1"/>
  <c r="G248" i="1"/>
  <c r="E164" i="1"/>
  <c r="D164" i="1"/>
  <c r="C163" i="1"/>
  <c r="D163" i="1"/>
  <c r="F163" i="1"/>
  <c r="G163" i="1"/>
  <c r="F167" i="1"/>
  <c r="K185" i="1"/>
  <c r="J185" i="1" s="1"/>
  <c r="I84" i="1" s="1"/>
  <c r="J84" i="1" s="1"/>
  <c r="J176" i="1"/>
  <c r="C164" i="1"/>
  <c r="C167" i="1"/>
  <c r="G164" i="1"/>
  <c r="F164" i="1"/>
  <c r="F15" i="7"/>
  <c r="F16" i="7"/>
  <c r="F17" i="7"/>
  <c r="C15" i="7"/>
  <c r="C16" i="7"/>
  <c r="C17" i="7"/>
  <c r="H31" i="7"/>
  <c r="D31" i="7"/>
  <c r="C24" i="7"/>
  <c r="C28" i="7" s="1"/>
  <c r="M17" i="7"/>
  <c r="E17" i="7"/>
  <c r="F35" i="7"/>
  <c r="F40" i="7" s="1"/>
  <c r="K30" i="7"/>
  <c r="G30" i="7"/>
  <c r="L29" i="7"/>
  <c r="H29" i="7"/>
  <c r="D29" i="7"/>
  <c r="L16" i="7"/>
  <c r="H16" i="7"/>
  <c r="D16" i="7"/>
  <c r="M15" i="7"/>
  <c r="I15" i="7"/>
  <c r="E15" i="7"/>
  <c r="F14" i="7"/>
  <c r="B110" i="7"/>
  <c r="L31" i="7"/>
  <c r="I17" i="7"/>
  <c r="C14" i="7"/>
  <c r="O120" i="6"/>
  <c r="T111" i="6"/>
  <c r="T113" i="6"/>
  <c r="G115" i="6"/>
  <c r="B115" i="6"/>
  <c r="O109" i="6" s="1"/>
  <c r="O114" i="6"/>
  <c r="T112" i="6"/>
  <c r="O87" i="6"/>
  <c r="O88" i="6"/>
  <c r="O85" i="6"/>
  <c r="O86" i="6"/>
  <c r="O89" i="6"/>
  <c r="O84" i="6"/>
  <c r="O81" i="6"/>
  <c r="Z42" i="6"/>
  <c r="Z32" i="6"/>
  <c r="C44" i="6"/>
  <c r="V36" i="6" s="1"/>
  <c r="S131" i="6"/>
  <c r="O126" i="6"/>
  <c r="O124" i="6"/>
  <c r="T123" i="6"/>
  <c r="X123" i="6" s="1"/>
  <c r="S121" i="6"/>
  <c r="O121" i="6"/>
  <c r="S119" i="6"/>
  <c r="R109" i="6"/>
  <c r="R114" i="6"/>
  <c r="Q114" i="6"/>
  <c r="S109" i="6"/>
  <c r="S114" i="6"/>
  <c r="Q112" i="6"/>
  <c r="U109" i="6"/>
  <c r="U100" i="6"/>
  <c r="U102" i="6"/>
  <c r="U104" i="6"/>
  <c r="U106" i="6"/>
  <c r="U107" i="6"/>
  <c r="U108" i="6"/>
  <c r="Q107" i="6"/>
  <c r="Q108" i="6"/>
  <c r="Q100" i="6"/>
  <c r="Q102" i="6"/>
  <c r="Q104" i="6"/>
  <c r="Q106" i="6"/>
  <c r="U105" i="6"/>
  <c r="U101" i="6"/>
  <c r="S92" i="6"/>
  <c r="S85" i="6"/>
  <c r="S86" i="6"/>
  <c r="S95" i="6"/>
  <c r="S83" i="6"/>
  <c r="S84" i="6"/>
  <c r="S93" i="6"/>
  <c r="S90" i="6"/>
  <c r="Q90" i="6"/>
  <c r="R90" i="6"/>
  <c r="S87" i="6"/>
  <c r="O83" i="6"/>
  <c r="Z44" i="6"/>
  <c r="AA43" i="6"/>
  <c r="AC41" i="6"/>
  <c r="AE40" i="6"/>
  <c r="AC36" i="6"/>
  <c r="U33" i="6"/>
  <c r="Z31" i="6"/>
  <c r="AF2" i="6"/>
  <c r="AF3" i="6"/>
  <c r="AF4" i="6"/>
  <c r="AF5" i="6"/>
  <c r="AF6" i="6"/>
  <c r="AF7" i="6"/>
  <c r="AF8" i="6"/>
  <c r="AF9" i="6"/>
  <c r="G96" i="6"/>
  <c r="D206" i="6"/>
  <c r="H206" i="6"/>
  <c r="AB2" i="6"/>
  <c r="AB3" i="6"/>
  <c r="AB4" i="6"/>
  <c r="AB5" i="6"/>
  <c r="AB6" i="6"/>
  <c r="AB7" i="6"/>
  <c r="AB8" i="6"/>
  <c r="C96" i="6"/>
  <c r="AB9" i="6"/>
  <c r="X2" i="6"/>
  <c r="X3" i="6"/>
  <c r="X4" i="6"/>
  <c r="X5" i="6"/>
  <c r="X6" i="6"/>
  <c r="X7" i="6"/>
  <c r="X8" i="6"/>
  <c r="X9" i="6"/>
  <c r="T129" i="6"/>
  <c r="X129" i="6" s="1"/>
  <c r="T100" i="6"/>
  <c r="T101" i="6"/>
  <c r="T102" i="6"/>
  <c r="T103" i="6"/>
  <c r="T104" i="6"/>
  <c r="T105" i="6"/>
  <c r="T106" i="6"/>
  <c r="P100" i="6"/>
  <c r="P101" i="6"/>
  <c r="P102" i="6"/>
  <c r="P103" i="6"/>
  <c r="P104" i="6"/>
  <c r="P105" i="6"/>
  <c r="P106" i="6"/>
  <c r="C115" i="6"/>
  <c r="Q105" i="6"/>
  <c r="Q101" i="6"/>
  <c r="R95" i="6"/>
  <c r="O90" i="6"/>
  <c r="T90" i="6"/>
  <c r="X90" i="6" s="1"/>
  <c r="P90" i="6"/>
  <c r="S89" i="6"/>
  <c r="O82" i="6"/>
  <c r="S81" i="6"/>
  <c r="K44" i="6"/>
  <c r="AD36" i="6" s="1"/>
  <c r="X31" i="6"/>
  <c r="X35" i="6"/>
  <c r="X39" i="6"/>
  <c r="X44" i="6"/>
  <c r="X32" i="6"/>
  <c r="X34" i="6"/>
  <c r="X41" i="6"/>
  <c r="X36" i="6"/>
  <c r="X43" i="6"/>
  <c r="U32" i="6"/>
  <c r="B225" i="6"/>
  <c r="S129" i="6"/>
  <c r="O127" i="6"/>
  <c r="O125" i="6"/>
  <c r="S122" i="6"/>
  <c r="O122" i="6"/>
  <c r="T124" i="6"/>
  <c r="X124" i="6" s="1"/>
  <c r="T125" i="6"/>
  <c r="X125" i="6" s="1"/>
  <c r="T126" i="6"/>
  <c r="X126" i="6" s="1"/>
  <c r="T127" i="6"/>
  <c r="X127" i="6" s="1"/>
  <c r="G225" i="6"/>
  <c r="P124" i="6"/>
  <c r="P125" i="6"/>
  <c r="P126" i="6"/>
  <c r="P127" i="6"/>
  <c r="C225" i="6"/>
  <c r="P120" i="6"/>
  <c r="U111" i="6"/>
  <c r="U113" i="6"/>
  <c r="Q111" i="6"/>
  <c r="Q113" i="6"/>
  <c r="U112" i="6"/>
  <c r="AC31" i="6"/>
  <c r="AC35" i="6"/>
  <c r="AC39" i="6"/>
  <c r="AC44" i="6"/>
  <c r="AC43" i="6"/>
  <c r="AC33" i="6"/>
  <c r="AC40" i="6"/>
  <c r="AC42" i="6"/>
  <c r="AE41" i="6"/>
  <c r="AE34" i="6"/>
  <c r="AA33" i="6"/>
  <c r="AA41" i="6"/>
  <c r="AA31" i="6"/>
  <c r="AA35" i="6"/>
  <c r="AA38" i="6"/>
  <c r="AA40" i="6"/>
  <c r="AA34" i="6"/>
  <c r="D44" i="6"/>
  <c r="W43" i="6" s="1"/>
  <c r="AE42" i="6"/>
  <c r="Z40" i="6"/>
  <c r="AA36" i="6"/>
  <c r="Z33" i="6"/>
  <c r="AC32" i="6"/>
  <c r="AG25" i="6"/>
  <c r="AD20" i="6"/>
  <c r="AD24" i="6"/>
  <c r="AD25" i="6"/>
  <c r="AD21" i="6"/>
  <c r="AD22" i="6"/>
  <c r="Z20" i="6"/>
  <c r="Z24" i="6"/>
  <c r="Z21" i="6"/>
  <c r="G26" i="6"/>
  <c r="V21" i="6"/>
  <c r="V23" i="6"/>
  <c r="V22" i="6"/>
  <c r="C26" i="6"/>
  <c r="V24" i="6"/>
  <c r="AD23" i="6"/>
  <c r="Z22" i="6"/>
  <c r="AF16" i="6"/>
  <c r="AJ16" i="6" s="1"/>
  <c r="M26" i="6"/>
  <c r="AF18" i="6" s="1"/>
  <c r="AJ18" i="6" s="1"/>
  <c r="AF14" i="6"/>
  <c r="AF13" i="6"/>
  <c r="AF17" i="6"/>
  <c r="AJ17" i="6" s="1"/>
  <c r="AB16" i="6"/>
  <c r="I26" i="6"/>
  <c r="AB15" i="6"/>
  <c r="AB14" i="6"/>
  <c r="AJ14" i="6" s="1"/>
  <c r="AB18" i="6"/>
  <c r="X13" i="6"/>
  <c r="X17" i="6"/>
  <c r="X18" i="6"/>
  <c r="E26" i="6"/>
  <c r="X16" i="6"/>
  <c r="R120" i="6"/>
  <c r="S112" i="6"/>
  <c r="S105" i="6"/>
  <c r="S103" i="6"/>
  <c r="AG31" i="6"/>
  <c r="AG35" i="6"/>
  <c r="AG39" i="6"/>
  <c r="AG44" i="6"/>
  <c r="AB32" i="6"/>
  <c r="AB40" i="6"/>
  <c r="AG38" i="6"/>
  <c r="AB38" i="6"/>
  <c r="AB35" i="6"/>
  <c r="AB31" i="6"/>
  <c r="AE9" i="6"/>
  <c r="AE2" i="6"/>
  <c r="AE3" i="6"/>
  <c r="AE4" i="6"/>
  <c r="AE5" i="6"/>
  <c r="AE6" i="6"/>
  <c r="AE7" i="6"/>
  <c r="AA8" i="6"/>
  <c r="W6" i="6"/>
  <c r="W4" i="6"/>
  <c r="W2" i="6"/>
  <c r="U120" i="6"/>
  <c r="Q120" i="6"/>
  <c r="O106" i="6"/>
  <c r="R105" i="6"/>
  <c r="O104" i="6"/>
  <c r="R103" i="6"/>
  <c r="O102" i="6"/>
  <c r="AB44" i="6"/>
  <c r="AF32" i="6"/>
  <c r="AF40" i="6"/>
  <c r="AF43" i="6"/>
  <c r="AB43" i="6"/>
  <c r="AG42" i="6"/>
  <c r="AB42" i="6"/>
  <c r="AG40" i="6"/>
  <c r="AF38" i="6"/>
  <c r="AF35" i="6"/>
  <c r="AG33" i="6"/>
  <c r="AB33" i="6"/>
  <c r="AF31" i="6"/>
  <c r="AA26" i="6"/>
  <c r="AE21" i="6"/>
  <c r="AE20" i="6"/>
  <c r="L26" i="6"/>
  <c r="AA21" i="6"/>
  <c r="AA22" i="6"/>
  <c r="W22" i="6"/>
  <c r="W24" i="6"/>
  <c r="W25" i="6"/>
  <c r="AA23" i="6"/>
  <c r="W21" i="6"/>
  <c r="AJ20" i="6"/>
  <c r="AD14" i="6"/>
  <c r="AD17" i="6"/>
  <c r="AD18" i="6"/>
  <c r="Z14" i="6"/>
  <c r="Z13" i="6"/>
  <c r="V15" i="6"/>
  <c r="V16" i="6"/>
  <c r="Z16" i="6"/>
  <c r="Z15" i="6"/>
  <c r="V14" i="6"/>
  <c r="AE8" i="6"/>
  <c r="AA6" i="6"/>
  <c r="AA4" i="6"/>
  <c r="AA2" i="6"/>
  <c r="Q94" i="6"/>
  <c r="R93" i="6"/>
  <c r="R89" i="6"/>
  <c r="R87" i="6"/>
  <c r="R85" i="6"/>
  <c r="R83" i="6"/>
  <c r="U20" i="6"/>
  <c r="U24" i="6"/>
  <c r="U25" i="6"/>
  <c r="AC24" i="6"/>
  <c r="AG22" i="6"/>
  <c r="U22" i="6"/>
  <c r="AG13" i="6"/>
  <c r="AG17" i="6"/>
  <c r="AC13" i="6"/>
  <c r="AC17" i="6"/>
  <c r="AC18" i="6"/>
  <c r="AC16" i="6"/>
  <c r="AG15" i="6"/>
  <c r="U15" i="6"/>
  <c r="U7" i="6"/>
  <c r="AJ7" i="6" s="1"/>
  <c r="U6" i="6"/>
  <c r="U5" i="6"/>
  <c r="U4" i="6"/>
  <c r="U3" i="6"/>
  <c r="AJ3" i="6" s="1"/>
  <c r="M160" i="5"/>
  <c r="J199" i="5"/>
  <c r="J185" i="5"/>
  <c r="M107" i="5" s="1"/>
  <c r="N107" i="5" s="1"/>
  <c r="E68" i="5"/>
  <c r="B171" i="5"/>
  <c r="F168" i="5"/>
  <c r="B166" i="5"/>
  <c r="M38" i="5"/>
  <c r="M39" i="5"/>
  <c r="I38" i="5"/>
  <c r="I39" i="5"/>
  <c r="E38" i="5"/>
  <c r="E39" i="5"/>
  <c r="E33" i="5"/>
  <c r="F171" i="5"/>
  <c r="J169" i="5"/>
  <c r="J168" i="5"/>
  <c r="B167" i="5"/>
  <c r="F166" i="5"/>
  <c r="M159" i="5"/>
  <c r="D166" i="5"/>
  <c r="D171" i="5"/>
  <c r="D140" i="5"/>
  <c r="D136" i="5"/>
  <c r="H44" i="5"/>
  <c r="H45" i="5"/>
  <c r="D44" i="5"/>
  <c r="D45" i="5"/>
  <c r="D46" i="5"/>
  <c r="M45" i="5"/>
  <c r="L33" i="5"/>
  <c r="L47" i="5" s="1"/>
  <c r="H42" i="5"/>
  <c r="D42" i="5"/>
  <c r="D38" i="5"/>
  <c r="D39" i="5"/>
  <c r="H39" i="5"/>
  <c r="H38" i="5"/>
  <c r="G13" i="5"/>
  <c r="G14" i="5"/>
  <c r="G17" i="5"/>
  <c r="C13" i="5"/>
  <c r="C14" i="5"/>
  <c r="C17" i="5"/>
  <c r="I244" i="5"/>
  <c r="J171" i="5"/>
  <c r="N171" i="5" s="1"/>
  <c r="M162" i="5" s="1"/>
  <c r="E171" i="5"/>
  <c r="J170" i="5"/>
  <c r="F170" i="5"/>
  <c r="B170" i="5"/>
  <c r="H168" i="5"/>
  <c r="I168" i="5"/>
  <c r="E168" i="5"/>
  <c r="F167" i="5"/>
  <c r="C131" i="5"/>
  <c r="D139" i="5"/>
  <c r="K138" i="5"/>
  <c r="I33" i="5"/>
  <c r="I42" i="5" s="1"/>
  <c r="L44" i="5"/>
  <c r="L45" i="5"/>
  <c r="G44" i="5"/>
  <c r="K14" i="5"/>
  <c r="K13" i="5"/>
  <c r="I68" i="5"/>
  <c r="N14" i="5"/>
  <c r="N13" i="5"/>
  <c r="E45" i="5"/>
  <c r="N33" i="5"/>
  <c r="J39" i="5"/>
  <c r="J38" i="5"/>
  <c r="B17" i="5"/>
  <c r="M13" i="5"/>
  <c r="M14" i="5"/>
  <c r="I13" i="5"/>
  <c r="I14" i="5"/>
  <c r="E13" i="5"/>
  <c r="E14" i="5"/>
  <c r="B14" i="5"/>
  <c r="P58" i="4"/>
  <c r="P62" i="4"/>
  <c r="P61" i="4"/>
  <c r="P57" i="4"/>
  <c r="P60" i="4"/>
  <c r="P56" i="4"/>
  <c r="P59" i="4"/>
  <c r="AJ30" i="4"/>
  <c r="Z2" i="4"/>
  <c r="Z3" i="4"/>
  <c r="Z6" i="4"/>
  <c r="Z7" i="4"/>
  <c r="Z5" i="4"/>
  <c r="V2" i="4"/>
  <c r="V3" i="4"/>
  <c r="V6" i="4"/>
  <c r="V7" i="4"/>
  <c r="P78" i="4"/>
  <c r="P81" i="4"/>
  <c r="P80" i="4"/>
  <c r="V80" i="4" s="1"/>
  <c r="I80" i="4" s="1"/>
  <c r="P83" i="4"/>
  <c r="P84" i="4"/>
  <c r="V84" i="4" s="1"/>
  <c r="I84" i="4" s="1"/>
  <c r="V5" i="4"/>
  <c r="AD3" i="4"/>
  <c r="O62" i="4"/>
  <c r="S61" i="4"/>
  <c r="S58" i="4"/>
  <c r="AJ12" i="4"/>
  <c r="AG6" i="4"/>
  <c r="AG7" i="4"/>
  <c r="AC6" i="4"/>
  <c r="AC7" i="4"/>
  <c r="Y6" i="4"/>
  <c r="Y7" i="4"/>
  <c r="U6" i="4"/>
  <c r="U7" i="4"/>
  <c r="U5" i="4"/>
  <c r="AC3" i="4"/>
  <c r="AC2" i="4"/>
  <c r="I152" i="4"/>
  <c r="K98" i="4"/>
  <c r="J98" i="4" s="1"/>
  <c r="I40" i="4" s="1"/>
  <c r="R56" i="4"/>
  <c r="R60" i="4"/>
  <c r="N56" i="4"/>
  <c r="N60" i="4"/>
  <c r="S62" i="4"/>
  <c r="N62" i="4"/>
  <c r="R61" i="4"/>
  <c r="N59" i="4"/>
  <c r="R58" i="4"/>
  <c r="O56" i="4"/>
  <c r="X20" i="4"/>
  <c r="X22" i="4"/>
  <c r="X24" i="4"/>
  <c r="AJ13" i="4"/>
  <c r="Y5" i="4"/>
  <c r="AG3" i="4"/>
  <c r="AG2" i="4"/>
  <c r="H152" i="4"/>
  <c r="B152" i="4" s="1"/>
  <c r="R82" i="4"/>
  <c r="N82" i="4"/>
  <c r="N79" i="4"/>
  <c r="V79" i="4" s="1"/>
  <c r="I79" i="4" s="1"/>
  <c r="N78" i="4"/>
  <c r="R62" i="4"/>
  <c r="O60" i="4"/>
  <c r="R59" i="4"/>
  <c r="O57" i="4"/>
  <c r="S56" i="4"/>
  <c r="W22" i="4"/>
  <c r="X21" i="4"/>
  <c r="AE6" i="4"/>
  <c r="AC5" i="4"/>
  <c r="AE3" i="4"/>
  <c r="U3" i="4"/>
  <c r="AE2" i="4"/>
  <c r="U2" i="4"/>
  <c r="Q61" i="4"/>
  <c r="AF3" i="4"/>
  <c r="AB3" i="4"/>
  <c r="X3" i="4"/>
  <c r="J130" i="3"/>
  <c r="Q3" i="3"/>
  <c r="Q10" i="3"/>
  <c r="Q9" i="3" s="1"/>
  <c r="Q2" i="3" s="1"/>
  <c r="J116" i="3"/>
  <c r="I74" i="3" s="1"/>
  <c r="K14" i="3"/>
  <c r="K15" i="3"/>
  <c r="G14" i="3"/>
  <c r="G15" i="3"/>
  <c r="C14" i="3"/>
  <c r="C15" i="3"/>
  <c r="K13" i="3"/>
  <c r="K130" i="3"/>
  <c r="P137" i="3" s="1"/>
  <c r="Q137" i="3" s="1"/>
  <c r="G49" i="3"/>
  <c r="K48" i="3"/>
  <c r="K16" i="3"/>
  <c r="F15" i="3"/>
  <c r="J13" i="3"/>
  <c r="M9" i="3"/>
  <c r="M10" i="3" s="1"/>
  <c r="N45" i="3"/>
  <c r="N49" i="3"/>
  <c r="J45" i="3"/>
  <c r="J49" i="3"/>
  <c r="F45" i="3"/>
  <c r="F49" i="3"/>
  <c r="B45" i="3"/>
  <c r="B49" i="3"/>
  <c r="K49" i="3"/>
  <c r="J48" i="3"/>
  <c r="N47" i="3"/>
  <c r="C47" i="3"/>
  <c r="N46" i="3"/>
  <c r="C45" i="3"/>
  <c r="C33" i="3"/>
  <c r="C32" i="3"/>
  <c r="J16" i="3"/>
  <c r="I13" i="3"/>
  <c r="I16" i="3"/>
  <c r="E13" i="3"/>
  <c r="E16" i="3"/>
  <c r="J15" i="3"/>
  <c r="E15" i="3"/>
  <c r="B14" i="3"/>
  <c r="N13" i="3"/>
  <c r="C13" i="3"/>
  <c r="L5" i="3"/>
  <c r="L30" i="3"/>
  <c r="Q61" i="3"/>
  <c r="N50" i="3"/>
  <c r="C50" i="3"/>
  <c r="M48" i="3"/>
  <c r="M50" i="3"/>
  <c r="I48" i="3"/>
  <c r="I50" i="3"/>
  <c r="E48" i="3"/>
  <c r="E50" i="3"/>
  <c r="I49" i="3"/>
  <c r="N48" i="3"/>
  <c r="C48" i="3"/>
  <c r="M47" i="3"/>
  <c r="G47" i="3"/>
  <c r="B47" i="3"/>
  <c r="M46" i="3"/>
  <c r="B46" i="3"/>
  <c r="G45" i="3"/>
  <c r="G33" i="3"/>
  <c r="N16" i="3"/>
  <c r="C16" i="3"/>
  <c r="M5" i="3"/>
  <c r="N15" i="3"/>
  <c r="I15" i="3"/>
  <c r="R14" i="3"/>
  <c r="Q14" i="3" s="1"/>
  <c r="P14" i="3" s="1"/>
  <c r="F14" i="3"/>
  <c r="G13" i="3"/>
  <c r="B13" i="3"/>
  <c r="J66" i="2"/>
  <c r="J112" i="2"/>
  <c r="P119" i="2" s="1"/>
  <c r="Q119" i="2" s="1"/>
  <c r="N81" i="2"/>
  <c r="P61" i="2"/>
  <c r="G66" i="2"/>
  <c r="G67" i="2" s="1"/>
  <c r="G157" i="2"/>
  <c r="AG2" i="2"/>
  <c r="AG3" i="2"/>
  <c r="AG4" i="2"/>
  <c r="N62" i="2"/>
  <c r="N64" i="2"/>
  <c r="U2" i="2"/>
  <c r="U3" i="2"/>
  <c r="U4" i="2"/>
  <c r="U5" i="2"/>
  <c r="G164" i="2"/>
  <c r="M85" i="2"/>
  <c r="M82" i="2"/>
  <c r="C67" i="2"/>
  <c r="D65" i="2"/>
  <c r="AE10" i="2"/>
  <c r="AE11" i="2"/>
  <c r="AE12" i="2"/>
  <c r="AE13" i="2"/>
  <c r="AE14" i="2"/>
  <c r="AA15" i="2"/>
  <c r="AA16" i="2"/>
  <c r="AA10" i="2"/>
  <c r="AA11" i="2"/>
  <c r="AA12" i="2"/>
  <c r="AA13" i="2"/>
  <c r="AA14" i="2"/>
  <c r="W15" i="2"/>
  <c r="W16" i="2"/>
  <c r="AE15" i="2"/>
  <c r="W13" i="2"/>
  <c r="W11" i="2"/>
  <c r="AG5" i="2"/>
  <c r="AF2" i="2"/>
  <c r="AF3" i="2"/>
  <c r="AF4" i="2"/>
  <c r="AF16" i="2"/>
  <c r="AF5" i="2"/>
  <c r="AB2" i="2"/>
  <c r="AB3" i="2"/>
  <c r="AB4" i="2"/>
  <c r="AB16" i="2"/>
  <c r="X2" i="2"/>
  <c r="X3" i="2"/>
  <c r="X4" i="2"/>
  <c r="Y4" i="2"/>
  <c r="Y3" i="2"/>
  <c r="Y2" i="2"/>
  <c r="D157" i="2"/>
  <c r="K99" i="2"/>
  <c r="N85" i="2"/>
  <c r="D85" i="2"/>
  <c r="O85" i="2" s="1"/>
  <c r="N83" i="2"/>
  <c r="B66" i="2"/>
  <c r="G65" i="2"/>
  <c r="G81" i="2"/>
  <c r="R81" i="2" s="1"/>
  <c r="U81" i="2" s="1"/>
  <c r="I81" i="2" s="1"/>
  <c r="Z10" i="2"/>
  <c r="Z11" i="2"/>
  <c r="Z12" i="2"/>
  <c r="Z13" i="2"/>
  <c r="Z14" i="2"/>
  <c r="V15" i="2"/>
  <c r="V16" i="2"/>
  <c r="V10" i="2"/>
  <c r="V11" i="2"/>
  <c r="V12" i="2"/>
  <c r="V13" i="2"/>
  <c r="V14" i="2"/>
  <c r="AD15" i="2"/>
  <c r="AD13" i="2"/>
  <c r="X5" i="2"/>
  <c r="I157" i="2"/>
  <c r="J99" i="2"/>
  <c r="I43" i="2" s="1"/>
  <c r="M83" i="2"/>
  <c r="D81" i="2"/>
  <c r="O81" i="2" s="1"/>
  <c r="F66" i="2"/>
  <c r="N61" i="2"/>
  <c r="AD35" i="2"/>
  <c r="AD33" i="2"/>
  <c r="AD21" i="2"/>
  <c r="AD23" i="2"/>
  <c r="AD25" i="2"/>
  <c r="AD22" i="2"/>
  <c r="AD24" i="2"/>
  <c r="Z21" i="2"/>
  <c r="Z23" i="2"/>
  <c r="Z25" i="2"/>
  <c r="Z22" i="2"/>
  <c r="V21" i="2"/>
  <c r="V23" i="2"/>
  <c r="V25" i="2"/>
  <c r="V26" i="2"/>
  <c r="Z24" i="2"/>
  <c r="Z16" i="2"/>
  <c r="W14" i="2"/>
  <c r="W12" i="2"/>
  <c r="W10" i="2"/>
  <c r="AC5" i="2"/>
  <c r="AC4" i="2"/>
  <c r="AC3" i="2"/>
  <c r="AC2" i="2"/>
  <c r="AD34" i="2"/>
  <c r="Z34" i="2"/>
  <c r="V34" i="2"/>
  <c r="AG32" i="2"/>
  <c r="AC32" i="2"/>
  <c r="Y32" i="2"/>
  <c r="U32" i="2"/>
  <c r="AC26" i="2"/>
  <c r="U25" i="2"/>
  <c r="Y24" i="2"/>
  <c r="AG23" i="2"/>
  <c r="U22" i="2"/>
  <c r="AC21" i="2"/>
  <c r="AG15" i="2"/>
  <c r="AG16" i="2"/>
  <c r="AC15" i="2"/>
  <c r="AC16" i="2"/>
  <c r="Y15" i="2"/>
  <c r="Y16" i="2"/>
  <c r="U15" i="2"/>
  <c r="U16" i="2"/>
  <c r="AG14" i="2"/>
  <c r="AG13" i="2"/>
  <c r="AG12" i="2"/>
  <c r="AG11" i="2"/>
  <c r="AG10" i="2"/>
  <c r="AA4" i="2"/>
  <c r="AA3" i="2"/>
  <c r="AA2" i="2"/>
  <c r="Y35" i="2"/>
  <c r="AC34" i="2"/>
  <c r="AF22" i="2"/>
  <c r="AF24" i="2"/>
  <c r="AF26" i="2"/>
  <c r="AB22" i="2"/>
  <c r="AB24" i="2"/>
  <c r="AB26" i="2"/>
  <c r="X22" i="2"/>
  <c r="X24" i="2"/>
  <c r="X26" i="2"/>
  <c r="AG26" i="2"/>
  <c r="Y25" i="2"/>
  <c r="AF23" i="2"/>
  <c r="AB21" i="2"/>
  <c r="U14" i="2"/>
  <c r="U13" i="2"/>
  <c r="U12" i="2"/>
  <c r="U11" i="2"/>
  <c r="U10" i="2"/>
  <c r="AE4" i="2"/>
  <c r="AE3" i="2"/>
  <c r="AE2" i="2"/>
  <c r="AF14" i="2"/>
  <c r="AB14" i="2"/>
  <c r="X14" i="2"/>
  <c r="AF13" i="2"/>
  <c r="AB13" i="2"/>
  <c r="X13" i="2"/>
  <c r="AF12" i="2"/>
  <c r="AB12" i="2"/>
  <c r="X12" i="2"/>
  <c r="AF11" i="2"/>
  <c r="AB11" i="2"/>
  <c r="X11" i="2"/>
  <c r="N12" i="1"/>
  <c r="N11" i="1"/>
  <c r="G243" i="1"/>
  <c r="N10" i="1"/>
  <c r="N14" i="1"/>
  <c r="G111" i="1"/>
  <c r="J12" i="1"/>
  <c r="J11" i="1"/>
  <c r="C111" i="1"/>
  <c r="B12" i="1"/>
  <c r="B10" i="1"/>
  <c r="B14" i="1"/>
  <c r="H243" i="1"/>
  <c r="B243" i="1" s="1"/>
  <c r="N51" i="1"/>
  <c r="N55" i="1"/>
  <c r="N53" i="1"/>
  <c r="N56" i="1"/>
  <c r="N58" i="1"/>
  <c r="F51" i="1"/>
  <c r="F55" i="1"/>
  <c r="F54" i="1"/>
  <c r="F56" i="1"/>
  <c r="F57" i="1"/>
  <c r="J14" i="1"/>
  <c r="R10" i="1"/>
  <c r="Q10" i="1" s="1"/>
  <c r="R12" i="1"/>
  <c r="Q12" i="1" s="1"/>
  <c r="Q217" i="1"/>
  <c r="E163" i="1"/>
  <c r="E144" i="1"/>
  <c r="E126" i="1"/>
  <c r="E122" i="1"/>
  <c r="C29" i="1"/>
  <c r="C30" i="1"/>
  <c r="C35" i="1"/>
  <c r="C36" i="1"/>
  <c r="R13" i="1"/>
  <c r="Q13" i="1" s="1"/>
  <c r="F11" i="1"/>
  <c r="I243" i="1"/>
  <c r="K198" i="1"/>
  <c r="Q205" i="1" s="1"/>
  <c r="J189" i="1"/>
  <c r="J198" i="1" s="1"/>
  <c r="P205" i="1" s="1"/>
  <c r="J51" i="1"/>
  <c r="J55" i="1"/>
  <c r="J54" i="1"/>
  <c r="J57" i="1"/>
  <c r="J56" i="1"/>
  <c r="B51" i="1"/>
  <c r="B55" i="1"/>
  <c r="B53" i="1"/>
  <c r="B58" i="1"/>
  <c r="B56" i="1"/>
  <c r="D25" i="1"/>
  <c r="D35" i="1" s="1"/>
  <c r="B11" i="1"/>
  <c r="J10" i="1"/>
  <c r="E127" i="1"/>
  <c r="E112" i="1"/>
  <c r="E114" i="1" s="1"/>
  <c r="E119" i="1"/>
  <c r="E161" i="1" s="1"/>
  <c r="E121" i="1"/>
  <c r="J58" i="1"/>
  <c r="B57" i="1"/>
  <c r="F53" i="1"/>
  <c r="M30" i="1"/>
  <c r="M31" i="1"/>
  <c r="M29" i="1"/>
  <c r="M36" i="1"/>
  <c r="Q36" i="1" s="1"/>
  <c r="I31" i="1"/>
  <c r="I32" i="1"/>
  <c r="I29" i="1"/>
  <c r="I30" i="1"/>
  <c r="E31" i="1"/>
  <c r="E34" i="1"/>
  <c r="E29" i="1"/>
  <c r="E32" i="1"/>
  <c r="R11" i="1"/>
  <c r="Q11" i="1" s="1"/>
  <c r="L53" i="1"/>
  <c r="L57" i="1"/>
  <c r="H53" i="1"/>
  <c r="H57" i="1"/>
  <c r="D57" i="1"/>
  <c r="D68" i="1"/>
  <c r="D78" i="1" s="1"/>
  <c r="B30" i="1"/>
  <c r="B32" i="1"/>
  <c r="B34" i="1"/>
  <c r="B36" i="1"/>
  <c r="K54" i="1"/>
  <c r="K58" i="1"/>
  <c r="G54" i="1"/>
  <c r="G58" i="1"/>
  <c r="C54" i="1"/>
  <c r="C58" i="1"/>
  <c r="N30" i="1"/>
  <c r="N32" i="1"/>
  <c r="N34" i="1"/>
  <c r="N36" i="1"/>
  <c r="J30" i="1"/>
  <c r="J32" i="1"/>
  <c r="J34" i="1"/>
  <c r="J36" i="1"/>
  <c r="F30" i="1"/>
  <c r="F32" i="1"/>
  <c r="F34" i="1"/>
  <c r="F36" i="1"/>
  <c r="L10" i="1"/>
  <c r="L14" i="1"/>
  <c r="H10" i="1"/>
  <c r="H14" i="1"/>
  <c r="D10" i="1"/>
  <c r="D14" i="1"/>
  <c r="Q77" i="1" l="1"/>
  <c r="P68" i="1"/>
  <c r="Q75" i="1"/>
  <c r="P56" i="6"/>
  <c r="J93" i="7"/>
  <c r="K93" i="7" s="1"/>
  <c r="P52" i="6"/>
  <c r="P58" i="6"/>
  <c r="P53" i="6"/>
  <c r="P59" i="6"/>
  <c r="B119" i="7"/>
  <c r="B118" i="7"/>
  <c r="B97" i="7"/>
  <c r="B98" i="7"/>
  <c r="B103" i="7"/>
  <c r="B101" i="7"/>
  <c r="B96" i="7"/>
  <c r="B102" i="7"/>
  <c r="B117" i="7"/>
  <c r="B116" i="7"/>
  <c r="B100" i="7"/>
  <c r="B121" i="7"/>
  <c r="B122" i="7"/>
  <c r="Q14" i="7"/>
  <c r="Q8" i="7" s="1"/>
  <c r="P8" i="7" s="1"/>
  <c r="P21" i="7" s="1"/>
  <c r="Q15" i="7"/>
  <c r="H47" i="5"/>
  <c r="H140" i="5"/>
  <c r="L74" i="5"/>
  <c r="J140" i="5"/>
  <c r="N140" i="5" s="1"/>
  <c r="J141" i="5"/>
  <c r="G138" i="5"/>
  <c r="J137" i="5"/>
  <c r="N137" i="5" s="1"/>
  <c r="AJ13" i="6"/>
  <c r="U39" i="6"/>
  <c r="U42" i="6"/>
  <c r="AE35" i="6"/>
  <c r="AE43" i="6"/>
  <c r="AE44" i="6"/>
  <c r="AJ2" i="6"/>
  <c r="AE31" i="6"/>
  <c r="AE36" i="6"/>
  <c r="AE39" i="6"/>
  <c r="AE33" i="6"/>
  <c r="Z43" i="6"/>
  <c r="U40" i="6"/>
  <c r="Z35" i="6"/>
  <c r="Z41" i="6"/>
  <c r="Z38" i="6"/>
  <c r="AA39" i="6"/>
  <c r="AA32" i="6"/>
  <c r="AA42" i="6"/>
  <c r="AA44" i="6"/>
  <c r="U41" i="6"/>
  <c r="U43" i="6"/>
  <c r="U36" i="6"/>
  <c r="AJ15" i="6"/>
  <c r="U44" i="6"/>
  <c r="U31" i="6"/>
  <c r="V43" i="6"/>
  <c r="AG18" i="6"/>
  <c r="AJ6" i="6"/>
  <c r="AE38" i="6"/>
  <c r="AE32" i="6"/>
  <c r="AJ8" i="6"/>
  <c r="U35" i="6"/>
  <c r="U34" i="6"/>
  <c r="Z39" i="6"/>
  <c r="AC25" i="6"/>
  <c r="AC26" i="6"/>
  <c r="B139" i="5"/>
  <c r="B141" i="5"/>
  <c r="E67" i="5"/>
  <c r="B135" i="5"/>
  <c r="B137" i="5"/>
  <c r="V82" i="4"/>
  <c r="I82" i="4" s="1"/>
  <c r="V83" i="4"/>
  <c r="I83" i="4" s="1"/>
  <c r="AJ32" i="4"/>
  <c r="AJ2" i="4"/>
  <c r="V57" i="4"/>
  <c r="P60" i="2"/>
  <c r="P62" i="2"/>
  <c r="AJ36" i="2"/>
  <c r="P64" i="2"/>
  <c r="E73" i="5"/>
  <c r="E74" i="5"/>
  <c r="B138" i="5"/>
  <c r="B67" i="5"/>
  <c r="B140" i="5"/>
  <c r="M47" i="5"/>
  <c r="H74" i="5"/>
  <c r="K73" i="5"/>
  <c r="G73" i="5"/>
  <c r="J135" i="5"/>
  <c r="N135" i="5" s="1"/>
  <c r="L73" i="5"/>
  <c r="H141" i="5"/>
  <c r="H73" i="5"/>
  <c r="K68" i="5"/>
  <c r="G74" i="5"/>
  <c r="K74" i="5"/>
  <c r="J136" i="5"/>
  <c r="N136" i="5" s="1"/>
  <c r="G69" i="5"/>
  <c r="K67" i="5"/>
  <c r="G68" i="5"/>
  <c r="J139" i="5"/>
  <c r="D73" i="5"/>
  <c r="M46" i="5"/>
  <c r="B69" i="5"/>
  <c r="M67" i="5"/>
  <c r="J244" i="5"/>
  <c r="H68" i="5"/>
  <c r="H67" i="5"/>
  <c r="B68" i="5"/>
  <c r="M68" i="5"/>
  <c r="N67" i="5"/>
  <c r="B73" i="5"/>
  <c r="J69" i="5"/>
  <c r="L67" i="5"/>
  <c r="I73" i="5"/>
  <c r="F67" i="5"/>
  <c r="H138" i="5"/>
  <c r="G140" i="5"/>
  <c r="G141" i="5"/>
  <c r="L46" i="5"/>
  <c r="G137" i="5"/>
  <c r="J74" i="5"/>
  <c r="G139" i="5"/>
  <c r="L68" i="5"/>
  <c r="I69" i="5"/>
  <c r="I74" i="5"/>
  <c r="C46" i="5"/>
  <c r="M69" i="5"/>
  <c r="M74" i="5"/>
  <c r="J67" i="5"/>
  <c r="H139" i="5"/>
  <c r="J68" i="5"/>
  <c r="C73" i="5"/>
  <c r="F136" i="5"/>
  <c r="F68" i="5"/>
  <c r="Q94" i="5"/>
  <c r="Q96" i="5"/>
  <c r="P85" i="5" s="1"/>
  <c r="D69" i="5"/>
  <c r="N74" i="5"/>
  <c r="Q14" i="5"/>
  <c r="Q3" i="5" s="1"/>
  <c r="C42" i="5"/>
  <c r="N73" i="5"/>
  <c r="N69" i="5"/>
  <c r="F138" i="5"/>
  <c r="H136" i="5"/>
  <c r="H135" i="5"/>
  <c r="Q39" i="5"/>
  <c r="C74" i="5"/>
  <c r="F140" i="5"/>
  <c r="G47" i="5"/>
  <c r="C69" i="5"/>
  <c r="Q38" i="5"/>
  <c r="L42" i="5"/>
  <c r="Q45" i="5"/>
  <c r="Q44" i="5"/>
  <c r="C67" i="5"/>
  <c r="F141" i="5"/>
  <c r="F139" i="5"/>
  <c r="F135" i="5"/>
  <c r="F73" i="5"/>
  <c r="F69" i="5"/>
  <c r="B217" i="6"/>
  <c r="F46" i="5"/>
  <c r="K42" i="5"/>
  <c r="K46" i="5"/>
  <c r="G42" i="5"/>
  <c r="F47" i="5"/>
  <c r="D68" i="5"/>
  <c r="D74" i="5"/>
  <c r="B214" i="6"/>
  <c r="V58" i="4"/>
  <c r="AJ29" i="4"/>
  <c r="P29" i="4"/>
  <c r="P33" i="4" s="1"/>
  <c r="P30" i="4"/>
  <c r="I75" i="3"/>
  <c r="O60" i="2"/>
  <c r="D126" i="1"/>
  <c r="P13" i="1"/>
  <c r="D121" i="1"/>
  <c r="P12" i="1"/>
  <c r="P11" i="1"/>
  <c r="P10" i="1"/>
  <c r="Q6" i="1"/>
  <c r="Q4" i="1" s="1"/>
  <c r="P4" i="1" s="1"/>
  <c r="U82" i="2"/>
  <c r="Q81" i="2"/>
  <c r="Q85" i="2"/>
  <c r="AG27" i="2"/>
  <c r="Q83" i="2"/>
  <c r="P83" i="2"/>
  <c r="W27" i="2"/>
  <c r="D67" i="2"/>
  <c r="AJ10" i="2"/>
  <c r="AA27" i="2"/>
  <c r="P85" i="2"/>
  <c r="P81" i="2"/>
  <c r="O62" i="2"/>
  <c r="X27" i="2"/>
  <c r="AJ16" i="2"/>
  <c r="Q16" i="2" s="1"/>
  <c r="P16" i="2" s="1"/>
  <c r="Y27" i="2"/>
  <c r="O64" i="2"/>
  <c r="AJ3" i="2"/>
  <c r="Q3" i="2" s="1"/>
  <c r="P3" i="2" s="1"/>
  <c r="AE27" i="2"/>
  <c r="U27" i="2"/>
  <c r="AJ14" i="2"/>
  <c r="AF27" i="2"/>
  <c r="AJ35" i="2"/>
  <c r="AJ34" i="2"/>
  <c r="P36" i="2" s="1"/>
  <c r="Q35" i="1"/>
  <c r="D119" i="1"/>
  <c r="D161" i="1" s="1"/>
  <c r="F127" i="1"/>
  <c r="F113" i="1"/>
  <c r="J113" i="1" s="1"/>
  <c r="B257" i="1" s="1"/>
  <c r="B260" i="1" s="1"/>
  <c r="J101" i="1" s="1"/>
  <c r="I101" i="1" s="1"/>
  <c r="I135" i="1" s="1"/>
  <c r="F119" i="1"/>
  <c r="F161" i="1" s="1"/>
  <c r="F121" i="1"/>
  <c r="F126" i="1"/>
  <c r="F112" i="1"/>
  <c r="F122" i="1"/>
  <c r="F120" i="1"/>
  <c r="F162" i="1" s="1"/>
  <c r="D120" i="1"/>
  <c r="D162" i="1" s="1"/>
  <c r="D122" i="1"/>
  <c r="D127" i="1"/>
  <c r="D113" i="1"/>
  <c r="D114" i="1" s="1"/>
  <c r="J167" i="1"/>
  <c r="I155" i="1" s="1"/>
  <c r="J163" i="1"/>
  <c r="I151" i="1" s="1"/>
  <c r="J164" i="1"/>
  <c r="I152" i="1" s="1"/>
  <c r="C31" i="7"/>
  <c r="C29" i="7"/>
  <c r="C30" i="7"/>
  <c r="P82" i="6"/>
  <c r="P84" i="6"/>
  <c r="P86" i="6"/>
  <c r="P88" i="6"/>
  <c r="P81" i="6"/>
  <c r="P89" i="6"/>
  <c r="P94" i="6"/>
  <c r="P87" i="6"/>
  <c r="P93" i="6"/>
  <c r="P85" i="6"/>
  <c r="P92" i="6"/>
  <c r="P95" i="6"/>
  <c r="P83" i="6"/>
  <c r="AE25" i="6"/>
  <c r="AE18" i="6"/>
  <c r="AE26" i="6"/>
  <c r="AJ4" i="6"/>
  <c r="Z26" i="6"/>
  <c r="Z18" i="6"/>
  <c r="AB26" i="6"/>
  <c r="AB25" i="6"/>
  <c r="P114" i="6"/>
  <c r="P109" i="6"/>
  <c r="T109" i="6"/>
  <c r="T114" i="6"/>
  <c r="V26" i="6"/>
  <c r="V18" i="6"/>
  <c r="AD34" i="6"/>
  <c r="AD38" i="6"/>
  <c r="AD42" i="6"/>
  <c r="AD32" i="6"/>
  <c r="AD39" i="6"/>
  <c r="AD41" i="6"/>
  <c r="AD44" i="6"/>
  <c r="AD35" i="6"/>
  <c r="AD33" i="6"/>
  <c r="AD40" i="6"/>
  <c r="AD31" i="6"/>
  <c r="V25" i="6"/>
  <c r="W31" i="6"/>
  <c r="W32" i="6"/>
  <c r="W40" i="6"/>
  <c r="W39" i="6"/>
  <c r="W33" i="6"/>
  <c r="W42" i="6"/>
  <c r="W44" i="6"/>
  <c r="W34" i="6"/>
  <c r="W41" i="6"/>
  <c r="W38" i="6"/>
  <c r="W35" i="6"/>
  <c r="B206" i="6"/>
  <c r="Q9" i="6" s="1"/>
  <c r="X25" i="6"/>
  <c r="X26" i="6"/>
  <c r="AF26" i="6"/>
  <c r="AF25" i="6"/>
  <c r="Z25" i="6"/>
  <c r="W36" i="6"/>
  <c r="AJ5" i="6"/>
  <c r="T82" i="6"/>
  <c r="X82" i="6" s="1"/>
  <c r="T84" i="6"/>
  <c r="X84" i="6" s="1"/>
  <c r="T86" i="6"/>
  <c r="X86" i="6" s="1"/>
  <c r="T88" i="6"/>
  <c r="X88" i="6" s="1"/>
  <c r="T87" i="6"/>
  <c r="X87" i="6" s="1"/>
  <c r="B215" i="6" s="1"/>
  <c r="T93" i="6"/>
  <c r="X93" i="6" s="1"/>
  <c r="T85" i="6"/>
  <c r="X85" i="6" s="1"/>
  <c r="T92" i="6"/>
  <c r="X92" i="6" s="1"/>
  <c r="T95" i="6"/>
  <c r="X95" i="6" s="1"/>
  <c r="T94" i="6"/>
  <c r="X94" i="6" s="1"/>
  <c r="T83" i="6"/>
  <c r="X83" i="6" s="1"/>
  <c r="B218" i="6" s="1"/>
  <c r="T81" i="6"/>
  <c r="X81" i="6" s="1"/>
  <c r="T89" i="6"/>
  <c r="X89" i="6" s="1"/>
  <c r="V33" i="6"/>
  <c r="V41" i="6"/>
  <c r="V42" i="6"/>
  <c r="V44" i="6"/>
  <c r="V35" i="6"/>
  <c r="V38" i="6"/>
  <c r="V40" i="6"/>
  <c r="V31" i="6"/>
  <c r="V32" i="6"/>
  <c r="V39" i="6"/>
  <c r="V34" i="6"/>
  <c r="AD43" i="6"/>
  <c r="E46" i="5"/>
  <c r="E47" i="5"/>
  <c r="N42" i="5"/>
  <c r="N47" i="5"/>
  <c r="N46" i="5"/>
  <c r="C141" i="5"/>
  <c r="C136" i="5"/>
  <c r="C140" i="5"/>
  <c r="C137" i="5"/>
  <c r="C138" i="5"/>
  <c r="C135" i="5"/>
  <c r="C139" i="5"/>
  <c r="Q13" i="5"/>
  <c r="Q2" i="5" s="1"/>
  <c r="E42" i="5"/>
  <c r="Q42" i="5" s="1"/>
  <c r="I46" i="5"/>
  <c r="I47" i="5"/>
  <c r="Q100" i="5"/>
  <c r="Q99" i="5"/>
  <c r="K199" i="5"/>
  <c r="P206" i="5"/>
  <c r="Q206" i="5" s="1"/>
  <c r="V59" i="4"/>
  <c r="V60" i="4"/>
  <c r="AJ3" i="4"/>
  <c r="V56" i="4"/>
  <c r="B159" i="4" s="1"/>
  <c r="B160" i="4" s="1"/>
  <c r="J56" i="4" s="1"/>
  <c r="Q7" i="4"/>
  <c r="J64" i="4"/>
  <c r="V62" i="4"/>
  <c r="AJ31" i="4"/>
  <c r="P31" i="4" s="1"/>
  <c r="V61" i="4"/>
  <c r="M16" i="3"/>
  <c r="M14" i="3"/>
  <c r="M33" i="3"/>
  <c r="M15" i="3"/>
  <c r="L14" i="3"/>
  <c r="L33" i="3"/>
  <c r="L15" i="3"/>
  <c r="L16" i="3"/>
  <c r="Q20" i="3"/>
  <c r="P2" i="3"/>
  <c r="Q21" i="3"/>
  <c r="P21" i="3" s="1"/>
  <c r="M13" i="3"/>
  <c r="P3" i="3"/>
  <c r="Q22" i="3"/>
  <c r="P22" i="3" s="1"/>
  <c r="Q23" i="3"/>
  <c r="P23" i="3" s="1"/>
  <c r="P40" i="3" s="1"/>
  <c r="L13" i="3"/>
  <c r="AD27" i="2"/>
  <c r="M64" i="2"/>
  <c r="M60" i="2"/>
  <c r="M62" i="2"/>
  <c r="B67" i="2"/>
  <c r="M61" i="2"/>
  <c r="AJ13" i="2"/>
  <c r="AJ2" i="2"/>
  <c r="Q2" i="2" s="1"/>
  <c r="P2" i="2" s="1"/>
  <c r="AJ12" i="2"/>
  <c r="AB27" i="2"/>
  <c r="J157" i="2"/>
  <c r="AJ11" i="2"/>
  <c r="AC27" i="2"/>
  <c r="V27" i="2"/>
  <c r="Z27" i="2"/>
  <c r="Q64" i="2"/>
  <c r="T64" i="2" s="1"/>
  <c r="J64" i="2" s="1"/>
  <c r="I64" i="2" s="1"/>
  <c r="I76" i="2" s="1"/>
  <c r="Q60" i="2"/>
  <c r="T60" i="2" s="1"/>
  <c r="J60" i="2" s="1"/>
  <c r="Q61" i="2"/>
  <c r="T61" i="2" s="1"/>
  <c r="Q62" i="2"/>
  <c r="T62" i="2" s="1"/>
  <c r="F67" i="2"/>
  <c r="J67" i="2" s="1"/>
  <c r="B165" i="2" s="1"/>
  <c r="B166" i="2" s="1"/>
  <c r="J61" i="2" s="1"/>
  <c r="I61" i="2" s="1"/>
  <c r="I73" i="2" s="1"/>
  <c r="AJ4" i="2"/>
  <c r="Q4" i="2" s="1"/>
  <c r="P4" i="2" s="1"/>
  <c r="R62" i="2"/>
  <c r="R64" i="2"/>
  <c r="R60" i="2"/>
  <c r="R61" i="2"/>
  <c r="J62" i="2"/>
  <c r="I62" i="2" s="1"/>
  <c r="I74" i="2" s="1"/>
  <c r="D29" i="1"/>
  <c r="D31" i="1"/>
  <c r="Q31" i="1" s="1"/>
  <c r="D33" i="1"/>
  <c r="Q33" i="1" s="1"/>
  <c r="D32" i="1"/>
  <c r="Q32" i="1" s="1"/>
  <c r="D30" i="1"/>
  <c r="Q30" i="1" s="1"/>
  <c r="D34" i="1"/>
  <c r="Q34" i="1" s="1"/>
  <c r="D36" i="1"/>
  <c r="Q29" i="1"/>
  <c r="G126" i="1"/>
  <c r="G113" i="1"/>
  <c r="G120" i="1"/>
  <c r="G162" i="1" s="1"/>
  <c r="G122" i="1"/>
  <c r="G112" i="1"/>
  <c r="G121" i="1"/>
  <c r="G127" i="1"/>
  <c r="G119" i="1"/>
  <c r="G161" i="1" s="1"/>
  <c r="C126" i="1"/>
  <c r="C113" i="1"/>
  <c r="C120" i="1"/>
  <c r="C122" i="1"/>
  <c r="C119" i="1"/>
  <c r="C112" i="1"/>
  <c r="C114" i="1" s="1"/>
  <c r="C121" i="1"/>
  <c r="C127" i="1"/>
  <c r="J46" i="7" l="1"/>
  <c r="J49" i="7" s="1"/>
  <c r="J60" i="7" s="1"/>
  <c r="P154" i="7" s="1"/>
  <c r="Q154" i="7" s="1"/>
  <c r="Q9" i="7"/>
  <c r="P9" i="7" s="1"/>
  <c r="Q17" i="7"/>
  <c r="P3" i="5"/>
  <c r="Q5" i="5"/>
  <c r="Q27" i="5" s="1"/>
  <c r="P27" i="5" s="1"/>
  <c r="P56" i="5" s="1"/>
  <c r="J121" i="6"/>
  <c r="J129" i="6" s="1"/>
  <c r="AJ26" i="6"/>
  <c r="Q26" i="6" s="1"/>
  <c r="B219" i="6"/>
  <c r="AJ25" i="6"/>
  <c r="Q15" i="3"/>
  <c r="P15" i="3" s="1"/>
  <c r="P33" i="3"/>
  <c r="P4" i="5"/>
  <c r="Q47" i="5"/>
  <c r="Q33" i="5" s="1"/>
  <c r="P33" i="5" s="1"/>
  <c r="Q46" i="5"/>
  <c r="I86" i="3"/>
  <c r="P135" i="3" s="1"/>
  <c r="Q135" i="3" s="1"/>
  <c r="P39" i="3"/>
  <c r="P38" i="3"/>
  <c r="J111" i="1"/>
  <c r="J104" i="1" s="1"/>
  <c r="I104" i="1" s="1"/>
  <c r="P6" i="1"/>
  <c r="Q25" i="1"/>
  <c r="P25" i="1" s="1"/>
  <c r="Q3" i="1"/>
  <c r="P3" i="1" s="1"/>
  <c r="Q5" i="1"/>
  <c r="P5" i="1" s="1"/>
  <c r="Q2" i="1"/>
  <c r="P2" i="1" s="1"/>
  <c r="Q14" i="2"/>
  <c r="P14" i="2" s="1"/>
  <c r="P25" i="2" s="1"/>
  <c r="Q10" i="2"/>
  <c r="P10" i="2" s="1"/>
  <c r="P21" i="2" s="1"/>
  <c r="Q12" i="2"/>
  <c r="P12" i="2" s="1"/>
  <c r="P23" i="2" s="1"/>
  <c r="Q11" i="2"/>
  <c r="P11" i="2" s="1"/>
  <c r="P22" i="2" s="1"/>
  <c r="Q13" i="2"/>
  <c r="P13" i="2" s="1"/>
  <c r="P24" i="2" s="1"/>
  <c r="J121" i="1"/>
  <c r="J126" i="1"/>
  <c r="J107" i="1" s="1"/>
  <c r="J109" i="1" s="1"/>
  <c r="J112" i="1"/>
  <c r="F114" i="1"/>
  <c r="Q2" i="6"/>
  <c r="P2" i="6" s="1"/>
  <c r="Q3" i="6"/>
  <c r="P3" i="6" s="1"/>
  <c r="Q4" i="6"/>
  <c r="P4" i="6" s="1"/>
  <c r="Q5" i="6"/>
  <c r="P5" i="6" s="1"/>
  <c r="Q6" i="6"/>
  <c r="P6" i="6" s="1"/>
  <c r="Q7" i="6"/>
  <c r="P7" i="6" s="1"/>
  <c r="P9" i="6"/>
  <c r="K96" i="6"/>
  <c r="B216" i="6"/>
  <c r="P2" i="5"/>
  <c r="P6" i="5" s="1"/>
  <c r="M131" i="5" s="1"/>
  <c r="Q26" i="5"/>
  <c r="P26" i="5" s="1"/>
  <c r="P55" i="5" s="1"/>
  <c r="J57" i="4"/>
  <c r="I57" i="4" s="1"/>
  <c r="I69" i="4" s="1"/>
  <c r="J61" i="4"/>
  <c r="I61" i="4" s="1"/>
  <c r="I73" i="4" s="1"/>
  <c r="J59" i="4"/>
  <c r="I59" i="4" s="1"/>
  <c r="I71" i="4" s="1"/>
  <c r="J62" i="4"/>
  <c r="I62" i="4" s="1"/>
  <c r="I74" i="4" s="1"/>
  <c r="J58" i="4"/>
  <c r="I58" i="4" s="1"/>
  <c r="I70" i="4" s="1"/>
  <c r="J60" i="4"/>
  <c r="I60" i="4" s="1"/>
  <c r="I72" i="4" s="1"/>
  <c r="I56" i="4"/>
  <c r="I68" i="4" s="1"/>
  <c r="Q2" i="4"/>
  <c r="P2" i="4" s="1"/>
  <c r="Q3" i="4"/>
  <c r="P3" i="4" s="1"/>
  <c r="Q16" i="4"/>
  <c r="P7" i="4"/>
  <c r="Q4" i="3"/>
  <c r="P20" i="3"/>
  <c r="P37" i="3" s="1"/>
  <c r="J65" i="2"/>
  <c r="I65" i="2" s="1"/>
  <c r="I60" i="2"/>
  <c r="I72" i="2" s="1"/>
  <c r="I77" i="2" s="1"/>
  <c r="I41" i="2" s="1"/>
  <c r="I44" i="2" s="1"/>
  <c r="I55" i="2" s="1"/>
  <c r="C162" i="1"/>
  <c r="J120" i="1"/>
  <c r="J119" i="1"/>
  <c r="J122" i="1"/>
  <c r="J103" i="1" s="1"/>
  <c r="I103" i="1" s="1"/>
  <c r="I137" i="1" s="1"/>
  <c r="G114" i="1"/>
  <c r="P11" i="7" l="1"/>
  <c r="P22" i="7"/>
  <c r="P24" i="7" s="1"/>
  <c r="J122" i="6"/>
  <c r="J123" i="6"/>
  <c r="J130" i="6"/>
  <c r="J131" i="6"/>
  <c r="J127" i="6"/>
  <c r="J126" i="6"/>
  <c r="J120" i="6"/>
  <c r="J125" i="6"/>
  <c r="J124" i="6"/>
  <c r="J119" i="6"/>
  <c r="Q28" i="5"/>
  <c r="Q24" i="5" s="1"/>
  <c r="P24" i="5" s="1"/>
  <c r="P53" i="5" s="1"/>
  <c r="Q32" i="5"/>
  <c r="P32" i="5" s="1"/>
  <c r="J86" i="3"/>
  <c r="Q21" i="1"/>
  <c r="P21" i="1" s="1"/>
  <c r="P43" i="1" s="1"/>
  <c r="Q43" i="1" s="1"/>
  <c r="J102" i="1"/>
  <c r="I102" i="1" s="1"/>
  <c r="I136" i="1" s="1"/>
  <c r="Q24" i="1"/>
  <c r="P24" i="1" s="1"/>
  <c r="Q19" i="1"/>
  <c r="P19" i="1" s="1"/>
  <c r="P41" i="1" s="1"/>
  <c r="Q22" i="1"/>
  <c r="P22" i="1" s="1"/>
  <c r="P44" i="1" s="1"/>
  <c r="Q44" i="1" s="1"/>
  <c r="Q18" i="1"/>
  <c r="P18" i="1" s="1"/>
  <c r="P40" i="1" s="1"/>
  <c r="Q23" i="1"/>
  <c r="P23" i="1" s="1"/>
  <c r="P45" i="1" s="1"/>
  <c r="Q20" i="1"/>
  <c r="P20" i="1" s="1"/>
  <c r="P42" i="1" s="1"/>
  <c r="I107" i="1"/>
  <c r="I141" i="1" s="1"/>
  <c r="I143" i="1" s="1"/>
  <c r="P27" i="2"/>
  <c r="Q27" i="2" s="1"/>
  <c r="B256" i="1"/>
  <c r="B259" i="1" s="1"/>
  <c r="J100" i="1" s="1"/>
  <c r="I100" i="1" s="1"/>
  <c r="I134" i="1" s="1"/>
  <c r="J114" i="1"/>
  <c r="Q18" i="6"/>
  <c r="Q25" i="6"/>
  <c r="K81" i="6"/>
  <c r="K83" i="6"/>
  <c r="J83" i="6" s="1"/>
  <c r="J102" i="6" s="1"/>
  <c r="K85" i="6"/>
  <c r="J85" i="6" s="1"/>
  <c r="K87" i="6"/>
  <c r="J87" i="6" s="1"/>
  <c r="K89" i="6"/>
  <c r="J89" i="6" s="1"/>
  <c r="K92" i="6"/>
  <c r="K86" i="6"/>
  <c r="J86" i="6" s="1"/>
  <c r="K93" i="6"/>
  <c r="J93" i="6" s="1"/>
  <c r="K84" i="6"/>
  <c r="J84" i="6" s="1"/>
  <c r="K82" i="6"/>
  <c r="J82" i="6" s="1"/>
  <c r="K88" i="6"/>
  <c r="J88" i="6" s="1"/>
  <c r="J107" i="6" s="1"/>
  <c r="K94" i="6"/>
  <c r="J94" i="6" s="1"/>
  <c r="J113" i="6" s="1"/>
  <c r="N131" i="5"/>
  <c r="M128" i="5"/>
  <c r="M151" i="5" s="1"/>
  <c r="M129" i="5"/>
  <c r="M152" i="5" s="1"/>
  <c r="M124" i="5"/>
  <c r="M126" i="5"/>
  <c r="M149" i="5" s="1"/>
  <c r="M125" i="5"/>
  <c r="M148" i="5" s="1"/>
  <c r="M127" i="5"/>
  <c r="M150" i="5" s="1"/>
  <c r="I75" i="4"/>
  <c r="I38" i="4" s="1"/>
  <c r="I41" i="4" s="1"/>
  <c r="I43" i="4" s="1"/>
  <c r="I47" i="4" s="1"/>
  <c r="I50" i="4" s="1"/>
  <c r="I52" i="4" s="1"/>
  <c r="P16" i="4"/>
  <c r="Q14" i="4"/>
  <c r="P14" i="4" s="1"/>
  <c r="P23" i="4" s="1"/>
  <c r="Q13" i="4"/>
  <c r="P13" i="4" s="1"/>
  <c r="P22" i="4" s="1"/>
  <c r="Q12" i="4"/>
  <c r="P12" i="4" s="1"/>
  <c r="P21" i="4" s="1"/>
  <c r="Q11" i="4"/>
  <c r="P11" i="4" s="1"/>
  <c r="P20" i="4" s="1"/>
  <c r="Q15" i="4"/>
  <c r="P15" i="4" s="1"/>
  <c r="P24" i="4" s="1"/>
  <c r="J63" i="4"/>
  <c r="I63" i="4" s="1"/>
  <c r="P4" i="3"/>
  <c r="Q5" i="3"/>
  <c r="P117" i="2"/>
  <c r="Q117" i="2" s="1"/>
  <c r="J55" i="2"/>
  <c r="Q24" i="7" l="1"/>
  <c r="P153" i="7"/>
  <c r="Q25" i="5"/>
  <c r="P25" i="5" s="1"/>
  <c r="P54" i="5" s="1"/>
  <c r="P57" i="5" s="1"/>
  <c r="P28" i="5"/>
  <c r="J104" i="6"/>
  <c r="J103" i="6"/>
  <c r="J112" i="6"/>
  <c r="J108" i="6"/>
  <c r="J101" i="6"/>
  <c r="J106" i="6"/>
  <c r="J105" i="6"/>
  <c r="Q30" i="5"/>
  <c r="P30" i="5" s="1"/>
  <c r="P59" i="5" s="1"/>
  <c r="Q31" i="5"/>
  <c r="P31" i="5" s="1"/>
  <c r="P60" i="5" s="1"/>
  <c r="Q41" i="1"/>
  <c r="I105" i="1"/>
  <c r="I110" i="1" s="1"/>
  <c r="Q40" i="1"/>
  <c r="Q45" i="1"/>
  <c r="Q42" i="1"/>
  <c r="P47" i="1"/>
  <c r="P51" i="1" s="1"/>
  <c r="P116" i="2"/>
  <c r="P118" i="2" s="1"/>
  <c r="I139" i="1"/>
  <c r="I144" i="1" s="1"/>
  <c r="I82" i="1" s="1"/>
  <c r="J82" i="1" s="1"/>
  <c r="J85" i="1" s="1"/>
  <c r="J96" i="1" s="1"/>
  <c r="J105" i="1"/>
  <c r="J110" i="1" s="1"/>
  <c r="Q23" i="6"/>
  <c r="P23" i="6" s="1"/>
  <c r="P41" i="6" s="1"/>
  <c r="Q21" i="6"/>
  <c r="P21" i="6" s="1"/>
  <c r="P39" i="6" s="1"/>
  <c r="Q22" i="6"/>
  <c r="P22" i="6" s="1"/>
  <c r="P40" i="6" s="1"/>
  <c r="Q20" i="6"/>
  <c r="P20" i="6" s="1"/>
  <c r="P38" i="6" s="1"/>
  <c r="P25" i="6"/>
  <c r="Q24" i="6"/>
  <c r="P24" i="6" s="1"/>
  <c r="J92" i="6"/>
  <c r="K95" i="6"/>
  <c r="K90" i="6"/>
  <c r="J90" i="6" s="1"/>
  <c r="J81" i="6"/>
  <c r="J100" i="6" s="1"/>
  <c r="Q13" i="6"/>
  <c r="P13" i="6" s="1"/>
  <c r="P31" i="6" s="1"/>
  <c r="Q17" i="6"/>
  <c r="P17" i="6" s="1"/>
  <c r="Q14" i="6"/>
  <c r="P14" i="6" s="1"/>
  <c r="P32" i="6" s="1"/>
  <c r="P18" i="6"/>
  <c r="Q15" i="6"/>
  <c r="P15" i="6" s="1"/>
  <c r="P33" i="6" s="1"/>
  <c r="Q16" i="6"/>
  <c r="P16" i="6" s="1"/>
  <c r="P34" i="6" s="1"/>
  <c r="J75" i="4"/>
  <c r="M130" i="5"/>
  <c r="N130" i="5" s="1"/>
  <c r="M147" i="5"/>
  <c r="M154" i="5" s="1"/>
  <c r="M105" i="5" s="1"/>
  <c r="M108" i="5" s="1"/>
  <c r="P25" i="4"/>
  <c r="J52" i="4"/>
  <c r="P117" i="4"/>
  <c r="Q117" i="4" s="1"/>
  <c r="Q24" i="3"/>
  <c r="P5" i="3"/>
  <c r="P155" i="7" l="1"/>
  <c r="P159" i="7" s="1"/>
  <c r="Q153" i="7"/>
  <c r="N108" i="5"/>
  <c r="J109" i="6"/>
  <c r="P61" i="5"/>
  <c r="P62" i="5" s="1"/>
  <c r="P203" i="5" s="1"/>
  <c r="Q203" i="5" s="1"/>
  <c r="I225" i="5" s="1"/>
  <c r="J17" i="12" s="1"/>
  <c r="P202" i="1"/>
  <c r="Q202" i="1" s="1"/>
  <c r="I224" i="1" s="1"/>
  <c r="P53" i="1"/>
  <c r="Q47" i="1"/>
  <c r="Q56" i="1" s="1"/>
  <c r="P57" i="1"/>
  <c r="P58" i="1"/>
  <c r="P55" i="1"/>
  <c r="P54" i="1"/>
  <c r="P52" i="1"/>
  <c r="P56" i="1"/>
  <c r="I85" i="1"/>
  <c r="Q116" i="2"/>
  <c r="P43" i="6"/>
  <c r="P36" i="6"/>
  <c r="J95" i="6"/>
  <c r="J111" i="6"/>
  <c r="J114" i="6" s="1"/>
  <c r="P26" i="6"/>
  <c r="N105" i="5"/>
  <c r="M119" i="5"/>
  <c r="P116" i="4"/>
  <c r="Q25" i="4"/>
  <c r="P24" i="3"/>
  <c r="P41" i="3" s="1"/>
  <c r="P42" i="3" s="1"/>
  <c r="Q25" i="3"/>
  <c r="P25" i="3" s="1"/>
  <c r="P122" i="2"/>
  <c r="P133" i="2"/>
  <c r="J13" i="12" l="1"/>
  <c r="P170" i="7"/>
  <c r="Q155" i="7"/>
  <c r="Q159" i="7" s="1"/>
  <c r="I175" i="7"/>
  <c r="J19" i="12" s="1"/>
  <c r="J115" i="6"/>
  <c r="K115" i="6" s="1"/>
  <c r="I96" i="1"/>
  <c r="P203" i="1" s="1"/>
  <c r="Q118" i="2"/>
  <c r="Q122" i="2" s="1"/>
  <c r="Q126" i="2" s="1"/>
  <c r="Q127" i="2" s="1"/>
  <c r="I138" i="2"/>
  <c r="Q53" i="1"/>
  <c r="Q51" i="1"/>
  <c r="Q58" i="1"/>
  <c r="Q57" i="1"/>
  <c r="Q55" i="1"/>
  <c r="Q54" i="1"/>
  <c r="Q52" i="1"/>
  <c r="P44" i="6"/>
  <c r="P118" i="4"/>
  <c r="Q116" i="4"/>
  <c r="Q42" i="3"/>
  <c r="P134" i="3"/>
  <c r="P134" i="2"/>
  <c r="P126" i="2"/>
  <c r="P127" i="2" s="1"/>
  <c r="J14" i="12" l="1"/>
  <c r="Q170" i="7"/>
  <c r="P163" i="7"/>
  <c r="P165" i="7" s="1"/>
  <c r="P171" i="7"/>
  <c r="Q118" i="4"/>
  <c r="Q133" i="4" s="1"/>
  <c r="I138" i="4"/>
  <c r="J63" i="6"/>
  <c r="J66" i="6" s="1"/>
  <c r="J68" i="6" s="1"/>
  <c r="J72" i="6" s="1"/>
  <c r="J75" i="6" s="1"/>
  <c r="J77" i="6" s="1"/>
  <c r="K77" i="6" s="1"/>
  <c r="Q134" i="2"/>
  <c r="Q203" i="1"/>
  <c r="Q204" i="1" s="1"/>
  <c r="Q219" i="1" s="1"/>
  <c r="P204" i="1"/>
  <c r="P208" i="1" s="1"/>
  <c r="P212" i="1" s="1"/>
  <c r="P213" i="1" s="1"/>
  <c r="P214" i="1" s="1"/>
  <c r="Q133" i="2"/>
  <c r="Q44" i="6"/>
  <c r="P163" i="6"/>
  <c r="N119" i="5"/>
  <c r="P204" i="5"/>
  <c r="P133" i="4"/>
  <c r="P122" i="4"/>
  <c r="Q134" i="3"/>
  <c r="P136" i="3"/>
  <c r="Q128" i="2"/>
  <c r="P128" i="2"/>
  <c r="J16" i="12" l="1"/>
  <c r="P166" i="7"/>
  <c r="P172" i="7"/>
  <c r="Q163" i="7"/>
  <c r="Q165" i="7" s="1"/>
  <c r="Q171" i="7"/>
  <c r="Q122" i="4"/>
  <c r="Q126" i="4" s="1"/>
  <c r="Q136" i="3"/>
  <c r="Q140" i="3" s="1"/>
  <c r="I156" i="3"/>
  <c r="P164" i="6"/>
  <c r="Q164" i="6" s="1"/>
  <c r="P220" i="1"/>
  <c r="Q208" i="1"/>
  <c r="Q220" i="1" s="1"/>
  <c r="P219" i="1"/>
  <c r="Q163" i="6"/>
  <c r="I185" i="6" s="1"/>
  <c r="J18" i="12" s="1"/>
  <c r="Q204" i="5"/>
  <c r="Q205" i="5" s="1"/>
  <c r="P205" i="5"/>
  <c r="P126" i="4"/>
  <c r="P134" i="4"/>
  <c r="P151" i="3"/>
  <c r="P140" i="3"/>
  <c r="Q135" i="2"/>
  <c r="Q129" i="2"/>
  <c r="B168" i="2" s="1"/>
  <c r="P129" i="2"/>
  <c r="P135" i="2"/>
  <c r="P221" i="1"/>
  <c r="P215" i="1"/>
  <c r="Q134" i="4" l="1"/>
  <c r="J15" i="12"/>
  <c r="C14" i="12"/>
  <c r="I14" i="12" s="1"/>
  <c r="Q166" i="7"/>
  <c r="B201" i="7" s="1"/>
  <c r="Q172" i="7"/>
  <c r="P165" i="6"/>
  <c r="P180" i="6" s="1"/>
  <c r="Q151" i="3"/>
  <c r="Q165" i="6"/>
  <c r="Q180" i="6" s="1"/>
  <c r="Q212" i="1"/>
  <c r="Q213" i="1" s="1"/>
  <c r="Q214" i="1" s="1"/>
  <c r="Q215" i="1" s="1"/>
  <c r="B262" i="1" s="1"/>
  <c r="Q220" i="5"/>
  <c r="Q209" i="5"/>
  <c r="P209" i="5"/>
  <c r="P220" i="5"/>
  <c r="Q127" i="4"/>
  <c r="P127" i="4" s="1"/>
  <c r="P128" i="4" s="1"/>
  <c r="Q152" i="3"/>
  <c r="Q144" i="3"/>
  <c r="Q146" i="3" s="1"/>
  <c r="P144" i="3"/>
  <c r="P146" i="3" s="1"/>
  <c r="P152" i="3"/>
  <c r="G169" i="2"/>
  <c r="B178" i="2"/>
  <c r="B191" i="2" s="1"/>
  <c r="B189" i="2"/>
  <c r="B190" i="2" s="1"/>
  <c r="B283" i="1" l="1"/>
  <c r="B284" i="1" s="1"/>
  <c r="I280" i="1"/>
  <c r="G283" i="1" s="1"/>
  <c r="G284" i="1" s="1"/>
  <c r="H204" i="7"/>
  <c r="C19" i="12"/>
  <c r="I19" i="12" s="1"/>
  <c r="C13" i="12"/>
  <c r="I13" i="12" s="1"/>
  <c r="B272" i="1"/>
  <c r="B285" i="1" s="1"/>
  <c r="B286" i="1" s="1"/>
  <c r="B222" i="7"/>
  <c r="B223" i="7" s="1"/>
  <c r="B211" i="7"/>
  <c r="B224" i="7" s="1"/>
  <c r="P167" i="6"/>
  <c r="P169" i="6" s="1"/>
  <c r="P181" i="6" s="1"/>
  <c r="Q167" i="6"/>
  <c r="Q169" i="6" s="1"/>
  <c r="Q173" i="6" s="1"/>
  <c r="Q175" i="6" s="1"/>
  <c r="E259" i="1"/>
  <c r="Q221" i="1"/>
  <c r="B192" i="2"/>
  <c r="P213" i="5"/>
  <c r="P221" i="5"/>
  <c r="Q213" i="5"/>
  <c r="Q221" i="5"/>
  <c r="P129" i="4"/>
  <c r="P135" i="4"/>
  <c r="Q128" i="4"/>
  <c r="P153" i="3"/>
  <c r="P147" i="3"/>
  <c r="Q147" i="3"/>
  <c r="B184" i="3" s="1"/>
  <c r="Q153" i="3"/>
  <c r="J201" i="3"/>
  <c r="C15" i="12" l="1"/>
  <c r="I15" i="12" s="1"/>
  <c r="G285" i="1"/>
  <c r="G286" i="1" s="1"/>
  <c r="B225" i="7"/>
  <c r="P173" i="6"/>
  <c r="P175" i="6" s="1"/>
  <c r="P176" i="6" s="1"/>
  <c r="Q181" i="6"/>
  <c r="E14" i="12"/>
  <c r="G14" i="12" s="1"/>
  <c r="C171" i="2"/>
  <c r="C265" i="1"/>
  <c r="E13" i="12"/>
  <c r="G13" i="12" s="1"/>
  <c r="Q182" i="6"/>
  <c r="Q176" i="6"/>
  <c r="B221" i="6" s="1"/>
  <c r="C18" i="12" s="1"/>
  <c r="I18" i="12" s="1"/>
  <c r="Q214" i="5"/>
  <c r="Q215" i="5" s="1"/>
  <c r="P214" i="5"/>
  <c r="P215" i="5" s="1"/>
  <c r="Q129" i="4"/>
  <c r="B163" i="4" s="1"/>
  <c r="Q135" i="4"/>
  <c r="E184" i="3"/>
  <c r="B194" i="3"/>
  <c r="B207" i="3" s="1"/>
  <c r="B205" i="3"/>
  <c r="B206" i="3" s="1"/>
  <c r="M202" i="3"/>
  <c r="M200" i="3"/>
  <c r="M201" i="3" s="1"/>
  <c r="C16" i="12" l="1"/>
  <c r="I16" i="12" s="1"/>
  <c r="C204" i="7"/>
  <c r="E19" i="12"/>
  <c r="G19" i="12" s="1"/>
  <c r="P182" i="6"/>
  <c r="G234" i="6"/>
  <c r="B247" i="6"/>
  <c r="B248" i="6" s="1"/>
  <c r="B250" i="6" s="1"/>
  <c r="P222" i="5"/>
  <c r="P216" i="5"/>
  <c r="Q216" i="5"/>
  <c r="B257" i="5" s="1"/>
  <c r="C17" i="12" s="1"/>
  <c r="I17" i="12" s="1"/>
  <c r="Q222" i="5"/>
  <c r="M203" i="3"/>
  <c r="B208" i="3"/>
  <c r="B184" i="4"/>
  <c r="B185" i="4" s="1"/>
  <c r="H163" i="4"/>
  <c r="B173" i="4"/>
  <c r="B186" i="4" s="1"/>
  <c r="C229" i="6" l="1"/>
  <c r="E18" i="12"/>
  <c r="G18" i="12" s="1"/>
  <c r="C187" i="3"/>
  <c r="E15" i="12"/>
  <c r="G15" i="12" s="1"/>
  <c r="B187" i="4"/>
  <c r="E255" i="5"/>
  <c r="B277" i="5"/>
  <c r="B278" i="5" s="1"/>
  <c r="B266" i="5"/>
  <c r="B279" i="5" s="1"/>
  <c r="C166" i="4" l="1"/>
  <c r="E16" i="12"/>
  <c r="G16" i="12" s="1"/>
  <c r="B280" i="5"/>
  <c r="E17" i="12" s="1"/>
  <c r="G17" i="12" s="1"/>
</calcChain>
</file>

<file path=xl/connections.xml><?xml version="1.0" encoding="utf-8"?>
<connections xmlns="http://schemas.openxmlformats.org/spreadsheetml/2006/main">
  <connection id="1" sourceFile="http://members.tsetmc.com/tsev2/excel/MarketWatchPlus.aspx?d=0" name="MarketWatchPlus" type="5" reconnectionMethod="2" refreshedVersion="6" minRefreshableVersion="3" saveData="1">
    <dbPr connection="Provider=Microsoft.ACE.OLEDB.12.0;User ID=Admin;Data Source=C:\Users\mamali\AppData\Local\Microsoft\Windows\Temporary Internet Files\Content.MSO\384002C4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'دیده بان بازار$'" commandType="3"/>
  </connection>
</connections>
</file>

<file path=xl/sharedStrings.xml><?xml version="1.0" encoding="utf-8"?>
<sst xmlns="http://schemas.openxmlformats.org/spreadsheetml/2006/main" count="8759" uniqueCount="3725">
  <si>
    <t>ارزش پس از افزایش سرمایه</t>
  </si>
  <si>
    <t>ارزش  سهم</t>
  </si>
  <si>
    <t>تنزیل dps</t>
  </si>
  <si>
    <t>تنزیل</t>
  </si>
  <si>
    <t xml:space="preserve">ارزش پی به ایی </t>
  </si>
  <si>
    <t>p/e</t>
  </si>
  <si>
    <t>r</t>
  </si>
  <si>
    <t>درصد سود مورد انتظار</t>
  </si>
  <si>
    <t>سود احتمالی 98</t>
  </si>
  <si>
    <t>قیمت احتمالی بعدازافزایش</t>
  </si>
  <si>
    <t>درصدافزایش</t>
  </si>
  <si>
    <t>سرمایه جدید</t>
  </si>
  <si>
    <t>درصورت افزایش سرمایه به</t>
  </si>
  <si>
    <t>n _ dps_98</t>
  </si>
  <si>
    <t>n _ eps_98</t>
  </si>
  <si>
    <t>98/06/01</t>
  </si>
  <si>
    <t>تاریخ تقسیم سود</t>
  </si>
  <si>
    <t>98/04/30</t>
  </si>
  <si>
    <t>تاریخ مجمع</t>
  </si>
  <si>
    <t>98_   DPS</t>
  </si>
  <si>
    <t>درصد تقسیم سود</t>
  </si>
  <si>
    <t>قیمت روز سهم</t>
  </si>
  <si>
    <t>EPS</t>
  </si>
  <si>
    <t>گندله مورد نیاز</t>
  </si>
  <si>
    <t>سنگ آهن مورد نیاز</t>
  </si>
  <si>
    <t>نرخ دلاری ورق گرم</t>
  </si>
  <si>
    <t>نرخ دلار</t>
  </si>
  <si>
    <t>ضریب تبدیل گندله</t>
  </si>
  <si>
    <t>ضریب تبدیل سنگ آهن</t>
  </si>
  <si>
    <t>نرخ گندله</t>
  </si>
  <si>
    <t>نرخ سنگ آهن</t>
  </si>
  <si>
    <t>نرخ شمش فولاد خوزستان</t>
  </si>
  <si>
    <t>نرخ ریالی ورق گرم</t>
  </si>
  <si>
    <t>مقدارتولیدفولاد</t>
  </si>
  <si>
    <t>نرخ فروش در بورس کالا از اول برج 4</t>
  </si>
  <si>
    <t>پیش بینی</t>
  </si>
  <si>
    <t>میانگین مفروضات</t>
  </si>
  <si>
    <t>کمترین</t>
  </si>
  <si>
    <t>بیشترین</t>
  </si>
  <si>
    <t>براساس سه ماهه</t>
  </si>
  <si>
    <t>میانگین گزارش ماهیانه</t>
  </si>
  <si>
    <t>آخرین ماه</t>
  </si>
  <si>
    <t>میانگین چند ساله</t>
  </si>
  <si>
    <t>نرخ استاندارد</t>
  </si>
  <si>
    <t>پنل</t>
  </si>
  <si>
    <t>جمع</t>
  </si>
  <si>
    <t>ساير</t>
  </si>
  <si>
    <t>هزار تن</t>
  </si>
  <si>
    <t>محصولات پوشش دار</t>
  </si>
  <si>
    <t>محصولات سرد</t>
  </si>
  <si>
    <t>محصولات گرم</t>
  </si>
  <si>
    <t>نام محصول</t>
  </si>
  <si>
    <t>مبلغ فروش (میلیون ریال)</t>
  </si>
  <si>
    <t>نرخ فروش (ریال)</t>
  </si>
  <si>
    <t>مقدار/تعداد فروش</t>
  </si>
  <si>
    <t>مقدار/تعداد تولید</t>
  </si>
  <si>
    <t>واحد</t>
  </si>
  <si>
    <t>از ابتدای سال مالی تا پایان مورخ 1398/05/31</t>
  </si>
  <si>
    <t>اصلاحات</t>
  </si>
  <si>
    <t>شرح</t>
  </si>
  <si>
    <t>گزارش ماهانه</t>
  </si>
  <si>
    <t>باقیمانده</t>
  </si>
  <si>
    <t>گذشته</t>
  </si>
  <si>
    <t>حاشیه سود خالص</t>
  </si>
  <si>
    <t>حاشیه سود عملیاتی</t>
  </si>
  <si>
    <t>حاشیه سود ناخالص</t>
  </si>
  <si>
    <t>سال 98</t>
  </si>
  <si>
    <t>نه ماهه 98</t>
  </si>
  <si>
    <t>شش ماهه 98</t>
  </si>
  <si>
    <t>سه ماهه 98</t>
  </si>
  <si>
    <t>سال 97</t>
  </si>
  <si>
    <t>نه ماهه 97</t>
  </si>
  <si>
    <t>شش ماهه 97</t>
  </si>
  <si>
    <t>سه ماهه 97</t>
  </si>
  <si>
    <t>سال 96</t>
  </si>
  <si>
    <t>نه ماهه 96</t>
  </si>
  <si>
    <t>شش ماهه 96</t>
  </si>
  <si>
    <t>سه ماهه 96</t>
  </si>
  <si>
    <t>سال 95</t>
  </si>
  <si>
    <t>سال 94</t>
  </si>
  <si>
    <t>سال 93</t>
  </si>
  <si>
    <t>سال 92</t>
  </si>
  <si>
    <t>نسبتهای سود آوری</t>
  </si>
  <si>
    <t>مالیات بر درآمد</t>
  </si>
  <si>
    <t>سرمایه</t>
  </si>
  <si>
    <t>سود (زیان) خالص هر سهم– ریال</t>
  </si>
  <si>
    <t>سود (زیان) خالص</t>
  </si>
  <si>
    <t>سود (زیان) عملیات در حال تداوم قبل از مالیات</t>
  </si>
  <si>
    <t>سایر درآمدها و هزینه‌های غیرعملیاتی- اقلام متفرقه</t>
  </si>
  <si>
    <t>سایر درآمدها و هزینه‌های غیرعملیاتی- درآمد سرمایه‌گذاری‌ها</t>
  </si>
  <si>
    <t>پیش بینی شرکت</t>
  </si>
  <si>
    <t>هزینه‌های مالی</t>
  </si>
  <si>
    <t>سود (زیان) عملیاتی</t>
  </si>
  <si>
    <t>سایر هزینه‌های عملیاتی</t>
  </si>
  <si>
    <t>سایر درآمدهای عملیاتی</t>
  </si>
  <si>
    <t>هزینه‌های فروش، اداری و عمومی</t>
  </si>
  <si>
    <t>سود (زیان) ناخالص</t>
  </si>
  <si>
    <t>بهای تمام ‌شده درآمدهای عملیاتی</t>
  </si>
  <si>
    <t>درآمدهای عملیاتی</t>
  </si>
  <si>
    <t>صورت سودوزیان</t>
  </si>
  <si>
    <t xml:space="preserve">جمع </t>
  </si>
  <si>
    <t xml:space="preserve">ساير هزينه ها </t>
  </si>
  <si>
    <t xml:space="preserve">هزينه حمل و نقل و انتقال </t>
  </si>
  <si>
    <t xml:space="preserve">هزينه مطالبات مشکوک الوصول </t>
  </si>
  <si>
    <t xml:space="preserve">هزينه خدمات پس از فروش </t>
  </si>
  <si>
    <t xml:space="preserve">حق العمل و کميسيون فروش </t>
  </si>
  <si>
    <t xml:space="preserve">هزينه تبليغات </t>
  </si>
  <si>
    <t xml:space="preserve">هزينه مواد مصرفي </t>
  </si>
  <si>
    <t xml:space="preserve">هزينه انرژي (آب، برق، گاز و سوخت) </t>
  </si>
  <si>
    <t xml:space="preserve">هزينه استهلاک </t>
  </si>
  <si>
    <t xml:space="preserve">هزينه حقوق و دستمزد </t>
  </si>
  <si>
    <t>برآورد98</t>
  </si>
  <si>
    <t>هزينه هاي اداري، عمومي و فروش</t>
  </si>
  <si>
    <t>برآوردنه ماهه98</t>
  </si>
  <si>
    <t>هزينه سربار</t>
  </si>
  <si>
    <t>سایر</t>
  </si>
  <si>
    <t xml:space="preserve">فروآلياژ </t>
  </si>
  <si>
    <t xml:space="preserve">مواد اوليه وارداتي: </t>
  </si>
  <si>
    <t xml:space="preserve">ساير </t>
  </si>
  <si>
    <t xml:space="preserve">آهن قراضه </t>
  </si>
  <si>
    <t xml:space="preserve">گندله </t>
  </si>
  <si>
    <t xml:space="preserve">سنگ آهن </t>
  </si>
  <si>
    <t xml:space="preserve">مواد اوليه داخلي: </t>
  </si>
  <si>
    <t>کارشناسی نه ماهه 98</t>
  </si>
  <si>
    <t>سه ماهه98</t>
  </si>
  <si>
    <t>نرخ مصرف مواد اولیه</t>
  </si>
  <si>
    <t>کنور</t>
  </si>
  <si>
    <t>کگهر</t>
  </si>
  <si>
    <t xml:space="preserve">جمع كـل </t>
  </si>
  <si>
    <t xml:space="preserve">جمع مواد اوليه وارداتي: </t>
  </si>
  <si>
    <t xml:space="preserve">جمع مواد اوليه داخلي: </t>
  </si>
  <si>
    <t>مبلغ مصرف مواد اولیه</t>
  </si>
  <si>
    <t>مقدار مصرف مواد اولیه</t>
  </si>
  <si>
    <t>مجموع</t>
  </si>
  <si>
    <t>کل تولید</t>
  </si>
  <si>
    <t xml:space="preserve">جمع بهاي تمام شده </t>
  </si>
  <si>
    <t xml:space="preserve">بهاي تمام شده خدمات ارايه شده </t>
  </si>
  <si>
    <t xml:space="preserve">بهاي تمام شده كالاي فروش رفته </t>
  </si>
  <si>
    <t xml:space="preserve">موجودي كالاي ساخته شده پايان دوره </t>
  </si>
  <si>
    <t xml:space="preserve">موجودي كالاي ساخته شده اول دوره </t>
  </si>
  <si>
    <t xml:space="preserve">بهاي تمام شده كالاي توليد شده </t>
  </si>
  <si>
    <t xml:space="preserve">ضايعات غيرعادي </t>
  </si>
  <si>
    <t xml:space="preserve">موجودي كالاي درجريان ساخت پايان دوره </t>
  </si>
  <si>
    <t xml:space="preserve">موجودي كالاي درجريان ساخت اول دوره </t>
  </si>
  <si>
    <t xml:space="preserve">جمع هزينه هاي توليد </t>
  </si>
  <si>
    <t xml:space="preserve">هزينه جذب نشده درتوليد </t>
  </si>
  <si>
    <t xml:space="preserve">سربارتوليد </t>
  </si>
  <si>
    <t xml:space="preserve">دستمزدمستقيم توليد </t>
  </si>
  <si>
    <t xml:space="preserve">مواد مستقيم مصرفي </t>
  </si>
  <si>
    <t>سال97</t>
  </si>
  <si>
    <t>سه ماهه97</t>
  </si>
  <si>
    <t>سال96</t>
  </si>
  <si>
    <t>بهای تمام شده</t>
  </si>
  <si>
    <t>محصولات پوشش دار ص</t>
  </si>
  <si>
    <t>محصولات سرد ص</t>
  </si>
  <si>
    <t>محصولات گرم ص</t>
  </si>
  <si>
    <t xml:space="preserve">محصولات پوشش دار </t>
  </si>
  <si>
    <t xml:space="preserve">محصولات سرد </t>
  </si>
  <si>
    <t xml:space="preserve">محصولات گرم </t>
  </si>
  <si>
    <t>درصد</t>
  </si>
  <si>
    <t>گزارش ماهیانه</t>
  </si>
  <si>
    <t>درصد نرخ فروش</t>
  </si>
  <si>
    <t>محصولات پوشش دار صادراتی</t>
  </si>
  <si>
    <t>محصولات سرد صادراتی</t>
  </si>
  <si>
    <t>محصولات گرم صادراتی</t>
  </si>
  <si>
    <t>نرخ فروش</t>
  </si>
  <si>
    <t>سهم ازمبلغ فروش</t>
  </si>
  <si>
    <t>مبلغ فروش</t>
  </si>
  <si>
    <t>درصدفروش از تولید</t>
  </si>
  <si>
    <t>درصدفروش از تولیدماهانه</t>
  </si>
  <si>
    <t>سهم ازمقدار فروش</t>
  </si>
  <si>
    <t>مبلغ فروش ماهانه</t>
  </si>
  <si>
    <t>مقدار فروش</t>
  </si>
  <si>
    <t>آخرین گزارش ماهانه</t>
  </si>
  <si>
    <t>سهم ازمقدار تولید</t>
  </si>
  <si>
    <t>کلاف رنگی</t>
  </si>
  <si>
    <t>کلاف گالوانیزه</t>
  </si>
  <si>
    <t>کلاف قلع اندود</t>
  </si>
  <si>
    <t>کلاف سرد</t>
  </si>
  <si>
    <t>کلاف گرم(مبارکه وسبا)</t>
  </si>
  <si>
    <t>تختال(مبارکه وسبا)</t>
  </si>
  <si>
    <t>ظرفیت اسمی</t>
  </si>
  <si>
    <t>محصول</t>
  </si>
  <si>
    <t>مقدار تولید</t>
  </si>
  <si>
    <t>98/10/01</t>
  </si>
  <si>
    <t>مقدارآهن اسفنجی مورد نیاز</t>
  </si>
  <si>
    <t>ضریب تبدیل</t>
  </si>
  <si>
    <t>نرخ آهن اسفنجی</t>
  </si>
  <si>
    <t>تن</t>
  </si>
  <si>
    <t>تجاري</t>
  </si>
  <si>
    <t>مهندسي</t>
  </si>
  <si>
    <t>آلياژي</t>
  </si>
  <si>
    <t>نرخ ریالی بیلت</t>
  </si>
  <si>
    <t>نرخ جهانی بیلت</t>
  </si>
  <si>
    <t>مقدارتولید کل</t>
  </si>
  <si>
    <t xml:space="preserve">فروآلياژها </t>
  </si>
  <si>
    <t xml:space="preserve">آهن اسفنجي </t>
  </si>
  <si>
    <t>جمع کل</t>
  </si>
  <si>
    <t>تولید</t>
  </si>
  <si>
    <t>تجاري صادراتی</t>
  </si>
  <si>
    <t>مهندسي صادراتی</t>
  </si>
  <si>
    <t>آلياژي صادراتی</t>
  </si>
  <si>
    <t xml:space="preserve">مهندسي </t>
  </si>
  <si>
    <t xml:space="preserve">تجاري </t>
  </si>
  <si>
    <t xml:space="preserve">آلياژي </t>
  </si>
  <si>
    <t>تولید بیلت احتمالی</t>
  </si>
  <si>
    <t>سود احتمالی 99</t>
  </si>
  <si>
    <t>با ثابت ماندن همه شرایط وتحقق مرحله دوم وافزایش سرمایه</t>
  </si>
  <si>
    <t>پایان سال 98</t>
  </si>
  <si>
    <t>67.13درصد</t>
  </si>
  <si>
    <t>ظرفیت تولید بیلت</t>
  </si>
  <si>
    <t>تاریخ احتمالی بهره برداری</t>
  </si>
  <si>
    <t>پیشرفت</t>
  </si>
  <si>
    <t>درصورت راه اندازی مرحله دو م فولادسازی</t>
  </si>
  <si>
    <t>آهن اسفنجي کارمزدي</t>
  </si>
  <si>
    <t>آهن اسفنجي صادراتي</t>
  </si>
  <si>
    <t>شمش بيلت صادراتي</t>
  </si>
  <si>
    <t>شمش بيلت داخلي</t>
  </si>
  <si>
    <t>نرخ بیلت</t>
  </si>
  <si>
    <t>ضریب تبدیل گندله به بیلت</t>
  </si>
  <si>
    <t>آهن اسفنجي</t>
  </si>
  <si>
    <t>مقدارتولید بیلت</t>
  </si>
  <si>
    <t>شمش بيلت</t>
  </si>
  <si>
    <t>میانگین گزارش ماهانه</t>
  </si>
  <si>
    <t>میانگین دو ساله</t>
  </si>
  <si>
    <t>گندله</t>
  </si>
  <si>
    <t xml:space="preserve">جمع تولید بیلت </t>
  </si>
  <si>
    <t xml:space="preserve">آهن اسفنجي کارمزدي </t>
  </si>
  <si>
    <t xml:space="preserve">شمش بيلت صادراتي </t>
  </si>
  <si>
    <t xml:space="preserve">شمش بيلت داخلي </t>
  </si>
  <si>
    <t xml:space="preserve">آهن اسفنجي صادراتي </t>
  </si>
  <si>
    <t xml:space="preserve">آهن اسفنجي داخلي </t>
  </si>
  <si>
    <t>میانگین</t>
  </si>
  <si>
    <t>98/07/01</t>
  </si>
  <si>
    <t>98/04/12</t>
  </si>
  <si>
    <t>نرخ اسلب</t>
  </si>
  <si>
    <t>مقدارموردنیاز گندله</t>
  </si>
  <si>
    <t>ضریب مصرف گندله</t>
  </si>
  <si>
    <t>نرخ ریالی اسلب</t>
  </si>
  <si>
    <t>نرخ جهانی اسلب</t>
  </si>
  <si>
    <t>اسلب</t>
  </si>
  <si>
    <t>مقدارتولید اسلب</t>
  </si>
  <si>
    <t xml:space="preserve">چسب سيليکات </t>
  </si>
  <si>
    <t xml:space="preserve">ملاس </t>
  </si>
  <si>
    <t xml:space="preserve">آهک هيدراته </t>
  </si>
  <si>
    <t xml:space="preserve">قراضه </t>
  </si>
  <si>
    <t xml:space="preserve">سنگ آهک </t>
  </si>
  <si>
    <t>تولید اسلب</t>
  </si>
  <si>
    <t>اسلب صادراتی</t>
  </si>
  <si>
    <t xml:space="preserve">آهک </t>
  </si>
  <si>
    <t xml:space="preserve">بريکت </t>
  </si>
  <si>
    <t xml:space="preserve">اسلب </t>
  </si>
  <si>
    <t>آهک</t>
  </si>
  <si>
    <t>بريکت</t>
  </si>
  <si>
    <t>98/04/15</t>
  </si>
  <si>
    <t>98/03/19</t>
  </si>
  <si>
    <t>اسلب صادراتي</t>
  </si>
  <si>
    <t>بلوم و بيلت صادراتي</t>
  </si>
  <si>
    <t>اسلب داخلي</t>
  </si>
  <si>
    <t>بلوم و بيلت داخلي</t>
  </si>
  <si>
    <t>دلار</t>
  </si>
  <si>
    <t>مقدارتولید فولاد</t>
  </si>
  <si>
    <t>درصد مالیات</t>
  </si>
  <si>
    <t>گندله خریداری شده</t>
  </si>
  <si>
    <t>مواد افزودنی</t>
  </si>
  <si>
    <t>فرو آلیاژها</t>
  </si>
  <si>
    <t>آهن اسفنجی</t>
  </si>
  <si>
    <t>آهن قراضه</t>
  </si>
  <si>
    <t>سنگ آهن</t>
  </si>
  <si>
    <t>سایرموارد</t>
  </si>
  <si>
    <t>جمع تولید فولاد</t>
  </si>
  <si>
    <t>بلوم ، بيلت ص</t>
  </si>
  <si>
    <t>اسلب ص</t>
  </si>
  <si>
    <t>فروش صادراتی</t>
  </si>
  <si>
    <t xml:space="preserve">بلوم ، بيلت </t>
  </si>
  <si>
    <t>فروش داخلی</t>
  </si>
  <si>
    <t>جمع کل فروش</t>
  </si>
  <si>
    <t>جمع فروش صادراتی</t>
  </si>
  <si>
    <t>جمع فروش داخلی</t>
  </si>
  <si>
    <t>سهم کلی فروش از تولید کل</t>
  </si>
  <si>
    <t>جمع صادراتی</t>
  </si>
  <si>
    <t>سهم از فروش</t>
  </si>
  <si>
    <t>سهم از تولید</t>
  </si>
  <si>
    <t>98/04/17</t>
  </si>
  <si>
    <t>تفاوت</t>
  </si>
  <si>
    <t xml:space="preserve">نرخ سنگ آهن ذوب </t>
  </si>
  <si>
    <t>نرخ سنگ آهن فخوز</t>
  </si>
  <si>
    <t>نرخ مقایسه ایی</t>
  </si>
  <si>
    <t>فرآورده هاي جانبي</t>
  </si>
  <si>
    <t>ساير (نبشي ، چهارگوش، ناوداني و ...)</t>
  </si>
  <si>
    <t>ريل</t>
  </si>
  <si>
    <t>کلاف</t>
  </si>
  <si>
    <t>مقدارموردنیاز سنگ آهن</t>
  </si>
  <si>
    <t>شمش کالايي</t>
  </si>
  <si>
    <t>ضریب مصرف سنگ آهن</t>
  </si>
  <si>
    <t>ميلگرد</t>
  </si>
  <si>
    <t>تيرآهن</t>
  </si>
  <si>
    <t>مقدارتولید محصولات فولادی</t>
  </si>
  <si>
    <t xml:space="preserve">کک وارداتي </t>
  </si>
  <si>
    <t xml:space="preserve">شمش وارداتي </t>
  </si>
  <si>
    <t xml:space="preserve">ذغالسنگ وارداتي </t>
  </si>
  <si>
    <t>وارداتی</t>
  </si>
  <si>
    <t xml:space="preserve">کک </t>
  </si>
  <si>
    <t xml:space="preserve">شمش </t>
  </si>
  <si>
    <t xml:space="preserve">سنگ منگنز </t>
  </si>
  <si>
    <t xml:space="preserve">ذغالسنگ </t>
  </si>
  <si>
    <t>نرخ مصرف</t>
  </si>
  <si>
    <t>مجموع وارداتی</t>
  </si>
  <si>
    <t>مجموع داخلی</t>
  </si>
  <si>
    <t>مبلغ مصرف</t>
  </si>
  <si>
    <t>مقدار کل تولید</t>
  </si>
  <si>
    <t>جمع داخلی</t>
  </si>
  <si>
    <t>مقدارمصرف مواد اولیه</t>
  </si>
  <si>
    <t>محصولات فرعي  ص</t>
  </si>
  <si>
    <t>ساير  ص</t>
  </si>
  <si>
    <t>شمش کالايي ص</t>
  </si>
  <si>
    <t>ميلگرد ص</t>
  </si>
  <si>
    <t>تيرآهن ص</t>
  </si>
  <si>
    <t>صادراتی</t>
  </si>
  <si>
    <t xml:space="preserve">محصولات فرعي (قطران، چدن ، بنزن ، تولوئن،سرباره،سولفات آمونيوم و ...) </t>
  </si>
  <si>
    <t xml:space="preserve">ساير (نبشي ، چهارگوش،کلاف ، ناوداني و ...) </t>
  </si>
  <si>
    <t xml:space="preserve">شمش کالايي </t>
  </si>
  <si>
    <t xml:space="preserve">ميلگرد </t>
  </si>
  <si>
    <t xml:space="preserve">تيرآهن </t>
  </si>
  <si>
    <t>داخلی</t>
  </si>
  <si>
    <t>سود (زیان) خالص عملیات در حال تداوم</t>
  </si>
  <si>
    <t xml:space="preserve">ساير مواد اوليه </t>
  </si>
  <si>
    <t xml:space="preserve">فرومنگنز </t>
  </si>
  <si>
    <t xml:space="preserve">فروسيليس </t>
  </si>
  <si>
    <t xml:space="preserve">قراضه آهن </t>
  </si>
  <si>
    <t>شمش صادراتي</t>
  </si>
  <si>
    <t xml:space="preserve">شمش فولادي </t>
  </si>
  <si>
    <t>شمش فولادي</t>
  </si>
  <si>
    <t>آهن اسفنجي ( DRI )</t>
  </si>
  <si>
    <t>طرح افزایشی</t>
  </si>
  <si>
    <t>ورق</t>
  </si>
  <si>
    <t>ذوب</t>
  </si>
  <si>
    <t>نام شرکت</t>
  </si>
  <si>
    <t>نماد</t>
  </si>
  <si>
    <t>تفاوت با سال قبل</t>
  </si>
  <si>
    <t>فولاد</t>
  </si>
  <si>
    <t>فولاژ</t>
  </si>
  <si>
    <t>کاوه</t>
  </si>
  <si>
    <t>هرمز</t>
  </si>
  <si>
    <t>فخوز</t>
  </si>
  <si>
    <t>ارفع</t>
  </si>
  <si>
    <t>فنورد</t>
  </si>
  <si>
    <t>فخاس</t>
  </si>
  <si>
    <t>فجر</t>
  </si>
  <si>
    <t>مقدارتولید ماهیانه98</t>
  </si>
  <si>
    <t>98/01/31</t>
  </si>
  <si>
    <t>98/02/31</t>
  </si>
  <si>
    <t>98/04/31</t>
  </si>
  <si>
    <t>98/05/31</t>
  </si>
  <si>
    <t>98/06/31</t>
  </si>
  <si>
    <t>98/07/30</t>
  </si>
  <si>
    <t>98/08/30</t>
  </si>
  <si>
    <t>98/09/30</t>
  </si>
  <si>
    <t>98/10/30</t>
  </si>
  <si>
    <t>98/11/30</t>
  </si>
  <si>
    <t>98/12/30</t>
  </si>
  <si>
    <t>از ابتدای سال</t>
  </si>
  <si>
    <t>مقدارفروش ماهیانه98</t>
  </si>
  <si>
    <t>نرخ فروش ماهیانه98</t>
  </si>
  <si>
    <t>مبلغ فروش ماهیانه98</t>
  </si>
  <si>
    <t>جمع تولید ماهیانه98</t>
  </si>
  <si>
    <t>جمع فروش ماهیانه98</t>
  </si>
  <si>
    <t>نرخ فروش ماه آخرمحصول اصلی</t>
  </si>
  <si>
    <t>مقدارتولید ماهیانه 97</t>
  </si>
  <si>
    <t>97/01/31</t>
  </si>
  <si>
    <t>97/02/31</t>
  </si>
  <si>
    <t>97/03/31</t>
  </si>
  <si>
    <t>97/04/31</t>
  </si>
  <si>
    <t>97/05/31</t>
  </si>
  <si>
    <t>97/06/31</t>
  </si>
  <si>
    <t>97/07/30</t>
  </si>
  <si>
    <t>97/08/30</t>
  </si>
  <si>
    <t>97/09/30</t>
  </si>
  <si>
    <t>97/10/30</t>
  </si>
  <si>
    <t>97/11/30</t>
  </si>
  <si>
    <t>97/12/30</t>
  </si>
  <si>
    <t>مقدارفروش ماهیانه 97</t>
  </si>
  <si>
    <t>نرخ فروش ماهیانه 97</t>
  </si>
  <si>
    <t>مبلغ فروش ماهیانه 97</t>
  </si>
  <si>
    <t>پایان عملکرد واقعی منتهی به</t>
  </si>
  <si>
    <t>۱۳۹۸/۰۳/۳۱</t>
  </si>
  <si>
    <t>پایان سال مالی قبل</t>
  </si>
  <si>
    <t>۱۳۹۷/۱۲/۲۹</t>
  </si>
  <si>
    <t>تغییرات</t>
  </si>
  <si>
    <t>دارایی‌‌ها</t>
  </si>
  <si>
    <t>بدهی‌ها و حقوق صاحبان سهام</t>
  </si>
  <si>
    <t>دارایی‌‌های جاری</t>
  </si>
  <si>
    <t>بدهی‌های جاری</t>
  </si>
  <si>
    <t>موجودی نقد</t>
  </si>
  <si>
    <t>پرداختنی‌های تجاری</t>
  </si>
  <si>
    <t>سرمایه‌گذاری‌‌های کوتاه مدت</t>
  </si>
  <si>
    <t>پرداختنی‌های غیرتجاری</t>
  </si>
  <si>
    <t>دریافتنی‌‌های تجاری</t>
  </si>
  <si>
    <t>مالیات پرداختنی</t>
  </si>
  <si>
    <t>دریافتنی‌‌های غیرتجاری</t>
  </si>
  <si>
    <t>سود سهام پرداختنی</t>
  </si>
  <si>
    <t>موجودی مواد و کالا</t>
  </si>
  <si>
    <t>تسهیلات مالی</t>
  </si>
  <si>
    <t>پیش پرداخت‌ها و سفارشات</t>
  </si>
  <si>
    <t>ذخایر</t>
  </si>
  <si>
    <t>--</t>
  </si>
  <si>
    <t>دارایی‌های نگهداری شده برای فروش</t>
  </si>
  <si>
    <t>پیش‌دریافت‌های جاری</t>
  </si>
  <si>
    <t>جمع دارایی‌های جاری</t>
  </si>
  <si>
    <t>بدهی‌های مرتبط با دارایی‌های نگهداری شده برای فروش</t>
  </si>
  <si>
    <t>دارایی‌‌های غیرجاری</t>
  </si>
  <si>
    <t>جمع بدهی‌های جاری</t>
  </si>
  <si>
    <t>دریافتنی‌‌های بلندمدت</t>
  </si>
  <si>
    <t>بدهی‌های غیرجاری</t>
  </si>
  <si>
    <t>سرمایه‌گذاری‌های بلندمدت</t>
  </si>
  <si>
    <t>پرداختنی‌های بلندمدت</t>
  </si>
  <si>
    <t>سرمایه‌گذاری در املاک</t>
  </si>
  <si>
    <t>پیش‌دریافت‌های غیرجاری</t>
  </si>
  <si>
    <t>دارایی‌های نامشهود</t>
  </si>
  <si>
    <t>تسهیلات مالی بلندمدت</t>
  </si>
  <si>
    <t>دارایی‌های ثابت مشهود</t>
  </si>
  <si>
    <t>ذخیره مزایای پایان خدمت کارکنان</t>
  </si>
  <si>
    <t>سایر دارایی‌ها</t>
  </si>
  <si>
    <t>جمع بدهی‌های غیرجاری</t>
  </si>
  <si>
    <t>جمع دارایی‌های غیرجاری</t>
  </si>
  <si>
    <t>جمع بدهی‌ها</t>
  </si>
  <si>
    <t>حقوق صاحبان سهام</t>
  </si>
  <si>
    <t>افزایش (کاهش) سرمایه در جریان</t>
  </si>
  <si>
    <t>صرف (کسر) سهام</t>
  </si>
  <si>
    <t>سهام خزانه</t>
  </si>
  <si>
    <t>اندوخته قانونی</t>
  </si>
  <si>
    <t>سایر اندوخته‌ها</t>
  </si>
  <si>
    <t>مازاد تجدید ارزیابی دارایی‌های نگهداری شده برای فروش</t>
  </si>
  <si>
    <t>مازاد تجدید ارزیابی دارایی‌ها</t>
  </si>
  <si>
    <t>تفاوت تسعیر ناشی از تبدیل به واحد پول گزارشگری</t>
  </si>
  <si>
    <t>اندوخته تسعیر ارز دارایی‌ها و بدهی‌های شرکت‌های دولتی</t>
  </si>
  <si>
    <t>سود (زیان) انباشته</t>
  </si>
  <si>
    <t>جمع حقوق صاحبان سهام</t>
  </si>
  <si>
    <t>جمع دارایی‌ها</t>
  </si>
  <si>
    <t>جمع بدهی‌ها و حقوق صاحبان سهام</t>
  </si>
  <si>
    <t>آخرین ترازنامه</t>
  </si>
  <si>
    <t>S_فروش به ازای هر سهم</t>
  </si>
  <si>
    <t xml:space="preserve">B_ارزش دفتری </t>
  </si>
  <si>
    <t>EPS کارشناسی98</t>
  </si>
  <si>
    <t>ارزش بر اساس p/eگروه</t>
  </si>
  <si>
    <t>قیمت فعلی</t>
  </si>
  <si>
    <t>تفاوت قیمت</t>
  </si>
  <si>
    <t>P/E(TTM)</t>
  </si>
  <si>
    <t>p/e forward</t>
  </si>
  <si>
    <t>P/B</t>
  </si>
  <si>
    <t>سود انباشته به ازای هر سهم</t>
  </si>
  <si>
    <t>ارزش تقریبی98</t>
  </si>
  <si>
    <t>P/S_98</t>
  </si>
  <si>
    <t>شش ماهه سال قبل</t>
  </si>
  <si>
    <t>میانگین تولید ماهیانه 98</t>
  </si>
  <si>
    <t>میانگین تولید ماهیانه 97</t>
  </si>
  <si>
    <t>جمع مبلغ فروش ماهیانه98</t>
  </si>
  <si>
    <t>میانگین فروش ماهیانه 98</t>
  </si>
  <si>
    <t>میانگین فروش ماهیانه 97</t>
  </si>
  <si>
    <t>نرخ محصول اصلی</t>
  </si>
  <si>
    <t>میانگین تولید ماهیانه</t>
  </si>
  <si>
    <t>میانگین فروش ماهیانه</t>
  </si>
  <si>
    <t>تعداد تولید</t>
  </si>
  <si>
    <t>تعداد فروش</t>
  </si>
  <si>
    <t>آخرین گزارش ماهیانه</t>
  </si>
  <si>
    <t>مهندسي وصنعتي</t>
  </si>
  <si>
    <t>ساختماني</t>
  </si>
  <si>
    <t>از ابتدای سال مالی تا پایان مورخ 1398/05/31 - اصلاح شده</t>
  </si>
  <si>
    <t>دوره یک ماهه منتهی به 1398/06/31</t>
  </si>
  <si>
    <t>از ابتدای سال مالی تا پایان مورخ 1398/06/31</t>
  </si>
  <si>
    <t>نرخ فولاد آلیاژی به دلار</t>
  </si>
  <si>
    <t>نرخ فولاد آلیاژی به ریال</t>
  </si>
  <si>
    <t>آهن اسفنجي داخلي</t>
  </si>
  <si>
    <t>98/03/31</t>
  </si>
  <si>
    <t>شمش داخلي</t>
  </si>
  <si>
    <t>ارزش تقریبی  سهم</t>
  </si>
  <si>
    <t>محل افزایش سرمایه</t>
  </si>
  <si>
    <t>سود انباشته</t>
  </si>
  <si>
    <t>قیمت تمام شده</t>
  </si>
  <si>
    <t>نرخ آخرین ماه</t>
  </si>
  <si>
    <t>بودجه شرکت سال 98</t>
  </si>
  <si>
    <t>سرمایه گذاری</t>
  </si>
  <si>
    <t>ومعادن</t>
  </si>
  <si>
    <t>درصد دارایی سهام</t>
  </si>
  <si>
    <t>سهم فولاد مبارکه</t>
  </si>
  <si>
    <t>درصد سود تقسیمی 97</t>
  </si>
  <si>
    <t>سود خالصاحتمالی98</t>
  </si>
  <si>
    <t>epsاحتمالی 98</t>
  </si>
  <si>
    <t>کگل</t>
  </si>
  <si>
    <t>از اجماع</t>
  </si>
  <si>
    <t>کچاد</t>
  </si>
  <si>
    <t>وتوکا</t>
  </si>
  <si>
    <t>تولید فولاد مذاب سازی</t>
  </si>
  <si>
    <t>نورد سنگسن</t>
  </si>
  <si>
    <t>نورد سبک</t>
  </si>
  <si>
    <t>ازغدیر</t>
  </si>
  <si>
    <t>از خرداد ماه دانش بنیان شده است</t>
  </si>
  <si>
    <t>raber?</t>
  </si>
  <si>
    <t>شمش بیلت داخلی</t>
  </si>
  <si>
    <t xml:space="preserve"> سه ماهه</t>
  </si>
  <si>
    <t>?</t>
  </si>
  <si>
    <t>نرخ اسلب دلار</t>
  </si>
  <si>
    <t>کل شمش</t>
  </si>
  <si>
    <t xml:space="preserve">بلوم و بيلت </t>
  </si>
  <si>
    <t>یک ماهه</t>
  </si>
  <si>
    <t>نرخ بلوم وبیلت داخلی</t>
  </si>
  <si>
    <t>نرخ اسلب داخلی</t>
  </si>
  <si>
    <t>تولید پنج ماهه اسلب</t>
  </si>
  <si>
    <t>نرخ ورق</t>
  </si>
  <si>
    <t>مقدارتولید شمش فولاد</t>
  </si>
  <si>
    <t>کل تولید فولاد</t>
  </si>
  <si>
    <t>نرخ شمش بیلت داخلی</t>
  </si>
  <si>
    <t>98/05/01</t>
  </si>
  <si>
    <t>شمش داخلی</t>
  </si>
  <si>
    <t>نرخ تیرآهن در بورس کالا</t>
  </si>
  <si>
    <t>نرخ میلگرد در بورس کالا</t>
  </si>
  <si>
    <t>نرخ محصول اصلی  سال قبل</t>
  </si>
  <si>
    <t>آخرین معامله</t>
  </si>
  <si>
    <t>قیمت پایانی</t>
  </si>
  <si>
    <t>نام</t>
  </si>
  <si>
    <t>تعداد</t>
  </si>
  <si>
    <t>حجم</t>
  </si>
  <si>
    <t>ارزش</t>
  </si>
  <si>
    <t>دیروز</t>
  </si>
  <si>
    <t>اولین</t>
  </si>
  <si>
    <t>مقدار</t>
  </si>
  <si>
    <t>تغییر</t>
  </si>
  <si>
    <t>eps</t>
  </si>
  <si>
    <t xml:space="preserve"> 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</si>
  <si>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</si>
  <si>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</si>
  <si>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</si>
  <si>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</si>
  <si>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</si>
  <si>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</si>
  <si>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</si>
  <si>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</si>
  <si>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</si>
  <si>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</si>
  <si>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</si>
  <si>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</si>
  <si>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</si>
  <si>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</si>
  <si>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</si>
  <si>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</si>
  <si>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</si>
  <si>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</si>
  <si>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</si>
  <si>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</si>
  <si>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</si>
  <si>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22</t>
  </si>
  <si>
    <t>دیده بان بازار : 1398/7/25 - زمان آخرین معامله : 16:21:07</t>
  </si>
  <si>
    <t>P/E</t>
  </si>
  <si>
    <t>ضچاد1006</t>
  </si>
  <si>
    <t>اختيارخ كچاد-4300-1398/10/04</t>
  </si>
  <si>
    <t>وتعاونح4</t>
  </si>
  <si>
    <t>ح . بيمه  تعاون</t>
  </si>
  <si>
    <t>تملي612</t>
  </si>
  <si>
    <t>تسهيلات مسكن بانك ملي-اسفند96</t>
  </si>
  <si>
    <t>فسا</t>
  </si>
  <si>
    <t>پتروشيمي فسا</t>
  </si>
  <si>
    <t>12</t>
  </si>
  <si>
    <t>74</t>
  </si>
  <si>
    <t>ضپنا1012</t>
  </si>
  <si>
    <t>اختيارخ رمپنا-9380-1398/10/18</t>
  </si>
  <si>
    <t>تسه9705</t>
  </si>
  <si>
    <t>امتياز تسهيلات مسكن مرداد97</t>
  </si>
  <si>
    <t>فرآور</t>
  </si>
  <si>
    <t>فرآوري‌موادمعدني‌ايران‌</t>
  </si>
  <si>
    <t>4432</t>
  </si>
  <si>
    <t>11.43</t>
  </si>
  <si>
    <t>ضمخا1013</t>
  </si>
  <si>
    <t>اختيارخ اخابر-3800-1398/10/11</t>
  </si>
  <si>
    <t>سبزوا</t>
  </si>
  <si>
    <t>سيمان لار سبزوار</t>
  </si>
  <si>
    <t>776</t>
  </si>
  <si>
    <t>7.54</t>
  </si>
  <si>
    <t>اروند01</t>
  </si>
  <si>
    <t>منفعت صبا اروند اميد14001113</t>
  </si>
  <si>
    <t>وبملت</t>
  </si>
  <si>
    <t>بانك ملت</t>
  </si>
  <si>
    <t>2423</t>
  </si>
  <si>
    <t>2.48</t>
  </si>
  <si>
    <t>لپيام</t>
  </si>
  <si>
    <t>گسترش صنايع پيام</t>
  </si>
  <si>
    <t>-61</t>
  </si>
  <si>
    <t>-75.85</t>
  </si>
  <si>
    <t>ثنام</t>
  </si>
  <si>
    <t>س ساختماني ب نام آوران مهندسي</t>
  </si>
  <si>
    <t>33</t>
  </si>
  <si>
    <t>57.3</t>
  </si>
  <si>
    <t>ضمخا1007</t>
  </si>
  <si>
    <t>اختيارخ اخابر-2784-1398/10/11</t>
  </si>
  <si>
    <t>شستا994</t>
  </si>
  <si>
    <t>اجاره تامين اجتماعي-نوين991226</t>
  </si>
  <si>
    <t>ضفلا1136</t>
  </si>
  <si>
    <t>اختيارخ فولاد-3300-1398/11/27</t>
  </si>
  <si>
    <t>حپارسا</t>
  </si>
  <si>
    <t>توسعه حمل و نقل ريلي پارسيان</t>
  </si>
  <si>
    <t>451</t>
  </si>
  <si>
    <t>26.77</t>
  </si>
  <si>
    <t>مترو9812</t>
  </si>
  <si>
    <t>مشاركت شهرداري تهران-3ماهه18%</t>
  </si>
  <si>
    <t>وآذر</t>
  </si>
  <si>
    <t>سرمايه‌گذاري‌توسعه‌آذربايجان‌</t>
  </si>
  <si>
    <t>-65</t>
  </si>
  <si>
    <t>-163.09</t>
  </si>
  <si>
    <t>ضپيك7009</t>
  </si>
  <si>
    <t>اختيارخ تاپيكو-3200-1398/07/30</t>
  </si>
  <si>
    <t>حسينا</t>
  </si>
  <si>
    <t>توسعه خدمات دريايي وبندري سينا</t>
  </si>
  <si>
    <t>2279</t>
  </si>
  <si>
    <t>9.17</t>
  </si>
  <si>
    <t>رايان911</t>
  </si>
  <si>
    <t>مشاركت رايان سايپا-3ماهه18%</t>
  </si>
  <si>
    <t>البرز02</t>
  </si>
  <si>
    <t>اجاره ريلي البرزنيرو14020514</t>
  </si>
  <si>
    <t>تسه9803</t>
  </si>
  <si>
    <t>امتياز تسهيلات مسكن خرداد98</t>
  </si>
  <si>
    <t>ضملت1107</t>
  </si>
  <si>
    <t>اختيارخ وبملت-3800-1398/11/30</t>
  </si>
  <si>
    <t>تملي712</t>
  </si>
  <si>
    <t>تسهيلات مسكن ب. ملي-اسفند97</t>
  </si>
  <si>
    <t>طجار1006</t>
  </si>
  <si>
    <t>اختيارف وتجارت-900-1398/10/08</t>
  </si>
  <si>
    <t>غدام</t>
  </si>
  <si>
    <t>خوراك‌  دام‌ پارس‌</t>
  </si>
  <si>
    <t>0</t>
  </si>
  <si>
    <t>خصدرا</t>
  </si>
  <si>
    <t>صنعتي‌ دريايي‌ ايران‌</t>
  </si>
  <si>
    <t>304</t>
  </si>
  <si>
    <t>65.59</t>
  </si>
  <si>
    <t>وسپه</t>
  </si>
  <si>
    <t>سرمايه‌گذاري‌ سپه‌</t>
  </si>
  <si>
    <t>610</t>
  </si>
  <si>
    <t>5.47</t>
  </si>
  <si>
    <t>خزاميا</t>
  </si>
  <si>
    <t>زامياد</t>
  </si>
  <si>
    <t>-122</t>
  </si>
  <si>
    <t>-13.68</t>
  </si>
  <si>
    <t>سصوفيح</t>
  </si>
  <si>
    <t>ح . سيمان‌ صوفيان‌</t>
  </si>
  <si>
    <t>صايپا112</t>
  </si>
  <si>
    <t>صكوك مرابحه سايپا112-3ماهه 16%</t>
  </si>
  <si>
    <t>اجاد23</t>
  </si>
  <si>
    <t>اجاره دولتي آپرورش-ملت991118</t>
  </si>
  <si>
    <t>ضپيك7008</t>
  </si>
  <si>
    <t>اختيارخ تاپيكو-3000-1398/07/30</t>
  </si>
  <si>
    <t>اجاد25</t>
  </si>
  <si>
    <t>اجاره دولتي آپرورش-سپهر991118</t>
  </si>
  <si>
    <t>وتوصا</t>
  </si>
  <si>
    <t>گروه س توسعه صنعتي ايران</t>
  </si>
  <si>
    <t>359</t>
  </si>
  <si>
    <t>11.77</t>
  </si>
  <si>
    <t>قنقش</t>
  </si>
  <si>
    <t>قند نقش جهان</t>
  </si>
  <si>
    <t>385</t>
  </si>
  <si>
    <t>39.76</t>
  </si>
  <si>
    <t>وايران</t>
  </si>
  <si>
    <t>ليزينگ ايرانيان</t>
  </si>
  <si>
    <t>277</t>
  </si>
  <si>
    <t>9.03</t>
  </si>
  <si>
    <t>مكرج112</t>
  </si>
  <si>
    <t>مشاركت شهرداري كرج-3ماهه18%</t>
  </si>
  <si>
    <t>شستا003</t>
  </si>
  <si>
    <t>اجاره تامين اجتماعي-سپهر000523</t>
  </si>
  <si>
    <t>غديس</t>
  </si>
  <si>
    <t>پاكديس</t>
  </si>
  <si>
    <t>475</t>
  </si>
  <si>
    <t>27.61</t>
  </si>
  <si>
    <t>شوينده</t>
  </si>
  <si>
    <t>مديريت صنعت شوينده ت.ص.بهشهر</t>
  </si>
  <si>
    <t>844</t>
  </si>
  <si>
    <t>13.09</t>
  </si>
  <si>
    <t>ضمخا7032</t>
  </si>
  <si>
    <t>اختيارخ اخابر-5000-1399/07/30</t>
  </si>
  <si>
    <t>كدما</t>
  </si>
  <si>
    <t>معدني‌ دماوند</t>
  </si>
  <si>
    <t>1715</t>
  </si>
  <si>
    <t>33.92</t>
  </si>
  <si>
    <t>تكنو</t>
  </si>
  <si>
    <t>تكنوتار</t>
  </si>
  <si>
    <t>6</t>
  </si>
  <si>
    <t>1186.5</t>
  </si>
  <si>
    <t>حتايد</t>
  </si>
  <si>
    <t>تايدواترخاورميانه</t>
  </si>
  <si>
    <t>2024</t>
  </si>
  <si>
    <t>6.96</t>
  </si>
  <si>
    <t>ضفلا2029</t>
  </si>
  <si>
    <t>اختيارخ فولاد-4400-1399/02/31</t>
  </si>
  <si>
    <t>رتكو</t>
  </si>
  <si>
    <t>كنترل‌خوردگي‌تكين‌كو</t>
  </si>
  <si>
    <t>378</t>
  </si>
  <si>
    <t>51.03</t>
  </si>
  <si>
    <t>تملي706</t>
  </si>
  <si>
    <t>تسهيلات مسكن ب. ملي-شهريور97</t>
  </si>
  <si>
    <t>ضشنا1030</t>
  </si>
  <si>
    <t>اختيارخ شپنا-5569-1398/10/22</t>
  </si>
  <si>
    <t>ضچاد1009</t>
  </si>
  <si>
    <t>اختيارخ كچاد-5800-1398/10/04</t>
  </si>
  <si>
    <t>ثمسكن</t>
  </si>
  <si>
    <t>سرمايه‌گذاري‌ مسكن‌</t>
  </si>
  <si>
    <t>68</t>
  </si>
  <si>
    <t>25.1</t>
  </si>
  <si>
    <t>صايپا908</t>
  </si>
  <si>
    <t>صكوك مرابحه سايپا908-3ماهه 18%</t>
  </si>
  <si>
    <t>فبستم</t>
  </si>
  <si>
    <t>صنايع ‌بسته‌بندي‌ مشهد</t>
  </si>
  <si>
    <t>مفاخر</t>
  </si>
  <si>
    <t>توسعه فناوري اطلاعات خوارزمي</t>
  </si>
  <si>
    <t>96</t>
  </si>
  <si>
    <t>85.03</t>
  </si>
  <si>
    <t>قرن99</t>
  </si>
  <si>
    <t>مرابحه پديده شيمي قرن990701</t>
  </si>
  <si>
    <t>دلر</t>
  </si>
  <si>
    <t>داروسازي‌ اكسير</t>
  </si>
  <si>
    <t>3265</t>
  </si>
  <si>
    <t>10.13</t>
  </si>
  <si>
    <t>سخاش</t>
  </si>
  <si>
    <t>سيمان‌خاش‌</t>
  </si>
  <si>
    <t>1888</t>
  </si>
  <si>
    <t>10.27</t>
  </si>
  <si>
    <t>زماهان</t>
  </si>
  <si>
    <t>مجتمع توليد گوشت مرغ ماهان</t>
  </si>
  <si>
    <t>472</t>
  </si>
  <si>
    <t>25.51</t>
  </si>
  <si>
    <t>سفانو</t>
  </si>
  <si>
    <t>سيمان فارس نو</t>
  </si>
  <si>
    <t>2016</t>
  </si>
  <si>
    <t>6.5</t>
  </si>
  <si>
    <t>ساراب</t>
  </si>
  <si>
    <t>سيمان‌ داراب‌</t>
  </si>
  <si>
    <t>424</t>
  </si>
  <si>
    <t>9.95</t>
  </si>
  <si>
    <t>كسرا</t>
  </si>
  <si>
    <t>سراميك‌هاي‌صنعتي‌اردكان‌</t>
  </si>
  <si>
    <t>496</t>
  </si>
  <si>
    <t>29.25</t>
  </si>
  <si>
    <t>اجاد21</t>
  </si>
  <si>
    <t>اجاره دولتي آپرورش-تمدن991118</t>
  </si>
  <si>
    <t>سفارود</t>
  </si>
  <si>
    <t>كارخانه فارسيت درود</t>
  </si>
  <si>
    <t>-322</t>
  </si>
  <si>
    <t>-6.99</t>
  </si>
  <si>
    <t>ضمخا7027</t>
  </si>
  <si>
    <t>اختيارخ اخابر-4000-1399/07/30</t>
  </si>
  <si>
    <t>فولاد خراسان</t>
  </si>
  <si>
    <t>543</t>
  </si>
  <si>
    <t>28.61</t>
  </si>
  <si>
    <t>خپويش</t>
  </si>
  <si>
    <t>سازه‌ پويش‌</t>
  </si>
  <si>
    <t>4425</t>
  </si>
  <si>
    <t>12.04</t>
  </si>
  <si>
    <t>كاما</t>
  </si>
  <si>
    <t>باما</t>
  </si>
  <si>
    <t>2501</t>
  </si>
  <si>
    <t>6.05</t>
  </si>
  <si>
    <t>زمگسا</t>
  </si>
  <si>
    <t>كشاورزي‌ ودامپروي‌ مگسال‌</t>
  </si>
  <si>
    <t>615</t>
  </si>
  <si>
    <t>21.26</t>
  </si>
  <si>
    <t>اخزا722</t>
  </si>
  <si>
    <t>اسنادخزانه-م22بودجه97-000428</t>
  </si>
  <si>
    <t>وحافظ</t>
  </si>
  <si>
    <t>بيمه حافظ</t>
  </si>
  <si>
    <t>-748</t>
  </si>
  <si>
    <t>-18.84</t>
  </si>
  <si>
    <t>لپارس</t>
  </si>
  <si>
    <t>پارس‌ الكتريك‌</t>
  </si>
  <si>
    <t>1252</t>
  </si>
  <si>
    <t>17.99</t>
  </si>
  <si>
    <t>اخزا807</t>
  </si>
  <si>
    <t>اسنادخزانه-م7بودجه98-000719</t>
  </si>
  <si>
    <t>داوه</t>
  </si>
  <si>
    <t>داروسازي آوه سينا</t>
  </si>
  <si>
    <t>372</t>
  </si>
  <si>
    <t>36.48</t>
  </si>
  <si>
    <t>هجرت</t>
  </si>
  <si>
    <t>پخش هجرت</t>
  </si>
  <si>
    <t>1787</t>
  </si>
  <si>
    <t>15.56</t>
  </si>
  <si>
    <t>ضپار8002</t>
  </si>
  <si>
    <t>اختيارخ خپارس-1000-1398/08/14</t>
  </si>
  <si>
    <t>زفكا</t>
  </si>
  <si>
    <t>كشت و دامداري فكا</t>
  </si>
  <si>
    <t>1585</t>
  </si>
  <si>
    <t>11.28</t>
  </si>
  <si>
    <t>غمينو</t>
  </si>
  <si>
    <t>شركت صنايع غذايي مينو شرق</t>
  </si>
  <si>
    <t>648</t>
  </si>
  <si>
    <t>22.41</t>
  </si>
  <si>
    <t>حريل</t>
  </si>
  <si>
    <t>ريل پردازسير</t>
  </si>
  <si>
    <t>145</t>
  </si>
  <si>
    <t>22.57</t>
  </si>
  <si>
    <t>تسه9802</t>
  </si>
  <si>
    <t>امتياز تسهيلات مسكن ارديبهشت98</t>
  </si>
  <si>
    <t>مشهد0112</t>
  </si>
  <si>
    <t>مشاركت ش مشهد0112-3ماهه18%</t>
  </si>
  <si>
    <t>دسبحان</t>
  </si>
  <si>
    <t>سبحان دارو</t>
  </si>
  <si>
    <t>جشكر809</t>
  </si>
  <si>
    <t>آتي ش قند و شكر-1398/09/30</t>
  </si>
  <si>
    <t>ثشرق</t>
  </si>
  <si>
    <t>سرمايه گذاري مسكن شمال شرق</t>
  </si>
  <si>
    <t>119</t>
  </si>
  <si>
    <t>21.29</t>
  </si>
  <si>
    <t>پارس</t>
  </si>
  <si>
    <t>پتروشيمي پارس</t>
  </si>
  <si>
    <t>11672</t>
  </si>
  <si>
    <t>4.63</t>
  </si>
  <si>
    <t>غمهرا</t>
  </si>
  <si>
    <t>توليدي‌مهرام‌</t>
  </si>
  <si>
    <t>626</t>
  </si>
  <si>
    <t>60.63</t>
  </si>
  <si>
    <t>سكه0012پ01</t>
  </si>
  <si>
    <t>سكه تمام بهارتحويلي 1روزه رفاه</t>
  </si>
  <si>
    <t>ضفلا8058</t>
  </si>
  <si>
    <t>اختيارخ فولاد-5000-1399/08/28</t>
  </si>
  <si>
    <t>ضپنا1009</t>
  </si>
  <si>
    <t>اختيارخ رمپنا-7880-1398/10/18</t>
  </si>
  <si>
    <t>خعمرا</t>
  </si>
  <si>
    <t>توسعه و عمران شهرستان نائين</t>
  </si>
  <si>
    <t>-77</t>
  </si>
  <si>
    <t>-93.3</t>
  </si>
  <si>
    <t>ريشمك</t>
  </si>
  <si>
    <t>توليد و صادرات ريشمك</t>
  </si>
  <si>
    <t>1705</t>
  </si>
  <si>
    <t>9.66</t>
  </si>
  <si>
    <t>آريان</t>
  </si>
  <si>
    <t>سرمايه گذاري پارس آريان</t>
  </si>
  <si>
    <t>29</t>
  </si>
  <si>
    <t>73.48</t>
  </si>
  <si>
    <t>تسه9805</t>
  </si>
  <si>
    <t>امتياز تسهيلات مسكن مرداد98</t>
  </si>
  <si>
    <t>سشمال</t>
  </si>
  <si>
    <t>سيمان‌ شمال‌</t>
  </si>
  <si>
    <t>208</t>
  </si>
  <si>
    <t>16.16</t>
  </si>
  <si>
    <t>ومعلم</t>
  </si>
  <si>
    <t>بيمه معلم</t>
  </si>
  <si>
    <t>215</t>
  </si>
  <si>
    <t>18.3</t>
  </si>
  <si>
    <t>شستا002</t>
  </si>
  <si>
    <t>اجاره تامين اجتماعي-تمدن000523</t>
  </si>
  <si>
    <t>صگل4112</t>
  </si>
  <si>
    <t>ص اجاره گل گهر 411- 3 ماهه 17%</t>
  </si>
  <si>
    <t>وپخش</t>
  </si>
  <si>
    <t>داروپخش‌ (هلدينگ‌</t>
  </si>
  <si>
    <t>3520</t>
  </si>
  <si>
    <t>11.42</t>
  </si>
  <si>
    <t>پكوير</t>
  </si>
  <si>
    <t>كوير تاير</t>
  </si>
  <si>
    <t>110</t>
  </si>
  <si>
    <t>65.37</t>
  </si>
  <si>
    <t>ضمعا1007</t>
  </si>
  <si>
    <t>اختيارخ ومعادن-4800-1398/10/18</t>
  </si>
  <si>
    <t>زكشت</t>
  </si>
  <si>
    <t>كشاورزي مكانيزه اصفهان كشت</t>
  </si>
  <si>
    <t>762</t>
  </si>
  <si>
    <t>34.77</t>
  </si>
  <si>
    <t>ورنا</t>
  </si>
  <si>
    <t>سرمايه‌گذاري‌ رنا(هلدينگ‌</t>
  </si>
  <si>
    <t>97</t>
  </si>
  <si>
    <t>14.9</t>
  </si>
  <si>
    <t>ضفلا2035</t>
  </si>
  <si>
    <t>اختيارخ فولاد-6500-1399/02/31</t>
  </si>
  <si>
    <t>ضفلا8056</t>
  </si>
  <si>
    <t>اختيارخ فولاد-4600-1399/08/28</t>
  </si>
  <si>
    <t>خمحور</t>
  </si>
  <si>
    <t>توليدمحورخودرو</t>
  </si>
  <si>
    <t>108</t>
  </si>
  <si>
    <t>91.28</t>
  </si>
  <si>
    <t>خاهن</t>
  </si>
  <si>
    <t>آهنگري‌ تراكتورسازي‌ ايران‌</t>
  </si>
  <si>
    <t>117</t>
  </si>
  <si>
    <t>48.36</t>
  </si>
  <si>
    <t>ثاصفا</t>
  </si>
  <si>
    <t>شركت‌ ساختمان‌ اصفهان‌</t>
  </si>
  <si>
    <t>-58</t>
  </si>
  <si>
    <t>ممسني</t>
  </si>
  <si>
    <t>پتروشيمي ممسني</t>
  </si>
  <si>
    <t>-5</t>
  </si>
  <si>
    <t>-489.2</t>
  </si>
  <si>
    <t>بكهنوج</t>
  </si>
  <si>
    <t>توليد برق ماهتاب كهنوج</t>
  </si>
  <si>
    <t>-603</t>
  </si>
  <si>
    <t>-20.35</t>
  </si>
  <si>
    <t>اخزا802</t>
  </si>
  <si>
    <t>اسنادخزانه-م2بودجه98-990430</t>
  </si>
  <si>
    <t>شاراك</t>
  </si>
  <si>
    <t>پتروشيمي شازند</t>
  </si>
  <si>
    <t>1833</t>
  </si>
  <si>
    <t>4.31</t>
  </si>
  <si>
    <t>شرق1400</t>
  </si>
  <si>
    <t>مشاركت ليزينگ ايران وشرق140010</t>
  </si>
  <si>
    <t>شپنا</t>
  </si>
  <si>
    <t>پالايش نفت اصفهان</t>
  </si>
  <si>
    <t>1219</t>
  </si>
  <si>
    <t>4.68</t>
  </si>
  <si>
    <t>توسعه</t>
  </si>
  <si>
    <t>اعتباري توسعه</t>
  </si>
  <si>
    <t>188</t>
  </si>
  <si>
    <t>12.27</t>
  </si>
  <si>
    <t>اشاد1</t>
  </si>
  <si>
    <t>مشاركت دولتي1-شرايط خاص001026</t>
  </si>
  <si>
    <t>وگردش</t>
  </si>
  <si>
    <t>بانك گردشگري</t>
  </si>
  <si>
    <t>549</t>
  </si>
  <si>
    <t>3.11</t>
  </si>
  <si>
    <t>ماهان99</t>
  </si>
  <si>
    <t>اجاره هواپيمايي ماهان 9903</t>
  </si>
  <si>
    <t>ضملي1135</t>
  </si>
  <si>
    <t>اختيارخ فملي -4450-1398/11/16</t>
  </si>
  <si>
    <t>كرمان98</t>
  </si>
  <si>
    <t>مرابحه كرمان موتور 980912</t>
  </si>
  <si>
    <t>ضسان7038</t>
  </si>
  <si>
    <t>اختيارخ پارسان-6000-1398/07/24</t>
  </si>
  <si>
    <t>شستا992</t>
  </si>
  <si>
    <t>اجاره تامين اجتماعي-سپهر991226</t>
  </si>
  <si>
    <t>مشهد0012</t>
  </si>
  <si>
    <t>مشاركت شهرداري مشهد-3ماهه20%</t>
  </si>
  <si>
    <t>ضخود1034</t>
  </si>
  <si>
    <t>اختيارخ خودرو-9000-1398/10/15</t>
  </si>
  <si>
    <t>زعف9808پ12</t>
  </si>
  <si>
    <t>زعفران9808پوشالمعمول سحرخيز(پ)</t>
  </si>
  <si>
    <t>ضمخا3018</t>
  </si>
  <si>
    <t>اختيارخ اخابر-3600-1399/03/27</t>
  </si>
  <si>
    <t>بالاس</t>
  </si>
  <si>
    <t>مهندسي ساختمان تاسيسات راه آهن</t>
  </si>
  <si>
    <t>383</t>
  </si>
  <si>
    <t>30.85</t>
  </si>
  <si>
    <t>طشنا1033</t>
  </si>
  <si>
    <t>اختيارف شپنا-6667-1398/10/22</t>
  </si>
  <si>
    <t>ضملت1108</t>
  </si>
  <si>
    <t>اختيارخ وبملت-4000-1398/11/30</t>
  </si>
  <si>
    <t>دزهراوي</t>
  </si>
  <si>
    <t>داروسازي‌زهراوي‌</t>
  </si>
  <si>
    <t>-128</t>
  </si>
  <si>
    <t>-60.2</t>
  </si>
  <si>
    <t>كطبس</t>
  </si>
  <si>
    <t>ذغال‌سنگ‌ نگين‌ ط‌بس‌</t>
  </si>
  <si>
    <t>1054</t>
  </si>
  <si>
    <t>14.99</t>
  </si>
  <si>
    <t>فسپا</t>
  </si>
  <si>
    <t>گروه‌صنعتي‌سپاهان‌</t>
  </si>
  <si>
    <t>1821</t>
  </si>
  <si>
    <t>6.33</t>
  </si>
  <si>
    <t>وايرا</t>
  </si>
  <si>
    <t>سرمايه گذاري صنايع ايران</t>
  </si>
  <si>
    <t>334</t>
  </si>
  <si>
    <t>13.66</t>
  </si>
  <si>
    <t>سهامي ذوب آهن  اصفهان</t>
  </si>
  <si>
    <t>157</t>
  </si>
  <si>
    <t>12.01</t>
  </si>
  <si>
    <t>جشكر812</t>
  </si>
  <si>
    <t>آتي ش قند و شكر-1398/12/21</t>
  </si>
  <si>
    <t>زعف9808پ05</t>
  </si>
  <si>
    <t>زعفران9808نگين زرين(پ)</t>
  </si>
  <si>
    <t>پارسيان</t>
  </si>
  <si>
    <t>بيمه پارسيان</t>
  </si>
  <si>
    <t>214</t>
  </si>
  <si>
    <t>12.91</t>
  </si>
  <si>
    <t>وپاسار</t>
  </si>
  <si>
    <t>بانك  پاسارگاد</t>
  </si>
  <si>
    <t>599</t>
  </si>
  <si>
    <t>3.56</t>
  </si>
  <si>
    <t>اخزا715</t>
  </si>
  <si>
    <t>اسنادخزانه-م15بودجه97-990224</t>
  </si>
  <si>
    <t>سكه9812-03</t>
  </si>
  <si>
    <t>سكه تمام بهارتحويل1روزه سامان</t>
  </si>
  <si>
    <t>كپارس</t>
  </si>
  <si>
    <t>كاشي‌ پارس‌</t>
  </si>
  <si>
    <t>1427</t>
  </si>
  <si>
    <t>13.16</t>
  </si>
  <si>
    <t>وشمال</t>
  </si>
  <si>
    <t>س. چشم انداز توسعه شمال</t>
  </si>
  <si>
    <t>-60</t>
  </si>
  <si>
    <t>-42.5</t>
  </si>
  <si>
    <t>زعف9808پ10</t>
  </si>
  <si>
    <t>زعفران9808نگين طلاي سرخ(پ)</t>
  </si>
  <si>
    <t>آبين</t>
  </si>
  <si>
    <t>كشت و صنعت آبشيرين</t>
  </si>
  <si>
    <t>172</t>
  </si>
  <si>
    <t>55.48</t>
  </si>
  <si>
    <t>زگلدشت</t>
  </si>
  <si>
    <t>كشت و دام گلدشت نمونه اصفهان</t>
  </si>
  <si>
    <t>1502</t>
  </si>
  <si>
    <t>13.85</t>
  </si>
  <si>
    <t>وملت</t>
  </si>
  <si>
    <t>سرمايه گذاري ملت</t>
  </si>
  <si>
    <t>30</t>
  </si>
  <si>
    <t>45.73</t>
  </si>
  <si>
    <t>پسهند</t>
  </si>
  <si>
    <t>صنايع‌ لاستيكي‌  سهند</t>
  </si>
  <si>
    <t>621</t>
  </si>
  <si>
    <t>12.28</t>
  </si>
  <si>
    <t>نگين</t>
  </si>
  <si>
    <t>ص.س. زمين و ساختمان نگين شهرري</t>
  </si>
  <si>
    <t>مشهد112</t>
  </si>
  <si>
    <t>مشاركت ش مشهد112-3ماهه18%</t>
  </si>
  <si>
    <t>لوتوس99</t>
  </si>
  <si>
    <t>اجاره لوتوس پارسيان990717</t>
  </si>
  <si>
    <t>سكه9912پ04</t>
  </si>
  <si>
    <t>سكه تمام بهارتحويل1روزه صادرات</t>
  </si>
  <si>
    <t>سصفها</t>
  </si>
  <si>
    <t>سيمان‌اصفهان‌</t>
  </si>
  <si>
    <t>539</t>
  </si>
  <si>
    <t>45.88</t>
  </si>
  <si>
    <t>تسه9710</t>
  </si>
  <si>
    <t>امتياز تسهيلات مسكن دي 97</t>
  </si>
  <si>
    <t>ضفلا8059</t>
  </si>
  <si>
    <t>اختيارخ فولاد-5500-1399/08/28</t>
  </si>
  <si>
    <t>كابگن</t>
  </si>
  <si>
    <t>توليدي و صنعتي آبگينه‌</t>
  </si>
  <si>
    <t>-1072</t>
  </si>
  <si>
    <t>-2.26</t>
  </si>
  <si>
    <t>ضخود1030</t>
  </si>
  <si>
    <t>اختيارخ خودرو-7000-1398/10/15</t>
  </si>
  <si>
    <t>فيروزا</t>
  </si>
  <si>
    <t>صندوق بادرآمد ثابت فيروزه آسيا</t>
  </si>
  <si>
    <t>قاروم</t>
  </si>
  <si>
    <t>قند اروميه</t>
  </si>
  <si>
    <t>1078</t>
  </si>
  <si>
    <t>3.23</t>
  </si>
  <si>
    <t>ضفلا2038</t>
  </si>
  <si>
    <t>اختيارخ فولاد-3800-1399/02/31</t>
  </si>
  <si>
    <t>تسه9608</t>
  </si>
  <si>
    <t>امتياز تسهيلات مسكن آبان96</t>
  </si>
  <si>
    <t>نكالا</t>
  </si>
  <si>
    <t>نهادهاي مالي بورس كالاي ايران</t>
  </si>
  <si>
    <t>203</t>
  </si>
  <si>
    <t>59.32</t>
  </si>
  <si>
    <t>اشاد7</t>
  </si>
  <si>
    <t>مشاركت دولتي7-شرايط خاص981227</t>
  </si>
  <si>
    <t>وسكاب</t>
  </si>
  <si>
    <t>س.ص.بازنشستگي كاركنان بانكها</t>
  </si>
  <si>
    <t>528</t>
  </si>
  <si>
    <t>3.8</t>
  </si>
  <si>
    <t>تسه9701</t>
  </si>
  <si>
    <t>امتياز تسهيلات مسكن فروردين97</t>
  </si>
  <si>
    <t>ولملت</t>
  </si>
  <si>
    <t>واسپاري ملت</t>
  </si>
  <si>
    <t>7.56</t>
  </si>
  <si>
    <t>اطلس</t>
  </si>
  <si>
    <t>صندوق س.توسعه اندوخته آينده-س</t>
  </si>
  <si>
    <t>دسينا</t>
  </si>
  <si>
    <t>داروسازي‌ سينا</t>
  </si>
  <si>
    <t>1027</t>
  </si>
  <si>
    <t>15.41</t>
  </si>
  <si>
    <t>وپسا</t>
  </si>
  <si>
    <t>س. پتروشيمي ساختمان  خليج فارس</t>
  </si>
  <si>
    <t>345</t>
  </si>
  <si>
    <t>ضمخا3025</t>
  </si>
  <si>
    <t>اختيارخ اخابر-5000-1399/03/27</t>
  </si>
  <si>
    <t>شپاكسا</t>
  </si>
  <si>
    <t>پاكسان‌</t>
  </si>
  <si>
    <t>1526</t>
  </si>
  <si>
    <t>7.91</t>
  </si>
  <si>
    <t>وبيمه</t>
  </si>
  <si>
    <t>سرمايه‌ گذاري‌ صنعت‌ بيمه‌</t>
  </si>
  <si>
    <t>179</t>
  </si>
  <si>
    <t>32.82</t>
  </si>
  <si>
    <t>ضجار1001</t>
  </si>
  <si>
    <t>اختيارخ وتجارت-400-1398/10/08</t>
  </si>
  <si>
    <t>ضملي8043</t>
  </si>
  <si>
    <t>اختيارخ فملي -4450-1398/08/19</t>
  </si>
  <si>
    <t>اروند10</t>
  </si>
  <si>
    <t>منفعت صبا اروند لوتوس 14001222</t>
  </si>
  <si>
    <t>سرود</t>
  </si>
  <si>
    <t>سيمان‌شاهرود</t>
  </si>
  <si>
    <t>219</t>
  </si>
  <si>
    <t>26.14</t>
  </si>
  <si>
    <t>ضفلا2037</t>
  </si>
  <si>
    <t>اختيارخ فولاد-3600-1399/02/31</t>
  </si>
  <si>
    <t>زنجان</t>
  </si>
  <si>
    <t>صنايع كشاورزي وكود زنجان</t>
  </si>
  <si>
    <t>10</t>
  </si>
  <si>
    <t>227.3</t>
  </si>
  <si>
    <t>چدن</t>
  </si>
  <si>
    <t>توليدي چدن سازان</t>
  </si>
  <si>
    <t>1162</t>
  </si>
  <si>
    <t>9.96</t>
  </si>
  <si>
    <t>چكاپا</t>
  </si>
  <si>
    <t>گروه  صنايع كاغذ پارس</t>
  </si>
  <si>
    <t>656</t>
  </si>
  <si>
    <t>12.68</t>
  </si>
  <si>
    <t>داسوه</t>
  </si>
  <si>
    <t>داروسازي‌ اسوه‌</t>
  </si>
  <si>
    <t>911</t>
  </si>
  <si>
    <t>16.47</t>
  </si>
  <si>
    <t>گوهر</t>
  </si>
  <si>
    <t>صندوق سكه طلاي كيان</t>
  </si>
  <si>
    <t>ضملي1139</t>
  </si>
  <si>
    <t>اختيارخ فملي -5850-1398/11/16</t>
  </si>
  <si>
    <t>پخش</t>
  </si>
  <si>
    <t>پخش البرز</t>
  </si>
  <si>
    <t>406</t>
  </si>
  <si>
    <t>21.14</t>
  </si>
  <si>
    <t>ضخود1020</t>
  </si>
  <si>
    <t>اختيارخ خودرو-3800-1398/10/15</t>
  </si>
  <si>
    <t>بهپاك</t>
  </si>
  <si>
    <t>صنعتي بهپاك</t>
  </si>
  <si>
    <t>717</t>
  </si>
  <si>
    <t>16.56</t>
  </si>
  <si>
    <t>خريخت</t>
  </si>
  <si>
    <t>صنايع‌ريخته‌گري‌ايران‌</t>
  </si>
  <si>
    <t>-38</t>
  </si>
  <si>
    <t>-52.5</t>
  </si>
  <si>
    <t>فسازان</t>
  </si>
  <si>
    <t>غلتك سازان سپاهان</t>
  </si>
  <si>
    <t>1185</t>
  </si>
  <si>
    <t>14.8</t>
  </si>
  <si>
    <t>ولراز</t>
  </si>
  <si>
    <t>ليزينگ رازي</t>
  </si>
  <si>
    <t>-82</t>
  </si>
  <si>
    <t>-96.38</t>
  </si>
  <si>
    <t>ثقزوي</t>
  </si>
  <si>
    <t>شركت عمران و سازندگي قزوين</t>
  </si>
  <si>
    <t>-241</t>
  </si>
  <si>
    <t>-25.49</t>
  </si>
  <si>
    <t>سصوفي</t>
  </si>
  <si>
    <t>سيمان‌ صوفيان‌</t>
  </si>
  <si>
    <t>90</t>
  </si>
  <si>
    <t>35.86</t>
  </si>
  <si>
    <t>زاگرس</t>
  </si>
  <si>
    <t>پتروشيمي زاگرس</t>
  </si>
  <si>
    <t>20787</t>
  </si>
  <si>
    <t>3.33</t>
  </si>
  <si>
    <t>درهآور</t>
  </si>
  <si>
    <t>دارويي ره آورد تامين</t>
  </si>
  <si>
    <t>42.2</t>
  </si>
  <si>
    <t>حسير</t>
  </si>
  <si>
    <t>ريل سير كوثر</t>
  </si>
  <si>
    <t>100</t>
  </si>
  <si>
    <t>55.61</t>
  </si>
  <si>
    <t>ضپيك1009</t>
  </si>
  <si>
    <t>اختيارخ تاپيكو-3200-1398/10/30</t>
  </si>
  <si>
    <t>ضگل8045</t>
  </si>
  <si>
    <t>اختيارخ كگل-7420-1398/08/22</t>
  </si>
  <si>
    <t>ملت</t>
  </si>
  <si>
    <t>بيمه ملت</t>
  </si>
  <si>
    <t>297</t>
  </si>
  <si>
    <t>18.27</t>
  </si>
  <si>
    <t>ضملت1116</t>
  </si>
  <si>
    <t>اختيارخ وبملت-6500-1398/11/30</t>
  </si>
  <si>
    <t>سلامت6</t>
  </si>
  <si>
    <t>مرابحه سلامت6واجدشرايط خاص1400</t>
  </si>
  <si>
    <t>وبشهر</t>
  </si>
  <si>
    <t>توسعه‌ صنايع‌ بهشهر(هلدينگ</t>
  </si>
  <si>
    <t>387</t>
  </si>
  <si>
    <t>9.41</t>
  </si>
  <si>
    <t>ضبدر1138</t>
  </si>
  <si>
    <t>اختيارخ شبندر-16300-1398/11/13</t>
  </si>
  <si>
    <t>ضفلا2028</t>
  </si>
  <si>
    <t>اختيارخ فولاد-4200-1399/02/31</t>
  </si>
  <si>
    <t>شنفت</t>
  </si>
  <si>
    <t>نفت‌ پارس‌</t>
  </si>
  <si>
    <t>1889</t>
  </si>
  <si>
    <t>9.37</t>
  </si>
  <si>
    <t>ضمخا7030</t>
  </si>
  <si>
    <t>اختيارخ اخابر-4600-1399/07/30</t>
  </si>
  <si>
    <t>سنير</t>
  </si>
  <si>
    <t>سيمان‌ سفيد ني‌ريز</t>
  </si>
  <si>
    <t>1134</t>
  </si>
  <si>
    <t>19.91</t>
  </si>
  <si>
    <t>غگلپا</t>
  </si>
  <si>
    <t>شير پاستوريزه پگاه گلپايگان</t>
  </si>
  <si>
    <t>1583</t>
  </si>
  <si>
    <t>18.59</t>
  </si>
  <si>
    <t>قهكمت</t>
  </si>
  <si>
    <t>قندهكمتان‌</t>
  </si>
  <si>
    <t>2136</t>
  </si>
  <si>
    <t>9.67</t>
  </si>
  <si>
    <t>تسه97032</t>
  </si>
  <si>
    <t>امتياز تسهيلات مسكن خرداد97</t>
  </si>
  <si>
    <t>سيلام</t>
  </si>
  <si>
    <t>سيمان‌ ايلام‌</t>
  </si>
  <si>
    <t>66</t>
  </si>
  <si>
    <t>123.02</t>
  </si>
  <si>
    <t>اشاد6</t>
  </si>
  <si>
    <t>مشاركت دولتي6-شرايط خاص981201</t>
  </si>
  <si>
    <t>فولاي</t>
  </si>
  <si>
    <t>صنايع فولاد آلياژي يزد</t>
  </si>
  <si>
    <t>464</t>
  </si>
  <si>
    <t>13.69</t>
  </si>
  <si>
    <t>وآداك</t>
  </si>
  <si>
    <t>صنعت و تجارت آداك</t>
  </si>
  <si>
    <t>1449.2</t>
  </si>
  <si>
    <t>خلنت</t>
  </si>
  <si>
    <t>لنت‌ ترمزايران‌</t>
  </si>
  <si>
    <t>1182</t>
  </si>
  <si>
    <t>36.27</t>
  </si>
  <si>
    <t>دتهران‌</t>
  </si>
  <si>
    <t>داروسازي‌ تهران‌ دارو</t>
  </si>
  <si>
    <t>پرديس</t>
  </si>
  <si>
    <t>سرمايه گذاري پرديس</t>
  </si>
  <si>
    <t>753</t>
  </si>
  <si>
    <t>3.34</t>
  </si>
  <si>
    <t>طپار8012</t>
  </si>
  <si>
    <t>اختيارف خپارس-2000-1398/08/14</t>
  </si>
  <si>
    <t>رويش</t>
  </si>
  <si>
    <t>ص.س.جسورانه رويش لوتوس70%تأديه</t>
  </si>
  <si>
    <t>تسه9801</t>
  </si>
  <si>
    <t>امتياز تسهيلات مسكن فروردين98</t>
  </si>
  <si>
    <t>قزوين</t>
  </si>
  <si>
    <t>كارخانجات‌ قند قزوين‌</t>
  </si>
  <si>
    <t>1074</t>
  </si>
  <si>
    <t>دهدشت</t>
  </si>
  <si>
    <t>صنايع پتروشيمي دهدشت</t>
  </si>
  <si>
    <t>-2</t>
  </si>
  <si>
    <t>-1462</t>
  </si>
  <si>
    <t>صشرق99</t>
  </si>
  <si>
    <t>مرابحه سيمان شرق 990109</t>
  </si>
  <si>
    <t>افق ملت</t>
  </si>
  <si>
    <t>صندوق س در سهام افق ملت</t>
  </si>
  <si>
    <t>اخزا7092</t>
  </si>
  <si>
    <t>اسنادخزانه-م9بودجه97-990513</t>
  </si>
  <si>
    <t>سكرما</t>
  </si>
  <si>
    <t>سيمان‌ كرمان‌</t>
  </si>
  <si>
    <t>سفارس</t>
  </si>
  <si>
    <t>سيمان فارس و خوزستان</t>
  </si>
  <si>
    <t>298</t>
  </si>
  <si>
    <t>15.05</t>
  </si>
  <si>
    <t>ثعمرا</t>
  </si>
  <si>
    <t>عمران و توسعه شاهد</t>
  </si>
  <si>
    <t>75</t>
  </si>
  <si>
    <t>40.41</t>
  </si>
  <si>
    <t>ضملي8045</t>
  </si>
  <si>
    <t>اختيارخ فملي -4850-1398/08/19</t>
  </si>
  <si>
    <t>تمحركه</t>
  </si>
  <si>
    <t>ماشين‌سازي‌نيرومحركه‌</t>
  </si>
  <si>
    <t>-11</t>
  </si>
  <si>
    <t>-450.09</t>
  </si>
  <si>
    <t>اروند11</t>
  </si>
  <si>
    <t>منفعت صبا اروند سپهر 14001222</t>
  </si>
  <si>
    <t>سكارون</t>
  </si>
  <si>
    <t>سيمان كارون</t>
  </si>
  <si>
    <t>-1346</t>
  </si>
  <si>
    <t>-7.92</t>
  </si>
  <si>
    <t>ساروم</t>
  </si>
  <si>
    <t>سيمان‌اروميه‌</t>
  </si>
  <si>
    <t>740</t>
  </si>
  <si>
    <t>8.24</t>
  </si>
  <si>
    <t>اجاد27</t>
  </si>
  <si>
    <t>اجاره دولت آپرورش-كاردان991118</t>
  </si>
  <si>
    <t>افاد1</t>
  </si>
  <si>
    <t>منفعت دولت-با شرايط خاص140006</t>
  </si>
  <si>
    <t>خاور</t>
  </si>
  <si>
    <t>ايران خودرو ديزل</t>
  </si>
  <si>
    <t>-3054</t>
  </si>
  <si>
    <t>-0.51</t>
  </si>
  <si>
    <t>حپترو</t>
  </si>
  <si>
    <t>حمل و نقل پتروشيمي( سهامي عام</t>
  </si>
  <si>
    <t>126</t>
  </si>
  <si>
    <t>218.73</t>
  </si>
  <si>
    <t>كخاك</t>
  </si>
  <si>
    <t>صنايع‌خاك‌چيني‌ايران‌</t>
  </si>
  <si>
    <t>2300</t>
  </si>
  <si>
    <t>11.31</t>
  </si>
  <si>
    <t>غفارس</t>
  </si>
  <si>
    <t>شير پاستوريزه پگاه فارس</t>
  </si>
  <si>
    <t>619</t>
  </si>
  <si>
    <t>43.29</t>
  </si>
  <si>
    <t>ضفلا8060</t>
  </si>
  <si>
    <t>اختيارخ فولاد-6000-1399/08/28</t>
  </si>
  <si>
    <t>ضبدر8032</t>
  </si>
  <si>
    <t>اختيارخ شبندر-14300-1398/08/14</t>
  </si>
  <si>
    <t>بميلا</t>
  </si>
  <si>
    <t>توسعه بازرگاني آهن وفولادميلاد</t>
  </si>
  <si>
    <t>879</t>
  </si>
  <si>
    <t>5.82</t>
  </si>
  <si>
    <t>ضغدر1107</t>
  </si>
  <si>
    <t>اختيارخ وغدير-3000-1398/11/20</t>
  </si>
  <si>
    <t>شفارا</t>
  </si>
  <si>
    <t>پتروشيمي فارابي</t>
  </si>
  <si>
    <t>-9</t>
  </si>
  <si>
    <t>-202.44</t>
  </si>
  <si>
    <t>ثالوند</t>
  </si>
  <si>
    <t>سرمايه گذاري مسكن الوند</t>
  </si>
  <si>
    <t>393</t>
  </si>
  <si>
    <t>10.55</t>
  </si>
  <si>
    <t>پست9908-04</t>
  </si>
  <si>
    <t>پسته فندقي32-30سبزدانه9908</t>
  </si>
  <si>
    <t>ضبدر8033</t>
  </si>
  <si>
    <t>اختيارخ شبندر-15300-1398/08/14</t>
  </si>
  <si>
    <t>كازرو</t>
  </si>
  <si>
    <t>پتروشيمي كازرون</t>
  </si>
  <si>
    <t>-13</t>
  </si>
  <si>
    <t>-209.15</t>
  </si>
  <si>
    <t>ضمخا1012</t>
  </si>
  <si>
    <t>اختيارخ اخابر-3600-1398/10/11</t>
  </si>
  <si>
    <t>ضپار1107</t>
  </si>
  <si>
    <t>اختيارخ خپارس-1500-1398/11/13</t>
  </si>
  <si>
    <t>شاملا</t>
  </si>
  <si>
    <t>معدني‌ املاح‌  ايران‌</t>
  </si>
  <si>
    <t>3081</t>
  </si>
  <si>
    <t>10.9</t>
  </si>
  <si>
    <t>اخزا615</t>
  </si>
  <si>
    <t>اسنادخزانه-م15بودجه96-980820</t>
  </si>
  <si>
    <t>غبهنوش</t>
  </si>
  <si>
    <t>بهنوش‌ ايران‌</t>
  </si>
  <si>
    <t>471</t>
  </si>
  <si>
    <t>41.83</t>
  </si>
  <si>
    <t>ضفلا8046</t>
  </si>
  <si>
    <t>اختيارخ فولاد-4100-1398/08/26</t>
  </si>
  <si>
    <t>ضافق1108</t>
  </si>
  <si>
    <t>اختيارخ افق-60000-1398/11/02</t>
  </si>
  <si>
    <t>وآتوس</t>
  </si>
  <si>
    <t>س.آرين توسكا قيمت اسمي 350ريال</t>
  </si>
  <si>
    <t>-49</t>
  </si>
  <si>
    <t>-111.57</t>
  </si>
  <si>
    <t>واحيا</t>
  </si>
  <si>
    <t>م .صنايع و معادن احياء سپاهان</t>
  </si>
  <si>
    <t>3997</t>
  </si>
  <si>
    <t>10.71</t>
  </si>
  <si>
    <t>ضملت1111</t>
  </si>
  <si>
    <t>اختيارخ وبملت-4600-1398/11/30</t>
  </si>
  <si>
    <t>خمهر</t>
  </si>
  <si>
    <t>مهركام‌پارس‌</t>
  </si>
  <si>
    <t>-274</t>
  </si>
  <si>
    <t>-7.73</t>
  </si>
  <si>
    <t>وتوسم</t>
  </si>
  <si>
    <t>سرمايه‌گذاري‌توسعه‌ملي‌</t>
  </si>
  <si>
    <t>678</t>
  </si>
  <si>
    <t>4.88</t>
  </si>
  <si>
    <t>آ س پ</t>
  </si>
  <si>
    <t>آ.س.پ</t>
  </si>
  <si>
    <t>-15</t>
  </si>
  <si>
    <t>-148.07</t>
  </si>
  <si>
    <t>تملي711</t>
  </si>
  <si>
    <t>تسهيلات مسكن ب. ملي-بهمن97</t>
  </si>
  <si>
    <t>ثاخت</t>
  </si>
  <si>
    <t>بين‌المللي‌توسعه‌ساختمان</t>
  </si>
  <si>
    <t>-56</t>
  </si>
  <si>
    <t>-43.54</t>
  </si>
  <si>
    <t>خنصير</t>
  </si>
  <si>
    <t>مهندسي‌نصيرماشين‌</t>
  </si>
  <si>
    <t>229</t>
  </si>
  <si>
    <t>26.5</t>
  </si>
  <si>
    <t>آينده</t>
  </si>
  <si>
    <t>بازرگاني آينده سازان بهشت پارس</t>
  </si>
  <si>
    <t>-43</t>
  </si>
  <si>
    <t>-108.98</t>
  </si>
  <si>
    <t>ثغرب</t>
  </si>
  <si>
    <t>شركت سرمايه گذاري مسكن شمالغرب</t>
  </si>
  <si>
    <t>8</t>
  </si>
  <si>
    <t>260.75</t>
  </si>
  <si>
    <t>فمراد</t>
  </si>
  <si>
    <t>آلومراد</t>
  </si>
  <si>
    <t>-100</t>
  </si>
  <si>
    <t>-228.52</t>
  </si>
  <si>
    <t>كچاد</t>
  </si>
  <si>
    <t>معدني‌وصنعتي‌چادرملو</t>
  </si>
  <si>
    <t>وبهمن</t>
  </si>
  <si>
    <t>سرمايه‌گذاري‌بهمن‌</t>
  </si>
  <si>
    <t>381</t>
  </si>
  <si>
    <t>9.91</t>
  </si>
  <si>
    <t>اخزا716</t>
  </si>
  <si>
    <t>اسنادخزانه-م16بودجه97-000407</t>
  </si>
  <si>
    <t>دتوليد</t>
  </si>
  <si>
    <t>داروسازي توليد دارو</t>
  </si>
  <si>
    <t>161</t>
  </si>
  <si>
    <t>40.68</t>
  </si>
  <si>
    <t>ضبدر1132</t>
  </si>
  <si>
    <t>اختيارخ شبندر-10300-1398/11/13</t>
  </si>
  <si>
    <t>صايپا104</t>
  </si>
  <si>
    <t>صكوك اجاره سايپا - 3ماهه18%</t>
  </si>
  <si>
    <t>دفرا</t>
  </si>
  <si>
    <t>فرآورده‌هاي‌ تزريقي‌ ايران‌</t>
  </si>
  <si>
    <t>1006</t>
  </si>
  <si>
    <t>13.91</t>
  </si>
  <si>
    <t>شصفها</t>
  </si>
  <si>
    <t>پتروشيمي‌ اصفهان‌</t>
  </si>
  <si>
    <t>10330</t>
  </si>
  <si>
    <t>3.55</t>
  </si>
  <si>
    <t>غپينو</t>
  </si>
  <si>
    <t>پارس‌ مينو</t>
  </si>
  <si>
    <t>418</t>
  </si>
  <si>
    <t>35.81</t>
  </si>
  <si>
    <t>ضفلا2033</t>
  </si>
  <si>
    <t>اختيارخ فولاد-5500-1399/02/31</t>
  </si>
  <si>
    <t>اروند04</t>
  </si>
  <si>
    <t>منفعت صبا اروند كاردان14001113</t>
  </si>
  <si>
    <t>اميد</t>
  </si>
  <si>
    <t>تامين سرمايه اميد</t>
  </si>
  <si>
    <t>274</t>
  </si>
  <si>
    <t>7</t>
  </si>
  <si>
    <t>سلامت1</t>
  </si>
  <si>
    <t>مرابحه دولتي تعاون-ملت991118</t>
  </si>
  <si>
    <t>ضپنا1018</t>
  </si>
  <si>
    <t>اختيارخ رمپنا-14000-1398/10/18</t>
  </si>
  <si>
    <t>اجاد422</t>
  </si>
  <si>
    <t>اجاره دولت-واجدشرايط خاص991224</t>
  </si>
  <si>
    <t>ثرود</t>
  </si>
  <si>
    <t>سرمايه‌گذاري مسكن زاينده رود</t>
  </si>
  <si>
    <t>59</t>
  </si>
  <si>
    <t>81.63</t>
  </si>
  <si>
    <t>ضملي1128</t>
  </si>
  <si>
    <t>اختيارخ فملي -3050-1398/11/16</t>
  </si>
  <si>
    <t>سجامح</t>
  </si>
  <si>
    <t>ح.مجتمع سيمان غرب آسيا</t>
  </si>
  <si>
    <t>اجاد42</t>
  </si>
  <si>
    <t>نوري</t>
  </si>
  <si>
    <t>پتروشيمي نوري</t>
  </si>
  <si>
    <t>9797</t>
  </si>
  <si>
    <t>3.37</t>
  </si>
  <si>
    <t>خكمك</t>
  </si>
  <si>
    <t>كمك‌فنرايندامين‌</t>
  </si>
  <si>
    <t>-18</t>
  </si>
  <si>
    <t>-260.56</t>
  </si>
  <si>
    <t>تايرا</t>
  </si>
  <si>
    <t>تراكتورسازي‌ايران‌</t>
  </si>
  <si>
    <t>964</t>
  </si>
  <si>
    <t>11.62</t>
  </si>
  <si>
    <t>فالوم</t>
  </si>
  <si>
    <t>آلومتك‌</t>
  </si>
  <si>
    <t>-55</t>
  </si>
  <si>
    <t>-44.95</t>
  </si>
  <si>
    <t>تسه9806</t>
  </si>
  <si>
    <t>امتياز تسهيلات مسكن شهريور98</t>
  </si>
  <si>
    <t>تليسهح</t>
  </si>
  <si>
    <t>ح . دامداري تليسه نمونه</t>
  </si>
  <si>
    <t>كفپارس</t>
  </si>
  <si>
    <t>فرآورده‌هاي‌ نسوز پارس‌</t>
  </si>
  <si>
    <t>-537</t>
  </si>
  <si>
    <t>-68.05</t>
  </si>
  <si>
    <t>ضپار1106</t>
  </si>
  <si>
    <t>اختيارخ خپارس-1400-1398/11/13</t>
  </si>
  <si>
    <t>وآفري</t>
  </si>
  <si>
    <t>بيمه كارآفرين</t>
  </si>
  <si>
    <t>28.88</t>
  </si>
  <si>
    <t>تسه9610</t>
  </si>
  <si>
    <t>امتياز تسهيلات مسكن دي96</t>
  </si>
  <si>
    <t>وزمين</t>
  </si>
  <si>
    <t>بانك ايران زمين</t>
  </si>
  <si>
    <t>-8127</t>
  </si>
  <si>
    <t>-0.2</t>
  </si>
  <si>
    <t>ضپنا1011</t>
  </si>
  <si>
    <t>اختيارخ رمپنا-8880-1398/10/18</t>
  </si>
  <si>
    <t>دكيمي</t>
  </si>
  <si>
    <t>كيميدارو</t>
  </si>
  <si>
    <t>1206</t>
  </si>
  <si>
    <t>10.23</t>
  </si>
  <si>
    <t>سجام</t>
  </si>
  <si>
    <t>مجتمع سيمان غرب آسيا</t>
  </si>
  <si>
    <t>-348</t>
  </si>
  <si>
    <t>-5.03</t>
  </si>
  <si>
    <t>ضملي8048</t>
  </si>
  <si>
    <t>اختيارخ فملي -6350-1398/08/19</t>
  </si>
  <si>
    <t>تسه9709</t>
  </si>
  <si>
    <t>امتياز تسهيلات مسكن آذر97</t>
  </si>
  <si>
    <t>كنور</t>
  </si>
  <si>
    <t>توسعه معدني و صنعتي صبانور</t>
  </si>
  <si>
    <t>665</t>
  </si>
  <si>
    <t>10.95</t>
  </si>
  <si>
    <t>بنيرو</t>
  </si>
  <si>
    <t>نيروترانس‌</t>
  </si>
  <si>
    <t>1019</t>
  </si>
  <si>
    <t>16.12</t>
  </si>
  <si>
    <t>غشهد</t>
  </si>
  <si>
    <t>شهد ايران‌</t>
  </si>
  <si>
    <t>4423</t>
  </si>
  <si>
    <t>كسرام</t>
  </si>
  <si>
    <t>پارس‌ سرام‌</t>
  </si>
  <si>
    <t>-614</t>
  </si>
  <si>
    <t>-42.13</t>
  </si>
  <si>
    <t>شپديس</t>
  </si>
  <si>
    <t>پتروشيمي پرديس</t>
  </si>
  <si>
    <t>4997</t>
  </si>
  <si>
    <t>4.76</t>
  </si>
  <si>
    <t>فاراك</t>
  </si>
  <si>
    <t>ماشين‌ سازي‌ اراك‌</t>
  </si>
  <si>
    <t>88</t>
  </si>
  <si>
    <t>21.8</t>
  </si>
  <si>
    <t>زعف9808پ09</t>
  </si>
  <si>
    <t>زعفران9808نگين نوين(پ)</t>
  </si>
  <si>
    <t>اخزا809</t>
  </si>
  <si>
    <t>اسنادخزانه-م9بودجه98-000923</t>
  </si>
  <si>
    <t>ثتران</t>
  </si>
  <si>
    <t>سرمايه گذاري مسكن تهران</t>
  </si>
  <si>
    <t>61</t>
  </si>
  <si>
    <t>41.25</t>
  </si>
  <si>
    <t>وليز</t>
  </si>
  <si>
    <t>ليزينگ‌ايران‌</t>
  </si>
  <si>
    <t>-252</t>
  </si>
  <si>
    <t>-18.42</t>
  </si>
  <si>
    <t>جبانك809</t>
  </si>
  <si>
    <t>آتي ش بانك ها-1398/09/10</t>
  </si>
  <si>
    <t>فسديد</t>
  </si>
  <si>
    <t>لوله‌وتجهيزات‌ سديد - ورشكسته</t>
  </si>
  <si>
    <t>-11344</t>
  </si>
  <si>
    <t>-2.02</t>
  </si>
  <si>
    <t>ضغدر8020</t>
  </si>
  <si>
    <t>اختيارخ وغدير-3800-1399/08/26</t>
  </si>
  <si>
    <t>ضمخا1015</t>
  </si>
  <si>
    <t>اختيارخ اخابر-4200-1398/10/11</t>
  </si>
  <si>
    <t>ضملت8015</t>
  </si>
  <si>
    <t>اختيارخ وبملت-6000-1398/08/29</t>
  </si>
  <si>
    <t>شستا001</t>
  </si>
  <si>
    <t>اجاره تامين اجتماعي-امين000523</t>
  </si>
  <si>
    <t>ضملي1132</t>
  </si>
  <si>
    <t>اختيارخ فملي -3850-1398/11/16</t>
  </si>
  <si>
    <t>مشهد995</t>
  </si>
  <si>
    <t>مشاركت شهرداري مشهد-3ماهه16%</t>
  </si>
  <si>
    <t>غنيلي</t>
  </si>
  <si>
    <t>مجتمع توليدي نيلي صنعت كرمان</t>
  </si>
  <si>
    <t>-68</t>
  </si>
  <si>
    <t>-145.59</t>
  </si>
  <si>
    <t>شغدير</t>
  </si>
  <si>
    <t>پتروشيمي غدير</t>
  </si>
  <si>
    <t>6.78</t>
  </si>
  <si>
    <t>جشيمي809</t>
  </si>
  <si>
    <t>آتي ش شيميايي-1398/09/17</t>
  </si>
  <si>
    <t>ضپار8008</t>
  </si>
  <si>
    <t>اختيارخ خپارس-1600-1398/08/14</t>
  </si>
  <si>
    <t>شپنا2</t>
  </si>
  <si>
    <t>4.7</t>
  </si>
  <si>
    <t>ضپيك1008</t>
  </si>
  <si>
    <t>اختيارخ تاپيكو-3000-1398/10/30</t>
  </si>
  <si>
    <t>طجار1004</t>
  </si>
  <si>
    <t>اختيارف وتجارت-700-1398/10/08</t>
  </si>
  <si>
    <t>بموتو</t>
  </si>
  <si>
    <t>موتوژن‌</t>
  </si>
  <si>
    <t>2357</t>
  </si>
  <si>
    <t>7.28</t>
  </si>
  <si>
    <t>وپست</t>
  </si>
  <si>
    <t>پست بانك ايران</t>
  </si>
  <si>
    <t>-1213</t>
  </si>
  <si>
    <t>-3.75</t>
  </si>
  <si>
    <t>اشاد9</t>
  </si>
  <si>
    <t>مشاركت دولتي9-شرايط خاص990909</t>
  </si>
  <si>
    <t>درازك</t>
  </si>
  <si>
    <t>دارويي‌ رازك‌</t>
  </si>
  <si>
    <t>2086</t>
  </si>
  <si>
    <t>11.9</t>
  </si>
  <si>
    <t>حتوكا</t>
  </si>
  <si>
    <t>حمل‌ونقل‌توكا</t>
  </si>
  <si>
    <t>5</t>
  </si>
  <si>
    <t>2112.6</t>
  </si>
  <si>
    <t>كوثر</t>
  </si>
  <si>
    <t>بيمه كوثر</t>
  </si>
  <si>
    <t>773</t>
  </si>
  <si>
    <t>13.38</t>
  </si>
  <si>
    <t>غگل</t>
  </si>
  <si>
    <t>گلوكوزان‌</t>
  </si>
  <si>
    <t>2202</t>
  </si>
  <si>
    <t>تپولا</t>
  </si>
  <si>
    <t>مهندسي مرآت پولاد</t>
  </si>
  <si>
    <t>-146</t>
  </si>
  <si>
    <t>-24.67</t>
  </si>
  <si>
    <t>ضفلا2036</t>
  </si>
  <si>
    <t>اختيارخ فولاد-3400-1399/02/31</t>
  </si>
  <si>
    <t>بكام</t>
  </si>
  <si>
    <t>كارخانجات توليدي شهيد قندي</t>
  </si>
  <si>
    <t>-3</t>
  </si>
  <si>
    <t>-4391</t>
  </si>
  <si>
    <t>اخزا610</t>
  </si>
  <si>
    <t>اسنادخزانه-م10بودجه96-980911</t>
  </si>
  <si>
    <t>تاپيكو</t>
  </si>
  <si>
    <t>س. نفت و گاز و پتروشيمي تأمين</t>
  </si>
  <si>
    <t>452</t>
  </si>
  <si>
    <t>7.07</t>
  </si>
  <si>
    <t>شبهرن</t>
  </si>
  <si>
    <t>نفت‌ بهران‌</t>
  </si>
  <si>
    <t>3065</t>
  </si>
  <si>
    <t>6.86</t>
  </si>
  <si>
    <t>كروي</t>
  </si>
  <si>
    <t>توسعه‌ معادن‌ روي‌ ايران‌</t>
  </si>
  <si>
    <t>667</t>
  </si>
  <si>
    <t>11.4</t>
  </si>
  <si>
    <t>اخابر</t>
  </si>
  <si>
    <t>مخابرات ايران</t>
  </si>
  <si>
    <t>486</t>
  </si>
  <si>
    <t>آتيمس</t>
  </si>
  <si>
    <t>صندوق س.آرمان آتيه درخشان مس-س</t>
  </si>
  <si>
    <t>ختراك</t>
  </si>
  <si>
    <t>ريخته‌گري‌ تراكتورسازي‌ ايران‌</t>
  </si>
  <si>
    <t>25.27</t>
  </si>
  <si>
    <t>كپرور</t>
  </si>
  <si>
    <t>فرآوري زغال سنگ پروده طبس</t>
  </si>
  <si>
    <t>880</t>
  </si>
  <si>
    <t>17.11</t>
  </si>
  <si>
    <t>نتوس</t>
  </si>
  <si>
    <t>پشم‌ بافي‌ توس</t>
  </si>
  <si>
    <t>-196</t>
  </si>
  <si>
    <t>-232.51</t>
  </si>
  <si>
    <t>خودكفا</t>
  </si>
  <si>
    <t>اقتصادي و خودكفايي آزادگان</t>
  </si>
  <si>
    <t>1125</t>
  </si>
  <si>
    <t>35.02</t>
  </si>
  <si>
    <t>زير9903پ02</t>
  </si>
  <si>
    <t>زيره سبز9903 دانش(پ)</t>
  </si>
  <si>
    <t>خفولا</t>
  </si>
  <si>
    <t>خدمات فني فولاد يزد</t>
  </si>
  <si>
    <t>204</t>
  </si>
  <si>
    <t>58.66</t>
  </si>
  <si>
    <t>ولغدر</t>
  </si>
  <si>
    <t>ليزينگ‌خودروغدير</t>
  </si>
  <si>
    <t>292</t>
  </si>
  <si>
    <t>13.97</t>
  </si>
  <si>
    <t>وسالت</t>
  </si>
  <si>
    <t>بانك قرض الحسنه رسالت</t>
  </si>
  <si>
    <t>-582</t>
  </si>
  <si>
    <t>-4.32</t>
  </si>
  <si>
    <t>پكرمان</t>
  </si>
  <si>
    <t>گروه‌ صنعتي‌ بارز</t>
  </si>
  <si>
    <t>202</t>
  </si>
  <si>
    <t>31.98</t>
  </si>
  <si>
    <t>تاصيكو</t>
  </si>
  <si>
    <t>سرمايه گذاري صدرتامين</t>
  </si>
  <si>
    <t>307</t>
  </si>
  <si>
    <t>دكوثر</t>
  </si>
  <si>
    <t>داروسازي‌ كوثر</t>
  </si>
  <si>
    <t>20.11</t>
  </si>
  <si>
    <t>پارسان</t>
  </si>
  <si>
    <t>گسترش نفت و گاز پارسيان</t>
  </si>
  <si>
    <t>1011</t>
  </si>
  <si>
    <t>6.52</t>
  </si>
  <si>
    <t>اروند03</t>
  </si>
  <si>
    <t>منفعت صبا اروند تمدن14001113</t>
  </si>
  <si>
    <t>قچار</t>
  </si>
  <si>
    <t>فراوردههاي غذايي وقند چهارمحال</t>
  </si>
  <si>
    <t>1212</t>
  </si>
  <si>
    <t>24.55</t>
  </si>
  <si>
    <t>اخزا709</t>
  </si>
  <si>
    <t>سلامت4</t>
  </si>
  <si>
    <t>مرابحه دولتي تعاون-لوتوس991118</t>
  </si>
  <si>
    <t>كفرا</t>
  </si>
  <si>
    <t>فراورده‌ هاي‌ نسوزايران‌</t>
  </si>
  <si>
    <t>2263</t>
  </si>
  <si>
    <t>8.53</t>
  </si>
  <si>
    <t>مرقام</t>
  </si>
  <si>
    <t>ايران‌ارقام‌</t>
  </si>
  <si>
    <t>-149</t>
  </si>
  <si>
    <t>-37.1</t>
  </si>
  <si>
    <t>بايكا</t>
  </si>
  <si>
    <t>كارخانجات كابلسازي ‌ايران‌</t>
  </si>
  <si>
    <t>-361</t>
  </si>
  <si>
    <t>-10.88</t>
  </si>
  <si>
    <t>ضملت8002</t>
  </si>
  <si>
    <t>اختيارخ وبملت-2800-1398/08/29</t>
  </si>
  <si>
    <t>چافست</t>
  </si>
  <si>
    <t>افست‌</t>
  </si>
  <si>
    <t>489</t>
  </si>
  <si>
    <t>23.42</t>
  </si>
  <si>
    <t>ميدكو</t>
  </si>
  <si>
    <t>هلدينگ صنايع  معدني خاورميانه</t>
  </si>
  <si>
    <t>242</t>
  </si>
  <si>
    <t>19.96</t>
  </si>
  <si>
    <t>پدرخش</t>
  </si>
  <si>
    <t>درخشان‌ تهران‌</t>
  </si>
  <si>
    <t>2144</t>
  </si>
  <si>
    <t>15.48</t>
  </si>
  <si>
    <t>كترام</t>
  </si>
  <si>
    <t>توليدي‌ كاشي‌ تكسرام‌</t>
  </si>
  <si>
    <t>136</t>
  </si>
  <si>
    <t>55.96</t>
  </si>
  <si>
    <t>وآرين</t>
  </si>
  <si>
    <t>شركت توسعه اقتصادي آرين</t>
  </si>
  <si>
    <t>461</t>
  </si>
  <si>
    <t>4.35</t>
  </si>
  <si>
    <t>ضفلا2032</t>
  </si>
  <si>
    <t>اختيارخ فولاد-5000-1399/02/31</t>
  </si>
  <si>
    <t>چكاوه</t>
  </si>
  <si>
    <t>صنايع‌كاغذسازي‌كاوه‌</t>
  </si>
  <si>
    <t>-256</t>
  </si>
  <si>
    <t>-50.38</t>
  </si>
  <si>
    <t>غالبر</t>
  </si>
  <si>
    <t>لبنيات‌كالبر</t>
  </si>
  <si>
    <t>396</t>
  </si>
  <si>
    <t>27.16</t>
  </si>
  <si>
    <t>ضفلا8049</t>
  </si>
  <si>
    <t>اختيارخ فولاد-4700-1398/08/26</t>
  </si>
  <si>
    <t>ضغدر8019</t>
  </si>
  <si>
    <t>اختيارخ وغدير-3600-1399/08/26</t>
  </si>
  <si>
    <t>ضافق1109</t>
  </si>
  <si>
    <t>اختيارخ افق-66000-1398/11/02</t>
  </si>
  <si>
    <t>وملل</t>
  </si>
  <si>
    <t>اعتباري ملل</t>
  </si>
  <si>
    <t>427</t>
  </si>
  <si>
    <t>4.95</t>
  </si>
  <si>
    <t>وسنا</t>
  </si>
  <si>
    <t>سرمايه گذاري نيروگاهي ايران</t>
  </si>
  <si>
    <t>363</t>
  </si>
  <si>
    <t>19.28</t>
  </si>
  <si>
    <t>تسه9609</t>
  </si>
  <si>
    <t>امتياز تسهيلات مسكن آذر96</t>
  </si>
  <si>
    <t>سباقر</t>
  </si>
  <si>
    <t>سيمان باقران</t>
  </si>
  <si>
    <t>-369</t>
  </si>
  <si>
    <t>-18.43</t>
  </si>
  <si>
    <t>شلرد02</t>
  </si>
  <si>
    <t>كود شيميايي اوره لردگان</t>
  </si>
  <si>
    <t>دارا2</t>
  </si>
  <si>
    <t>صندوق س. دارا الگوريتم-د</t>
  </si>
  <si>
    <t>آساميد</t>
  </si>
  <si>
    <t>صندوق س.مشترك آسمان اميد -د</t>
  </si>
  <si>
    <t>ضپار8004</t>
  </si>
  <si>
    <t>اختيارخ خپارس-1200-1398/08/14</t>
  </si>
  <si>
    <t>ضگل1135</t>
  </si>
  <si>
    <t>اختيارخ كگل-7420-1398/11/20</t>
  </si>
  <si>
    <t>كساوه</t>
  </si>
  <si>
    <t>صنايع‌ كاشي‌ و سراميك‌ سينا</t>
  </si>
  <si>
    <t>723</t>
  </si>
  <si>
    <t>13.53</t>
  </si>
  <si>
    <t>اشاد102</t>
  </si>
  <si>
    <t>مشاركت دولتي10-شرايط خاص001226</t>
  </si>
  <si>
    <t>زدشت</t>
  </si>
  <si>
    <t>كشت و صنعت دشت خرم دره</t>
  </si>
  <si>
    <t>415</t>
  </si>
  <si>
    <t>وهور</t>
  </si>
  <si>
    <t>مديريت انرژي اميد  تابان هور</t>
  </si>
  <si>
    <t>210</t>
  </si>
  <si>
    <t>25.72</t>
  </si>
  <si>
    <t>فارس</t>
  </si>
  <si>
    <t>صنايع پتروشيمي خليج فارس</t>
  </si>
  <si>
    <t>6.87</t>
  </si>
  <si>
    <t>فلامي</t>
  </si>
  <si>
    <t>لاميران‌</t>
  </si>
  <si>
    <t>2296</t>
  </si>
  <si>
    <t>ونيكي</t>
  </si>
  <si>
    <t>سرمايه‌گذاري‌ ملي‌ايران‌</t>
  </si>
  <si>
    <t>737</t>
  </si>
  <si>
    <t>7.87</t>
  </si>
  <si>
    <t>تنوين</t>
  </si>
  <si>
    <t>تامين سرمايه نوين</t>
  </si>
  <si>
    <t>548</t>
  </si>
  <si>
    <t>5.43</t>
  </si>
  <si>
    <t>اخزا815</t>
  </si>
  <si>
    <t>اسنادخزانه-م15بودجه98-010406</t>
  </si>
  <si>
    <t>وساخت</t>
  </si>
  <si>
    <t>سرمايه‌ گذاري‌ ساختمان‌ايران‌</t>
  </si>
  <si>
    <t>-167</t>
  </si>
  <si>
    <t>-75.41</t>
  </si>
  <si>
    <t>كهرام</t>
  </si>
  <si>
    <t>توليدي گرانيت بهسرام</t>
  </si>
  <si>
    <t>ضخود1031</t>
  </si>
  <si>
    <t>اختيارخ خودرو-7500-1398/10/15</t>
  </si>
  <si>
    <t>ضفلا8057</t>
  </si>
  <si>
    <t>اختيارخ فولاد-4800-1399/08/28</t>
  </si>
  <si>
    <t>نوريل02</t>
  </si>
  <si>
    <t>اجاره ريل پرداز نوآفرين021213</t>
  </si>
  <si>
    <t>وغدير</t>
  </si>
  <si>
    <t>سرمايه‌گذاري‌غدير(هلدينگ‌</t>
  </si>
  <si>
    <t>360</t>
  </si>
  <si>
    <t>8.6</t>
  </si>
  <si>
    <t>ضملت8000</t>
  </si>
  <si>
    <t>اختيارخ وبملت-2400-1398/08/29</t>
  </si>
  <si>
    <t>ضملي8040</t>
  </si>
  <si>
    <t>اختيارخ فملي -3850-1398/08/19</t>
  </si>
  <si>
    <t>زشگزا</t>
  </si>
  <si>
    <t>شير و گوشت زاگرس شهركرد</t>
  </si>
  <si>
    <t>2000</t>
  </si>
  <si>
    <t>21.38</t>
  </si>
  <si>
    <t>ضغدر1109</t>
  </si>
  <si>
    <t>اختيارخ وغدير-3400-1398/11/20</t>
  </si>
  <si>
    <t>ضبدر8035</t>
  </si>
  <si>
    <t>اختيارخ شبندر-17300-1398/08/14</t>
  </si>
  <si>
    <t>ميهن</t>
  </si>
  <si>
    <t>بيمه ميهن</t>
  </si>
  <si>
    <t>-211</t>
  </si>
  <si>
    <t>زشريف</t>
  </si>
  <si>
    <t>كشت وصنعت شريف آباد</t>
  </si>
  <si>
    <t>344</t>
  </si>
  <si>
    <t>30.34</t>
  </si>
  <si>
    <t>ضترا8007</t>
  </si>
  <si>
    <t>اختيارخ شتران-4474-1398/08/12</t>
  </si>
  <si>
    <t>خبهمن</t>
  </si>
  <si>
    <t>گروه‌بهمن‌</t>
  </si>
  <si>
    <t>254</t>
  </si>
  <si>
    <t>7.53</t>
  </si>
  <si>
    <t>ضفلا1141</t>
  </si>
  <si>
    <t>اختيارخ فولاد-4300-1398/11/27</t>
  </si>
  <si>
    <t>جشيمي812</t>
  </si>
  <si>
    <t>آتي ش شيميايي-1398/12/12</t>
  </si>
  <si>
    <t>اروند05</t>
  </si>
  <si>
    <t>منفعت صبا اروند لوتوس 14001113</t>
  </si>
  <si>
    <t>ضملت8008</t>
  </si>
  <si>
    <t>اختيارخ وبملت-4000-1398/08/29</t>
  </si>
  <si>
    <t>ضغدر1105</t>
  </si>
  <si>
    <t>اختيارخ وغدير-2600-1398/11/20</t>
  </si>
  <si>
    <t>سشرق</t>
  </si>
  <si>
    <t>سيمان‌ شرق‌</t>
  </si>
  <si>
    <t>10.2</t>
  </si>
  <si>
    <t>سدشت</t>
  </si>
  <si>
    <t>صنايع سيمان دشتستان</t>
  </si>
  <si>
    <t>163</t>
  </si>
  <si>
    <t>64.03</t>
  </si>
  <si>
    <t>ضشنا1026</t>
  </si>
  <si>
    <t>اختيارخ شپنا-4000-1398/10/22</t>
  </si>
  <si>
    <t>ضفلا8063</t>
  </si>
  <si>
    <t>اختيارخ فولاد-3600-1399/08/28</t>
  </si>
  <si>
    <t>جم پيلن</t>
  </si>
  <si>
    <t>پلي پروپيلن جم - جم پيلن</t>
  </si>
  <si>
    <t>4661</t>
  </si>
  <si>
    <t>5.89</t>
  </si>
  <si>
    <t>صينا205</t>
  </si>
  <si>
    <t>صكوك منفعت سينا دارو-3ماهه 19%</t>
  </si>
  <si>
    <t>سدور</t>
  </si>
  <si>
    <t>سيمان‌ دورود</t>
  </si>
  <si>
    <t>ضمعا1008</t>
  </si>
  <si>
    <t>اختيارخ ومعادن-5000-1398/10/18</t>
  </si>
  <si>
    <t>سلامت3</t>
  </si>
  <si>
    <t>مرابحه دولتي تعاون-اميد991118</t>
  </si>
  <si>
    <t>داراب</t>
  </si>
  <si>
    <t>پتروشيمي داراب</t>
  </si>
  <si>
    <t>13</t>
  </si>
  <si>
    <t>63.46</t>
  </si>
  <si>
    <t>شكربن</t>
  </si>
  <si>
    <t>كربن‌ ايران‌</t>
  </si>
  <si>
    <t>14.97</t>
  </si>
  <si>
    <t>شستا004</t>
  </si>
  <si>
    <t>اجاره تامين اجتماعي-نوين000523</t>
  </si>
  <si>
    <t>وتعاون</t>
  </si>
  <si>
    <t>بيمه  تعاون</t>
  </si>
  <si>
    <t>46</t>
  </si>
  <si>
    <t>38.65</t>
  </si>
  <si>
    <t>ضپيك7007</t>
  </si>
  <si>
    <t>اختيارخ تاپيكو-2800-1398/07/30</t>
  </si>
  <si>
    <t>ضسان7036</t>
  </si>
  <si>
    <t>اختيارخ پارسان-5000-1398/07/24</t>
  </si>
  <si>
    <t>اشاد5</t>
  </si>
  <si>
    <t>مشاركت دولتي5-شرايط خاص980922</t>
  </si>
  <si>
    <t>سپرمي</t>
  </si>
  <si>
    <t>پرميت‌</t>
  </si>
  <si>
    <t>-1608</t>
  </si>
  <si>
    <t>-4.05</t>
  </si>
  <si>
    <t>كيميا</t>
  </si>
  <si>
    <t>معدني كيمياي زنجان گستران</t>
  </si>
  <si>
    <t>2028</t>
  </si>
  <si>
    <t>7.65</t>
  </si>
  <si>
    <t>مبين</t>
  </si>
  <si>
    <t>پتروشيمي مبين</t>
  </si>
  <si>
    <t>1890</t>
  </si>
  <si>
    <t>5.29</t>
  </si>
  <si>
    <t>ركيش</t>
  </si>
  <si>
    <t>كارت اعتباري ايران كيش</t>
  </si>
  <si>
    <t>420</t>
  </si>
  <si>
    <t>8.86</t>
  </si>
  <si>
    <t>صخود0004</t>
  </si>
  <si>
    <t>صكوك رهني خودرو0004- 3ماهه 16%</t>
  </si>
  <si>
    <t>خفنر</t>
  </si>
  <si>
    <t>فنرسازي‌خاور</t>
  </si>
  <si>
    <t>245</t>
  </si>
  <si>
    <t>50.48</t>
  </si>
  <si>
    <t>ضكشو1107</t>
  </si>
  <si>
    <t>اختيارخ پاكشو-49000-1398/11/02</t>
  </si>
  <si>
    <t>قجام</t>
  </si>
  <si>
    <t>فرآوردههاي غذايي وقندتربت‌جام‌</t>
  </si>
  <si>
    <t>شمواد</t>
  </si>
  <si>
    <t>توليد مواداوليه الياف مصنوعي</t>
  </si>
  <si>
    <t>-59</t>
  </si>
  <si>
    <t>-521.63</t>
  </si>
  <si>
    <t>حخزر</t>
  </si>
  <si>
    <t>كشتيراني درياي خزر</t>
  </si>
  <si>
    <t>1012</t>
  </si>
  <si>
    <t>16.3</t>
  </si>
  <si>
    <t>وبصادر</t>
  </si>
  <si>
    <t>بانك صادرات ايران</t>
  </si>
  <si>
    <t>-83</t>
  </si>
  <si>
    <t>-6.66</t>
  </si>
  <si>
    <t>كساپا</t>
  </si>
  <si>
    <t>سايپاشيشه‌</t>
  </si>
  <si>
    <t>86</t>
  </si>
  <si>
    <t>68.94</t>
  </si>
  <si>
    <t>وبوعلي</t>
  </si>
  <si>
    <t>سرمايه‌گذاري‌بوعلي‌</t>
  </si>
  <si>
    <t>655</t>
  </si>
  <si>
    <t>4.5</t>
  </si>
  <si>
    <t>كاسپين</t>
  </si>
  <si>
    <t>داروسازي كاسپين تامين</t>
  </si>
  <si>
    <t>1425</t>
  </si>
  <si>
    <t>11.82</t>
  </si>
  <si>
    <t>سيمرغ</t>
  </si>
  <si>
    <t>838</t>
  </si>
  <si>
    <t>14.2</t>
  </si>
  <si>
    <t>ضسان7035</t>
  </si>
  <si>
    <t>اختيارخ پارسان-4800-1398/07/24</t>
  </si>
  <si>
    <t>تسه98042</t>
  </si>
  <si>
    <t>امتياز تسهيلات مسكن تير98</t>
  </si>
  <si>
    <t>غسالم</t>
  </si>
  <si>
    <t>سالمين‌</t>
  </si>
  <si>
    <t>504</t>
  </si>
  <si>
    <t>51.04</t>
  </si>
  <si>
    <t>الماس</t>
  </si>
  <si>
    <t>صندوق س.امين تدبيرگران فردا-س</t>
  </si>
  <si>
    <t>شپلي</t>
  </si>
  <si>
    <t>پلي اكريل ايران</t>
  </si>
  <si>
    <t>-340</t>
  </si>
  <si>
    <t>-10.21</t>
  </si>
  <si>
    <t>ثزاگرس</t>
  </si>
  <si>
    <t>سرمايه گذاري توسعه عمران زاگرس</t>
  </si>
  <si>
    <t>-416</t>
  </si>
  <si>
    <t>-22.43</t>
  </si>
  <si>
    <t>ضملي1137</t>
  </si>
  <si>
    <t>اختيارخ فملي -4850-1398/11/16</t>
  </si>
  <si>
    <t>فولاد  خوزستان</t>
  </si>
  <si>
    <t>1991</t>
  </si>
  <si>
    <t>4.46</t>
  </si>
  <si>
    <t>ضملي8044</t>
  </si>
  <si>
    <t>اختيارخ فملي -4650-1398/08/19</t>
  </si>
  <si>
    <t>كسعدي</t>
  </si>
  <si>
    <t>كاشي‌ سعدي‌</t>
  </si>
  <si>
    <t>341</t>
  </si>
  <si>
    <t>24.33</t>
  </si>
  <si>
    <t>دلقما</t>
  </si>
  <si>
    <t>دارويي‌ لقمان‌</t>
  </si>
  <si>
    <t>47.2</t>
  </si>
  <si>
    <t>پلوله</t>
  </si>
  <si>
    <t>گازلوله‌</t>
  </si>
  <si>
    <t>-7016</t>
  </si>
  <si>
    <t>-0.83</t>
  </si>
  <si>
    <t>مشهد905</t>
  </si>
  <si>
    <t>مشاركت شهرداري مشهد-3ماهه 16%</t>
  </si>
  <si>
    <t>اخزا703</t>
  </si>
  <si>
    <t>اسنادخزانه-م3بودجه97-990721</t>
  </si>
  <si>
    <t>خكرمان</t>
  </si>
  <si>
    <t>گروه اقتصادي كرمان خودرو</t>
  </si>
  <si>
    <t>15.39</t>
  </si>
  <si>
    <t>ضملت1115</t>
  </si>
  <si>
    <t>اختيارخ وبملت-6000-1398/11/30</t>
  </si>
  <si>
    <t>سهرمز</t>
  </si>
  <si>
    <t>سيمان‌هرمزگان‌</t>
  </si>
  <si>
    <t>734</t>
  </si>
  <si>
    <t>10.29</t>
  </si>
  <si>
    <t>تيپيكو</t>
  </si>
  <si>
    <t>سرمايه گذاري دارويي تامين</t>
  </si>
  <si>
    <t>2356</t>
  </si>
  <si>
    <t>7.93</t>
  </si>
  <si>
    <t>ما</t>
  </si>
  <si>
    <t>بيمه  ما</t>
  </si>
  <si>
    <t>647</t>
  </si>
  <si>
    <t>6.02</t>
  </si>
  <si>
    <t>بزاگرس</t>
  </si>
  <si>
    <t>نيروگاه زاگرس كوثر</t>
  </si>
  <si>
    <t>173</t>
  </si>
  <si>
    <t>31.4</t>
  </si>
  <si>
    <t>ضبدر1131</t>
  </si>
  <si>
    <t>اختيارخ شبندر-9300-1398/11/13</t>
  </si>
  <si>
    <t>نمرينو</t>
  </si>
  <si>
    <t>ايران‌ مرينوس‌</t>
  </si>
  <si>
    <t>379.47</t>
  </si>
  <si>
    <t>آكورد</t>
  </si>
  <si>
    <t>صندوق س. آرمان آتي كوثر-د</t>
  </si>
  <si>
    <t>حرهشا</t>
  </si>
  <si>
    <t>رهشاد سپاهان (سهامي عام</t>
  </si>
  <si>
    <t>636</t>
  </si>
  <si>
    <t>30.42</t>
  </si>
  <si>
    <t>صايتل902</t>
  </si>
  <si>
    <t>صكوك اجاره رايتل  ماهانه 21 %</t>
  </si>
  <si>
    <t>ثجوان</t>
  </si>
  <si>
    <t>تامين مسكن جوانان</t>
  </si>
  <si>
    <t>-52</t>
  </si>
  <si>
    <t>-42.92</t>
  </si>
  <si>
    <t>لبوتان</t>
  </si>
  <si>
    <t>گروه‌صنعتي‌بوتان‌</t>
  </si>
  <si>
    <t>كگهر</t>
  </si>
  <si>
    <t>سنگ آهن گهرزمين</t>
  </si>
  <si>
    <t>1128</t>
  </si>
  <si>
    <t>15.02</t>
  </si>
  <si>
    <t>تكمبا</t>
  </si>
  <si>
    <t>كمباين‌ سازي‌ ايران‌</t>
  </si>
  <si>
    <t>19</t>
  </si>
  <si>
    <t>149.79</t>
  </si>
  <si>
    <t>فجام</t>
  </si>
  <si>
    <t>جام‌دارو</t>
  </si>
  <si>
    <t>806</t>
  </si>
  <si>
    <t>21.9</t>
  </si>
  <si>
    <t>ستران</t>
  </si>
  <si>
    <t>سيمان‌ تهران‌</t>
  </si>
  <si>
    <t>-101</t>
  </si>
  <si>
    <t>-129.4</t>
  </si>
  <si>
    <t>ثفارس</t>
  </si>
  <si>
    <t>عمران‌وتوسعه‌فارس‌</t>
  </si>
  <si>
    <t>146</t>
  </si>
  <si>
    <t>15.66</t>
  </si>
  <si>
    <t>شسينا</t>
  </si>
  <si>
    <t>صنايع‌شيميايي‌سينا</t>
  </si>
  <si>
    <t>4150</t>
  </si>
  <si>
    <t>13.08</t>
  </si>
  <si>
    <t>غگرجي</t>
  </si>
  <si>
    <t>بيسكويت‌  گرجي‌</t>
  </si>
  <si>
    <t>909</t>
  </si>
  <si>
    <t>29.92</t>
  </si>
  <si>
    <t>شتهران</t>
  </si>
  <si>
    <t>داروسازي تهران شيمي</t>
  </si>
  <si>
    <t>951</t>
  </si>
  <si>
    <t>8.17</t>
  </si>
  <si>
    <t>ولشرق</t>
  </si>
  <si>
    <t>ليزينگ ايران و شرق</t>
  </si>
  <si>
    <t>197</t>
  </si>
  <si>
    <t>12.18</t>
  </si>
  <si>
    <t>سهرمزح</t>
  </si>
  <si>
    <t>ح . سيمان‌هرمزگان‌</t>
  </si>
  <si>
    <t>غصينو</t>
  </si>
  <si>
    <t>صنعتي مينو</t>
  </si>
  <si>
    <t>1298</t>
  </si>
  <si>
    <t>22.93</t>
  </si>
  <si>
    <t>ارمغان</t>
  </si>
  <si>
    <t>ص سرمايه گذاري ارمغان ايرانيان</t>
  </si>
  <si>
    <t>ضمخا7026</t>
  </si>
  <si>
    <t>اختيارخ اخابر-3800-1399/07/30</t>
  </si>
  <si>
    <t>ضجار1000</t>
  </si>
  <si>
    <t>اختيارخ وتجارت-300-1398/10/08</t>
  </si>
  <si>
    <t>غشان</t>
  </si>
  <si>
    <t>شيرپاستوريزه‌پگاه‌خراسان‌</t>
  </si>
  <si>
    <t>584</t>
  </si>
  <si>
    <t>30.01</t>
  </si>
  <si>
    <t>خوساز</t>
  </si>
  <si>
    <t>محورسازان‌ايران‌خودرو</t>
  </si>
  <si>
    <t>-10</t>
  </si>
  <si>
    <t>-377.1</t>
  </si>
  <si>
    <t>ضملي8042</t>
  </si>
  <si>
    <t>اختيارخ فملي -4250-1398/08/19</t>
  </si>
  <si>
    <t>ضپنا1013</t>
  </si>
  <si>
    <t>اختيارخ رمپنا-9880-1398/10/18</t>
  </si>
  <si>
    <t>كحافظ</t>
  </si>
  <si>
    <t>كاشي‌ وسراميك‌ حافظ‌</t>
  </si>
  <si>
    <t>-522</t>
  </si>
  <si>
    <t>-40.26</t>
  </si>
  <si>
    <t>جم</t>
  </si>
  <si>
    <t>پتروشيمي جم</t>
  </si>
  <si>
    <t>2221</t>
  </si>
  <si>
    <t>6.16</t>
  </si>
  <si>
    <t>سبهان</t>
  </si>
  <si>
    <t>سيمان‌ بهبهان‌</t>
  </si>
  <si>
    <t>1858</t>
  </si>
  <si>
    <t>10.32</t>
  </si>
  <si>
    <t>كلوند</t>
  </si>
  <si>
    <t>كاشي‌ الوند</t>
  </si>
  <si>
    <t>581</t>
  </si>
  <si>
    <t>14.5</t>
  </si>
  <si>
    <t>خزر</t>
  </si>
  <si>
    <t>فنرسازي‌زر</t>
  </si>
  <si>
    <t>114</t>
  </si>
  <si>
    <t>30.92</t>
  </si>
  <si>
    <t>ثنوسا</t>
  </si>
  <si>
    <t>نوسازي‌وساختمان‌تهران‌</t>
  </si>
  <si>
    <t>-37.09</t>
  </si>
  <si>
    <t>مشير112</t>
  </si>
  <si>
    <t>مشاركت شهرداري شيراز-3ماهه18%</t>
  </si>
  <si>
    <t>تملي704</t>
  </si>
  <si>
    <t>تسهيلات مسكن ب. ملي-تير97</t>
  </si>
  <si>
    <t>زر</t>
  </si>
  <si>
    <t>صندوق س.پشتوانه سكه طلاي زر</t>
  </si>
  <si>
    <t>وپارس</t>
  </si>
  <si>
    <t>بانك‌پارسيان‌</t>
  </si>
  <si>
    <t>237</t>
  </si>
  <si>
    <t>13.36</t>
  </si>
  <si>
    <t>دجابر</t>
  </si>
  <si>
    <t>داروسازي‌ جابرابن‌حيان‌</t>
  </si>
  <si>
    <t>733</t>
  </si>
  <si>
    <t>13.47</t>
  </si>
  <si>
    <t>زپارس</t>
  </si>
  <si>
    <t>ملي كشت و صنعت و دامپروري پارس</t>
  </si>
  <si>
    <t>17.68</t>
  </si>
  <si>
    <t>مبين013</t>
  </si>
  <si>
    <t>اجاره اعتماد مبين نوين010710</t>
  </si>
  <si>
    <t>شستا005</t>
  </si>
  <si>
    <t>اجاره تامين اجتماعي-امين001220</t>
  </si>
  <si>
    <t>واتي</t>
  </si>
  <si>
    <t>سرمايه‌ گذاري‌ آتيه‌ دماوند</t>
  </si>
  <si>
    <t>8.94</t>
  </si>
  <si>
    <t>دشيمي</t>
  </si>
  <si>
    <t>شيمي‌ داروئي‌ داروپخش‌</t>
  </si>
  <si>
    <t>782</t>
  </si>
  <si>
    <t>24.43</t>
  </si>
  <si>
    <t>غشهداب</t>
  </si>
  <si>
    <t>كشت و صنعت شهداب ناب خراسان</t>
  </si>
  <si>
    <t>428</t>
  </si>
  <si>
    <t>9.32</t>
  </si>
  <si>
    <t>بجهرم</t>
  </si>
  <si>
    <t>توسعه مولد نيروگاهي جهرم</t>
  </si>
  <si>
    <t>17</t>
  </si>
  <si>
    <t>147.41</t>
  </si>
  <si>
    <t>شراز</t>
  </si>
  <si>
    <t>پالايش نفت شيراز</t>
  </si>
  <si>
    <t>7306</t>
  </si>
  <si>
    <t>6.9</t>
  </si>
  <si>
    <t>غپونه</t>
  </si>
  <si>
    <t>نوش پونه مشهد</t>
  </si>
  <si>
    <t>858</t>
  </si>
  <si>
    <t>خچرخش</t>
  </si>
  <si>
    <t>چرخشگر</t>
  </si>
  <si>
    <t>28</t>
  </si>
  <si>
    <t>124.64</t>
  </si>
  <si>
    <t>سمازن</t>
  </si>
  <si>
    <t>سيمان‌مازندران‌</t>
  </si>
  <si>
    <t>رنيك</t>
  </si>
  <si>
    <t>جنرال مكانيك</t>
  </si>
  <si>
    <t>آگاس</t>
  </si>
  <si>
    <t>صندوق س.هستي بخش آگاه-س</t>
  </si>
  <si>
    <t>اشاد10</t>
  </si>
  <si>
    <t>ونفت</t>
  </si>
  <si>
    <t>سرمايه‌گذاري‌ صنعت‌ نفت‌</t>
  </si>
  <si>
    <t>527</t>
  </si>
  <si>
    <t>9.99</t>
  </si>
  <si>
    <t>غپاك</t>
  </si>
  <si>
    <t>لبنيات‌ پاك‌</t>
  </si>
  <si>
    <t>439.5</t>
  </si>
  <si>
    <t>عيار</t>
  </si>
  <si>
    <t>صندوق س. پشتوانه طلاي مفيد</t>
  </si>
  <si>
    <t>ضغدر1106</t>
  </si>
  <si>
    <t>اختيارخ وغدير-2800-1398/11/20</t>
  </si>
  <si>
    <t>قاسم</t>
  </si>
  <si>
    <t>قاسم ايران</t>
  </si>
  <si>
    <t>1403</t>
  </si>
  <si>
    <t>34.41</t>
  </si>
  <si>
    <t>بركت</t>
  </si>
  <si>
    <t>گروه دارويي بركت</t>
  </si>
  <si>
    <t>67</t>
  </si>
  <si>
    <t>74.49</t>
  </si>
  <si>
    <t>شستا993</t>
  </si>
  <si>
    <t>اجاره ت.اجتماعي-كاردان991226</t>
  </si>
  <si>
    <t>ولتجار</t>
  </si>
  <si>
    <t>واسپاري تجارت وسرمايه ايرانيان</t>
  </si>
  <si>
    <t>-28</t>
  </si>
  <si>
    <t>-136.5</t>
  </si>
  <si>
    <t>دتماد</t>
  </si>
  <si>
    <t>توليدمواداوليه‌داروپخش‌</t>
  </si>
  <si>
    <t>1399</t>
  </si>
  <si>
    <t>15.85</t>
  </si>
  <si>
    <t>فاما</t>
  </si>
  <si>
    <t>صنعتي‌ آما</t>
  </si>
  <si>
    <t>771</t>
  </si>
  <si>
    <t>8.9</t>
  </si>
  <si>
    <t>كمند</t>
  </si>
  <si>
    <t>صندوق س. با درآمد ثابت كمند</t>
  </si>
  <si>
    <t>سفاسي</t>
  </si>
  <si>
    <t>شركت فارسيت اهواز</t>
  </si>
  <si>
    <t>-24</t>
  </si>
  <si>
    <t>-123</t>
  </si>
  <si>
    <t>اجاد41</t>
  </si>
  <si>
    <t>اجاره دولتي وزا.علوم-الف991224</t>
  </si>
  <si>
    <t>سفانوح</t>
  </si>
  <si>
    <t>ح . سيمان فارس نو</t>
  </si>
  <si>
    <t>تسه9704</t>
  </si>
  <si>
    <t>امتياز تسهيلات مسكن تير97</t>
  </si>
  <si>
    <t>ساربيل</t>
  </si>
  <si>
    <t>سيمان آرتا اردبيل</t>
  </si>
  <si>
    <t>ضغدر1108</t>
  </si>
  <si>
    <t>اختيارخ وغدير-3200-1398/11/20</t>
  </si>
  <si>
    <t>غاذر</t>
  </si>
  <si>
    <t>كشت‌وصنعت‌پياذر</t>
  </si>
  <si>
    <t>537</t>
  </si>
  <si>
    <t>26.42</t>
  </si>
  <si>
    <t>شپاس</t>
  </si>
  <si>
    <t>نفت پاسارگاد</t>
  </si>
  <si>
    <t>596</t>
  </si>
  <si>
    <t>14.75</t>
  </si>
  <si>
    <t>تسه9711</t>
  </si>
  <si>
    <t>امتياز تسهيلات مسكن بهمن 97</t>
  </si>
  <si>
    <t>شبندر</t>
  </si>
  <si>
    <t>پالايش نفت بندرعباس</t>
  </si>
  <si>
    <t>3128</t>
  </si>
  <si>
    <t>ومشان</t>
  </si>
  <si>
    <t>س. فني و مهندسي مشانير</t>
  </si>
  <si>
    <t>209</t>
  </si>
  <si>
    <t>حفارس</t>
  </si>
  <si>
    <t>حمل و نقل بين المللي خليج فارس</t>
  </si>
  <si>
    <t>-44</t>
  </si>
  <si>
    <t>-72.09</t>
  </si>
  <si>
    <t>فملي</t>
  </si>
  <si>
    <t>ملي‌ صنايع‌ مس‌ ايران‌</t>
  </si>
  <si>
    <t>948</t>
  </si>
  <si>
    <t>5.63</t>
  </si>
  <si>
    <t>فماك</t>
  </si>
  <si>
    <t>ماداكتو استيل كرد</t>
  </si>
  <si>
    <t>-20</t>
  </si>
  <si>
    <t>-206</t>
  </si>
  <si>
    <t>اخزا805</t>
  </si>
  <si>
    <t>اسنادخزانه-م5بودجه98-000422</t>
  </si>
  <si>
    <t>سپاها</t>
  </si>
  <si>
    <t>سيمان‌سپاهان‌</t>
  </si>
  <si>
    <t>11</t>
  </si>
  <si>
    <t>198.18</t>
  </si>
  <si>
    <t>كگل</t>
  </si>
  <si>
    <t>معدني و صنعتي گل گهر</t>
  </si>
  <si>
    <t>990</t>
  </si>
  <si>
    <t>ضفلا1146</t>
  </si>
  <si>
    <t>اختيارخ فولاد-6200-1398/11/27</t>
  </si>
  <si>
    <t>شيران</t>
  </si>
  <si>
    <t>س. صنايع‌شيميايي‌ايران</t>
  </si>
  <si>
    <t>1675</t>
  </si>
  <si>
    <t>6.71</t>
  </si>
  <si>
    <t>ضفلا8065</t>
  </si>
  <si>
    <t>اختيارخ فولاد-4000-1399/08/28</t>
  </si>
  <si>
    <t>قشكر</t>
  </si>
  <si>
    <t>شكرشاهرود</t>
  </si>
  <si>
    <t>60</t>
  </si>
  <si>
    <t>275.57</t>
  </si>
  <si>
    <t>اخزا719</t>
  </si>
  <si>
    <t>اسنادخزانه-م19بودجه97-980827</t>
  </si>
  <si>
    <t>ضپيك1011</t>
  </si>
  <si>
    <t>اختيارخ تاپيكو-3600-1398/10/30</t>
  </si>
  <si>
    <t>صايپا403</t>
  </si>
  <si>
    <t>صكوك اجاره سايپا403-3ماهه18%</t>
  </si>
  <si>
    <t>جنفت812</t>
  </si>
  <si>
    <t>آتي ش فرآورده نفتي-1398/12/03</t>
  </si>
  <si>
    <t>ضشنا1031</t>
  </si>
  <si>
    <t>اختيارخ شپنا-5882-1398/10/22</t>
  </si>
  <si>
    <t>آسام</t>
  </si>
  <si>
    <t>صندوق س.آرمان سپهر آشنا-م</t>
  </si>
  <si>
    <t>مبين012</t>
  </si>
  <si>
    <t>اجاره اعتماد مبين تمدن010710</t>
  </si>
  <si>
    <t>قشرين</t>
  </si>
  <si>
    <t>قند شيرين خراسان</t>
  </si>
  <si>
    <t>82</t>
  </si>
  <si>
    <t>121.78</t>
  </si>
  <si>
    <t>اعتلا</t>
  </si>
  <si>
    <t>شركت سرمايه گذاري اعتلاء البرز</t>
  </si>
  <si>
    <t>594</t>
  </si>
  <si>
    <t>6.89</t>
  </si>
  <si>
    <t>شفا</t>
  </si>
  <si>
    <t>سرمايه گذاري شفادارو</t>
  </si>
  <si>
    <t>935</t>
  </si>
  <si>
    <t>11.2</t>
  </si>
  <si>
    <t>سنوين</t>
  </si>
  <si>
    <t>سرمايه گذاري اقتصاد نوين</t>
  </si>
  <si>
    <t>786.4</t>
  </si>
  <si>
    <t>بنو</t>
  </si>
  <si>
    <t>بيمه تجارت نو</t>
  </si>
  <si>
    <t>217</t>
  </si>
  <si>
    <t>11.35</t>
  </si>
  <si>
    <t>حريل02</t>
  </si>
  <si>
    <t>اجاره ريل پردازسير021212</t>
  </si>
  <si>
    <t>اخزا624</t>
  </si>
  <si>
    <t>اسنادخزانه-م24بودجه96-990625</t>
  </si>
  <si>
    <t>وصندوق</t>
  </si>
  <si>
    <t>سرمايه‌گذاري‌صندوق‌بازنشستگي‌</t>
  </si>
  <si>
    <t>568</t>
  </si>
  <si>
    <t>6.7</t>
  </si>
  <si>
    <t>ضفلا1145</t>
  </si>
  <si>
    <t>اختيارخ فولاد-5700-1398/11/27</t>
  </si>
  <si>
    <t>سيدكو</t>
  </si>
  <si>
    <t>سرمايه گذاري توسعه صنايع سيمان</t>
  </si>
  <si>
    <t>طفلا8053</t>
  </si>
  <si>
    <t>اختيارف فولاد-6700-1398/08/26</t>
  </si>
  <si>
    <t>كبورس</t>
  </si>
  <si>
    <t>كارگزاران بورس اوراق بهادار</t>
  </si>
  <si>
    <t>597</t>
  </si>
  <si>
    <t>19.25</t>
  </si>
  <si>
    <t>توريل</t>
  </si>
  <si>
    <t>توکاريل</t>
  </si>
  <si>
    <t>9.04</t>
  </si>
  <si>
    <t>وساپا</t>
  </si>
  <si>
    <t>سرمايه‌گذاري‌ سايپا</t>
  </si>
  <si>
    <t>56</t>
  </si>
  <si>
    <t>25.64</t>
  </si>
  <si>
    <t>قشهد</t>
  </si>
  <si>
    <t>شهد</t>
  </si>
  <si>
    <t>867</t>
  </si>
  <si>
    <t>15.4</t>
  </si>
  <si>
    <t>ضچاد1004</t>
  </si>
  <si>
    <t>اختيارخ كچاد-3900-1398/10/04</t>
  </si>
  <si>
    <t>غويتا</t>
  </si>
  <si>
    <t>ويتانا</t>
  </si>
  <si>
    <t>745</t>
  </si>
  <si>
    <t>20.22</t>
  </si>
  <si>
    <t>ضخوز7008</t>
  </si>
  <si>
    <t>اختيارخ فخوز-11000-1398/07/30</t>
  </si>
  <si>
    <t>مبين015</t>
  </si>
  <si>
    <t>اجاره اعتماد مبين تمدن011019</t>
  </si>
  <si>
    <t>تسه9706</t>
  </si>
  <si>
    <t>امتياز تسهيلات مسكن شهريور97</t>
  </si>
  <si>
    <t>خديزل</t>
  </si>
  <si>
    <t>بهمن  ديزل</t>
  </si>
  <si>
    <t>536</t>
  </si>
  <si>
    <t>12.58</t>
  </si>
  <si>
    <t>تسه9708</t>
  </si>
  <si>
    <t>امتياز تسهيلات مسكن آبان97</t>
  </si>
  <si>
    <t>سامان</t>
  </si>
  <si>
    <t>بانك سامان</t>
  </si>
  <si>
    <t>1233</t>
  </si>
  <si>
    <t>2.22</t>
  </si>
  <si>
    <t>والبرح</t>
  </si>
  <si>
    <t>ح . سرمايه گذاري‌البرز(هلدينگ‌</t>
  </si>
  <si>
    <t>كرماشا</t>
  </si>
  <si>
    <t>صنايع پتروشيمي كرمانشاه</t>
  </si>
  <si>
    <t>1969</t>
  </si>
  <si>
    <t>5.14</t>
  </si>
  <si>
    <t>فاذر</t>
  </si>
  <si>
    <t>صنايع‌ آذرآب‌</t>
  </si>
  <si>
    <t>36.8</t>
  </si>
  <si>
    <t>شتوكا</t>
  </si>
  <si>
    <t>توكا رنگ فولاد سپاهان</t>
  </si>
  <si>
    <t>940</t>
  </si>
  <si>
    <t>34.21</t>
  </si>
  <si>
    <t>شيراز</t>
  </si>
  <si>
    <t>پتروشيمي‌شيراز</t>
  </si>
  <si>
    <t>1893</t>
  </si>
  <si>
    <t>5.3</t>
  </si>
  <si>
    <t>شلعاب</t>
  </si>
  <si>
    <t>لعابيران‌</t>
  </si>
  <si>
    <t>44</t>
  </si>
  <si>
    <t>302.36</t>
  </si>
  <si>
    <t>انرژي3</t>
  </si>
  <si>
    <t>ساير اشخاص بورس انرژي</t>
  </si>
  <si>
    <t>102.29</t>
  </si>
  <si>
    <t>ثفارسح</t>
  </si>
  <si>
    <t>ح . عمران‌وتوسعه‌فارس‌</t>
  </si>
  <si>
    <t>خمحركه</t>
  </si>
  <si>
    <t>نيرو محركه‌</t>
  </si>
  <si>
    <t>49</t>
  </si>
  <si>
    <t>111.12</t>
  </si>
  <si>
    <t>سپاس</t>
  </si>
  <si>
    <t>صندوق س. پاداش سهامداري توسعه1</t>
  </si>
  <si>
    <t>نيرو</t>
  </si>
  <si>
    <t>نيرو سرمايه</t>
  </si>
  <si>
    <t>938</t>
  </si>
  <si>
    <t>12.43</t>
  </si>
  <si>
    <t>تسه9702</t>
  </si>
  <si>
    <t>امتياز تسهيلات مسكن ارديبهشت97</t>
  </si>
  <si>
    <t>صگل411</t>
  </si>
  <si>
    <t>ضفلا8048</t>
  </si>
  <si>
    <t>اختيارخ فولاد-4500-1398/08/26</t>
  </si>
  <si>
    <t>اتكاي</t>
  </si>
  <si>
    <t>بيمه اتكايي ايرانيان</t>
  </si>
  <si>
    <t>510</t>
  </si>
  <si>
    <t>5.21</t>
  </si>
  <si>
    <t>جوپار99</t>
  </si>
  <si>
    <t>اوراق اجاره جوپار 990212</t>
  </si>
  <si>
    <t>بمپنا</t>
  </si>
  <si>
    <t>توليد برق عسلويه  مپنا</t>
  </si>
  <si>
    <t>669</t>
  </si>
  <si>
    <t>62.04</t>
  </si>
  <si>
    <t>شرنگي</t>
  </si>
  <si>
    <t>شيميايي رنگين</t>
  </si>
  <si>
    <t>883</t>
  </si>
  <si>
    <t>117.03</t>
  </si>
  <si>
    <t>وثخوز</t>
  </si>
  <si>
    <t>سرمايه گذاري و توسعه خوزستان</t>
  </si>
  <si>
    <t>-4735.67</t>
  </si>
  <si>
    <t>اخزا623</t>
  </si>
  <si>
    <t>اسنادخزانه-م23بودجه96-990528</t>
  </si>
  <si>
    <t>دروز</t>
  </si>
  <si>
    <t>داروسازي‌ روزدارو</t>
  </si>
  <si>
    <t>1143.29</t>
  </si>
  <si>
    <t>ضمخا7029</t>
  </si>
  <si>
    <t>اختيارخ اخابر-4400-1399/07/30</t>
  </si>
  <si>
    <t>ضفلا8045</t>
  </si>
  <si>
    <t>اختيارخ فولاد-3900-1398/08/26</t>
  </si>
  <si>
    <t>قصفها</t>
  </si>
  <si>
    <t>قنداصفهان‌</t>
  </si>
  <si>
    <t>2192</t>
  </si>
  <si>
    <t>13.43</t>
  </si>
  <si>
    <t>ضخوز7007</t>
  </si>
  <si>
    <t>اختيارخ فخوز-10000-1398/07/30</t>
  </si>
  <si>
    <t>رانفور</t>
  </si>
  <si>
    <t>خدمات‌انفورماتيك‌</t>
  </si>
  <si>
    <t>1418</t>
  </si>
  <si>
    <t>10.89</t>
  </si>
  <si>
    <t>تسه97042</t>
  </si>
  <si>
    <t>صخابر102</t>
  </si>
  <si>
    <t>صكوك اجاره مخابرات-3 ماهه 16%</t>
  </si>
  <si>
    <t>شدوص</t>
  </si>
  <si>
    <t>دوده‌ صنعتي‌ پارس‌</t>
  </si>
  <si>
    <t>587</t>
  </si>
  <si>
    <t>16.27</t>
  </si>
  <si>
    <t>ضملت8005</t>
  </si>
  <si>
    <t>اختيارخ وبملت-3400-1398/08/29</t>
  </si>
  <si>
    <t>ثاژن</t>
  </si>
  <si>
    <t>سخت آژند</t>
  </si>
  <si>
    <t>ضمخا3022</t>
  </si>
  <si>
    <t>اختيارخ اخابر-4400-1399/03/27</t>
  </si>
  <si>
    <t>ضسان7039</t>
  </si>
  <si>
    <t>اختيارخ پارسان-6500-1398/07/24</t>
  </si>
  <si>
    <t>فولاد آلياژي ايران</t>
  </si>
  <si>
    <t>852</t>
  </si>
  <si>
    <t>7.69</t>
  </si>
  <si>
    <t>تبريز112</t>
  </si>
  <si>
    <t>مشاركت شهرداري تبريز-3ماهه18%</t>
  </si>
  <si>
    <t>ضبدر8034</t>
  </si>
  <si>
    <t>اختيارخ شبندر-16300-1398/08/14</t>
  </si>
  <si>
    <t>رتاپ</t>
  </si>
  <si>
    <t>تجارت الكترونيك  پارسيان</t>
  </si>
  <si>
    <t>455</t>
  </si>
  <si>
    <t>8.7</t>
  </si>
  <si>
    <t>سفار</t>
  </si>
  <si>
    <t>سيمان‌فارس‌</t>
  </si>
  <si>
    <t>825</t>
  </si>
  <si>
    <t>سهگمت</t>
  </si>
  <si>
    <t>سيمان‌هگمتان‌</t>
  </si>
  <si>
    <t>11.55</t>
  </si>
  <si>
    <t>فولاد اميركبيركاشان</t>
  </si>
  <si>
    <t>2443</t>
  </si>
  <si>
    <t>5.65</t>
  </si>
  <si>
    <t>صفارس412</t>
  </si>
  <si>
    <t>صكوك اجاره خليج فارس- 3ماهه16%</t>
  </si>
  <si>
    <t>ضپار1109</t>
  </si>
  <si>
    <t>اختيارخ خپارس-1700-1398/11/13</t>
  </si>
  <si>
    <t>وشهر</t>
  </si>
  <si>
    <t>بانك شهر</t>
  </si>
  <si>
    <t>-2548</t>
  </si>
  <si>
    <t>-0.45</t>
  </si>
  <si>
    <t>بساما</t>
  </si>
  <si>
    <t>بيمه سامان</t>
  </si>
  <si>
    <t>370</t>
  </si>
  <si>
    <t>13.77</t>
  </si>
  <si>
    <t>وسديد</t>
  </si>
  <si>
    <t>گروه ‌صنعتي‌سديد</t>
  </si>
  <si>
    <t>-80</t>
  </si>
  <si>
    <t>-34.63</t>
  </si>
  <si>
    <t>تليسه</t>
  </si>
  <si>
    <t>دامداري تليسه نمونه</t>
  </si>
  <si>
    <t>523</t>
  </si>
  <si>
    <t>40.75</t>
  </si>
  <si>
    <t>وملي</t>
  </si>
  <si>
    <t>گروه‌ صنعتي‌ ملي‌ (هلدينگ‌</t>
  </si>
  <si>
    <t>15</t>
  </si>
  <si>
    <t>4423.47</t>
  </si>
  <si>
    <t>پتاير</t>
  </si>
  <si>
    <t>ايران‌ تاير</t>
  </si>
  <si>
    <t>1386</t>
  </si>
  <si>
    <t>12.78</t>
  </si>
  <si>
    <t>سخوز</t>
  </si>
  <si>
    <t>سيمان خوزستان</t>
  </si>
  <si>
    <t>7.73</t>
  </si>
  <si>
    <t>مشير9911</t>
  </si>
  <si>
    <t>مشاركت شهرداري شيراز-3ماهه16%</t>
  </si>
  <si>
    <t>اخزا723</t>
  </si>
  <si>
    <t>اسنادخزانه-م23بودجه97-000824</t>
  </si>
  <si>
    <t>خاذين</t>
  </si>
  <si>
    <t>سايپاآذين‌</t>
  </si>
  <si>
    <t>-140</t>
  </si>
  <si>
    <t>-17.59</t>
  </si>
  <si>
    <t>جشكر903</t>
  </si>
  <si>
    <t>آتي ش قند و شكر-1399/03/31</t>
  </si>
  <si>
    <t>خپارس</t>
  </si>
  <si>
    <t>پارس‌ خودرو</t>
  </si>
  <si>
    <t>-1008</t>
  </si>
  <si>
    <t>-1.26</t>
  </si>
  <si>
    <t>غبشهر</t>
  </si>
  <si>
    <t>صنعتي‌ بهشهر</t>
  </si>
  <si>
    <t>373</t>
  </si>
  <si>
    <t>18.73</t>
  </si>
  <si>
    <t>اخزا720</t>
  </si>
  <si>
    <t>اسنادخزانه-م20بودجه97-000324</t>
  </si>
  <si>
    <t>كشرق</t>
  </si>
  <si>
    <t>صنعتي و معدني شمال شرق شاهرود</t>
  </si>
  <si>
    <t>102</t>
  </si>
  <si>
    <t>275.68</t>
  </si>
  <si>
    <t>كصدف</t>
  </si>
  <si>
    <t>كاشي صدف سرام استقلال آباده</t>
  </si>
  <si>
    <t>-70.69</t>
  </si>
  <si>
    <t>اوصتا2</t>
  </si>
  <si>
    <t>صندوق انديشه ورزان صباتامين -د</t>
  </si>
  <si>
    <t>چنوپا</t>
  </si>
  <si>
    <t>نيوپان‌ 22 بهمن‌</t>
  </si>
  <si>
    <t>793</t>
  </si>
  <si>
    <t>0.09</t>
  </si>
  <si>
    <t>فسلير</t>
  </si>
  <si>
    <t>سوليران‌</t>
  </si>
  <si>
    <t>-786</t>
  </si>
  <si>
    <t>-18.71</t>
  </si>
  <si>
    <t>حكمت01</t>
  </si>
  <si>
    <t>مشاركت حكمت ايرانيان 140107</t>
  </si>
  <si>
    <t>تپمپي</t>
  </si>
  <si>
    <t>پمپ‌ سازي‌ ايران‌</t>
  </si>
  <si>
    <t>638</t>
  </si>
  <si>
    <t>17.24</t>
  </si>
  <si>
    <t>ضغدر8008</t>
  </si>
  <si>
    <t>اختيارخ وغدير-3200-1398/08/22</t>
  </si>
  <si>
    <t>ضافق1111</t>
  </si>
  <si>
    <t>اختيارخ افق-78000-1398/11/02</t>
  </si>
  <si>
    <t>كبافق</t>
  </si>
  <si>
    <t>معادن‌ بافق‌</t>
  </si>
  <si>
    <t>5164</t>
  </si>
  <si>
    <t>14.83</t>
  </si>
  <si>
    <t>وسبحان</t>
  </si>
  <si>
    <t>سرمايه گذاري سبحان</t>
  </si>
  <si>
    <t>750</t>
  </si>
  <si>
    <t>3.75</t>
  </si>
  <si>
    <t>وسرمد</t>
  </si>
  <si>
    <t>بيمه  سرمد</t>
  </si>
  <si>
    <t>264</t>
  </si>
  <si>
    <t>13.2</t>
  </si>
  <si>
    <t>ضبدر1140</t>
  </si>
  <si>
    <t>اختيارخ شبندر-18300-1398/11/13</t>
  </si>
  <si>
    <t>قمرو</t>
  </si>
  <si>
    <t>قند مرودشت‌</t>
  </si>
  <si>
    <t>1232</t>
  </si>
  <si>
    <t>14.22</t>
  </si>
  <si>
    <t>هاي وب</t>
  </si>
  <si>
    <t>داده گسترعصرنوين-هاي وب</t>
  </si>
  <si>
    <t>191</t>
  </si>
  <si>
    <t>40.04</t>
  </si>
  <si>
    <t>دحاوي</t>
  </si>
  <si>
    <t>الحاوي</t>
  </si>
  <si>
    <t>448</t>
  </si>
  <si>
    <t>22.17</t>
  </si>
  <si>
    <t>ضملت8009</t>
  </si>
  <si>
    <t>اختيارخ وبملت-4200-1398/08/29</t>
  </si>
  <si>
    <t>لوتوسح</t>
  </si>
  <si>
    <t>ح . تامين سرمايه لوتوس پارسيان</t>
  </si>
  <si>
    <t>كوير</t>
  </si>
  <si>
    <t>توليدي فولاد سپيد فراب كوير</t>
  </si>
  <si>
    <t>2046</t>
  </si>
  <si>
    <t>3.41</t>
  </si>
  <si>
    <t>خراسان</t>
  </si>
  <si>
    <t>پتروشيمي خراسان</t>
  </si>
  <si>
    <t>3929</t>
  </si>
  <si>
    <t>دسبحا</t>
  </si>
  <si>
    <t>گروه دارويي سبحان</t>
  </si>
  <si>
    <t>620</t>
  </si>
  <si>
    <t>10.59</t>
  </si>
  <si>
    <t>فزرين</t>
  </si>
  <si>
    <t>زرين معدن آسيا</t>
  </si>
  <si>
    <t>792</t>
  </si>
  <si>
    <t>14.71</t>
  </si>
  <si>
    <t>ضفلا2031</t>
  </si>
  <si>
    <t>اختيارخ فولاد-4800-1399/02/31</t>
  </si>
  <si>
    <t>صبا1401</t>
  </si>
  <si>
    <t>اجاره مهندسي صبا نفت14010225</t>
  </si>
  <si>
    <t>شفارس</t>
  </si>
  <si>
    <t>صنايع‌ شيميايي‌ فارس‌</t>
  </si>
  <si>
    <t>105.31</t>
  </si>
  <si>
    <t>مبين016</t>
  </si>
  <si>
    <t>اجاره اعتماد مبين اميد011019</t>
  </si>
  <si>
    <t>سمايه</t>
  </si>
  <si>
    <t>بانك سرمايه</t>
  </si>
  <si>
    <t>-18104</t>
  </si>
  <si>
    <t>-0.07</t>
  </si>
  <si>
    <t>وگستر</t>
  </si>
  <si>
    <t>گسترش سرمايه گذاري ايرانيان</t>
  </si>
  <si>
    <t>9.21</t>
  </si>
  <si>
    <t>ودي</t>
  </si>
  <si>
    <t>بيمه  دي</t>
  </si>
  <si>
    <t>460</t>
  </si>
  <si>
    <t>5.31</t>
  </si>
  <si>
    <t>ضمخا7033</t>
  </si>
  <si>
    <t>اختيارخ اخابر-5500-1399/07/30</t>
  </si>
  <si>
    <t>شرانل</t>
  </si>
  <si>
    <t>نفت ايرانول</t>
  </si>
  <si>
    <t>1814</t>
  </si>
  <si>
    <t>6.91</t>
  </si>
  <si>
    <t>پشاهن</t>
  </si>
  <si>
    <t>توليدي پلاستيك‌ شاهين</t>
  </si>
  <si>
    <t>314</t>
  </si>
  <si>
    <t>20.67</t>
  </si>
  <si>
    <t>تسه97122</t>
  </si>
  <si>
    <t>امتياز تسهيلات مسكن اسفند97</t>
  </si>
  <si>
    <t>شگل</t>
  </si>
  <si>
    <t>گلتاش‌</t>
  </si>
  <si>
    <t>1373</t>
  </si>
  <si>
    <t>10.62</t>
  </si>
  <si>
    <t>ضچاد1011</t>
  </si>
  <si>
    <t>اختيارخ كچاد-6500-1398/10/04</t>
  </si>
  <si>
    <t>فاهواز</t>
  </si>
  <si>
    <t>نورد و لوله اهواز</t>
  </si>
  <si>
    <t>-48</t>
  </si>
  <si>
    <t>-26.79</t>
  </si>
  <si>
    <t>كالا</t>
  </si>
  <si>
    <t>بورس كالاي ايران</t>
  </si>
  <si>
    <t>167</t>
  </si>
  <si>
    <t>73.49</t>
  </si>
  <si>
    <t>حآسا</t>
  </si>
  <si>
    <t>آسيا سير ارس</t>
  </si>
  <si>
    <t>133</t>
  </si>
  <si>
    <t>49.19</t>
  </si>
  <si>
    <t>گكيش</t>
  </si>
  <si>
    <t>توريستي ورفاهي آبادگران كيش</t>
  </si>
  <si>
    <t>221</t>
  </si>
  <si>
    <t>54.77</t>
  </si>
  <si>
    <t>ساروج</t>
  </si>
  <si>
    <t>بين المللي ساروج بوشهر</t>
  </si>
  <si>
    <t>989</t>
  </si>
  <si>
    <t>7.58</t>
  </si>
  <si>
    <t>دي</t>
  </si>
  <si>
    <t>بانك دي</t>
  </si>
  <si>
    <t>-5838</t>
  </si>
  <si>
    <t>-0.6</t>
  </si>
  <si>
    <t>غچين</t>
  </si>
  <si>
    <t>كشت‌ و صنعت‌ چين‌ چين</t>
  </si>
  <si>
    <t>1636</t>
  </si>
  <si>
    <t>21</t>
  </si>
  <si>
    <t>خساپا</t>
  </si>
  <si>
    <t>سايپا</t>
  </si>
  <si>
    <t>-1626</t>
  </si>
  <si>
    <t>-1.16</t>
  </si>
  <si>
    <t>قثابت</t>
  </si>
  <si>
    <t>قند ثابت‌ خراسان‌</t>
  </si>
  <si>
    <t>189</t>
  </si>
  <si>
    <t>117.2</t>
  </si>
  <si>
    <t>وثنو</t>
  </si>
  <si>
    <t>سرمايه گذاري ساختماني نوين</t>
  </si>
  <si>
    <t>456</t>
  </si>
  <si>
    <t>11.8</t>
  </si>
  <si>
    <t>وسينا</t>
  </si>
  <si>
    <t>بانك سينا</t>
  </si>
  <si>
    <t>107</t>
  </si>
  <si>
    <t>21.19</t>
  </si>
  <si>
    <t>تفيرو</t>
  </si>
  <si>
    <t>مهندسي فيروزا</t>
  </si>
  <si>
    <t>-1081</t>
  </si>
  <si>
    <t>-15.95</t>
  </si>
  <si>
    <t>ثنظام</t>
  </si>
  <si>
    <t>س. ساختماني نظام مهندسي ايران</t>
  </si>
  <si>
    <t>71</t>
  </si>
  <si>
    <t>310.03</t>
  </si>
  <si>
    <t>ضپار8005</t>
  </si>
  <si>
    <t>اختيارخ خپارس-1300-1398/08/14</t>
  </si>
  <si>
    <t>ولساپا</t>
  </si>
  <si>
    <t>ليزينگ رايان‌ سايپا</t>
  </si>
  <si>
    <t>226</t>
  </si>
  <si>
    <t>8.51</t>
  </si>
  <si>
    <t>صايند</t>
  </si>
  <si>
    <t>صندوق س. گنجينه آينده روشن-د</t>
  </si>
  <si>
    <t>ضسان7034</t>
  </si>
  <si>
    <t>اختيارخ پارسان-4600-1398/07/24</t>
  </si>
  <si>
    <t>ضمخا1017</t>
  </si>
  <si>
    <t>اختيارخ اخابر-4600-1398/10/11</t>
  </si>
  <si>
    <t>بخاور</t>
  </si>
  <si>
    <t>بيمه زندگي خاورميانه</t>
  </si>
  <si>
    <t>123</t>
  </si>
  <si>
    <t>12.2</t>
  </si>
  <si>
    <t>غپآذر</t>
  </si>
  <si>
    <t>شير پگاه آذربايجان شرقي</t>
  </si>
  <si>
    <t>364</t>
  </si>
  <si>
    <t>47.29</t>
  </si>
  <si>
    <t>كايتا</t>
  </si>
  <si>
    <t>ايتالران‌</t>
  </si>
  <si>
    <t>201</t>
  </si>
  <si>
    <t>246.07</t>
  </si>
  <si>
    <t>لكما</t>
  </si>
  <si>
    <t>كارخانجات‌مخابراتي‌ايران‌</t>
  </si>
  <si>
    <t>-121</t>
  </si>
  <si>
    <t>-28.62</t>
  </si>
  <si>
    <t>امين يكم</t>
  </si>
  <si>
    <t>صندوق درآمد ثابت امين يكم فردا</t>
  </si>
  <si>
    <t>ضفلا8040</t>
  </si>
  <si>
    <t>اختيارخ فولاد-2900-1398/08/26</t>
  </si>
  <si>
    <t>خرينگ</t>
  </si>
  <si>
    <t>رينگ‌سازي‌مشهد</t>
  </si>
  <si>
    <t>25</t>
  </si>
  <si>
    <t>206.08</t>
  </si>
  <si>
    <t>بفجر</t>
  </si>
  <si>
    <t>فجر انرژي خليج فارس</t>
  </si>
  <si>
    <t>1106</t>
  </si>
  <si>
    <t>8.87</t>
  </si>
  <si>
    <t>زير9903پ03</t>
  </si>
  <si>
    <t>زيره سبز9903شركت بيهق(پ)</t>
  </si>
  <si>
    <t>فولاد مباركه اصفهان</t>
  </si>
  <si>
    <t>1104</t>
  </si>
  <si>
    <t>4.1</t>
  </si>
  <si>
    <t>كرانه99</t>
  </si>
  <si>
    <t>مرابحه بنا گستر كرانه991222</t>
  </si>
  <si>
    <t>ضچاد1010</t>
  </si>
  <si>
    <t>اختيارخ كچاد-6000-1398/10/04</t>
  </si>
  <si>
    <t>طلا</t>
  </si>
  <si>
    <t>صندوق س.پشتوانه طلاي لوتوس</t>
  </si>
  <si>
    <t>سمگا</t>
  </si>
  <si>
    <t>گروه سرمايه گذاري ميراث فرهنگي</t>
  </si>
  <si>
    <t>بترانس</t>
  </si>
  <si>
    <t>ايران‌ ترانسفو</t>
  </si>
  <si>
    <t>462</t>
  </si>
  <si>
    <t>16.13</t>
  </si>
  <si>
    <t>اتكام</t>
  </si>
  <si>
    <t>شركت بيمه اتكايي امين</t>
  </si>
  <si>
    <t>343</t>
  </si>
  <si>
    <t>10.24</t>
  </si>
  <si>
    <t>اخزا721</t>
  </si>
  <si>
    <t>اسنادخزانه-م21بودجه97-000728</t>
  </si>
  <si>
    <t>وآيند</t>
  </si>
  <si>
    <t>بانك  آينده</t>
  </si>
  <si>
    <t>106</t>
  </si>
  <si>
    <t>15.89</t>
  </si>
  <si>
    <t>ضمخا3020</t>
  </si>
  <si>
    <t>اختيارخ اخابر-4000-1399/03/27</t>
  </si>
  <si>
    <t>وصنا</t>
  </si>
  <si>
    <t>گروه‌صنايع‌بهشهرايران‌</t>
  </si>
  <si>
    <t>604</t>
  </si>
  <si>
    <t>4.82</t>
  </si>
  <si>
    <t>ضپار1108</t>
  </si>
  <si>
    <t>اختيارخ خپارس-1600-1398/11/13</t>
  </si>
  <si>
    <t>وتوكا</t>
  </si>
  <si>
    <t>سرمايه‌گذاري‌توكافولاد(هلدينگ</t>
  </si>
  <si>
    <t>196</t>
  </si>
  <si>
    <t>25.84</t>
  </si>
  <si>
    <t>ضچاد1008</t>
  </si>
  <si>
    <t>اختيارخ كچاد-5300-1398/10/04</t>
  </si>
  <si>
    <t>ونوين</t>
  </si>
  <si>
    <t>بانك‌اقتصادنوين‌</t>
  </si>
  <si>
    <t>-184</t>
  </si>
  <si>
    <t>-20.17</t>
  </si>
  <si>
    <t>وخاور</t>
  </si>
  <si>
    <t>بانك خاورميانه</t>
  </si>
  <si>
    <t>703</t>
  </si>
  <si>
    <t>5.7</t>
  </si>
  <si>
    <t>دسانكو</t>
  </si>
  <si>
    <t>داروسازي سبحان انكولوژي</t>
  </si>
  <si>
    <t>170</t>
  </si>
  <si>
    <t>37.92</t>
  </si>
  <si>
    <t>بسويچ</t>
  </si>
  <si>
    <t>پارس‌سويچ‌</t>
  </si>
  <si>
    <t>731</t>
  </si>
  <si>
    <t>27.36</t>
  </si>
  <si>
    <t>ثتوسا</t>
  </si>
  <si>
    <t>س.توسعه و عمران استان اردبيل</t>
  </si>
  <si>
    <t>60.82</t>
  </si>
  <si>
    <t>سيستم</t>
  </si>
  <si>
    <t>همكاران سيستم</t>
  </si>
  <si>
    <t>763</t>
  </si>
  <si>
    <t>11.04</t>
  </si>
  <si>
    <t>سخوزح</t>
  </si>
  <si>
    <t>ح . سيمان خوزستان</t>
  </si>
  <si>
    <t>واعتبار</t>
  </si>
  <si>
    <t>سرمايه گذاري اعتبار ايران</t>
  </si>
  <si>
    <t>474</t>
  </si>
  <si>
    <t>6.98</t>
  </si>
  <si>
    <t>ضملت8014</t>
  </si>
  <si>
    <t>اختيارخ وبملت-5500-1398/08/29</t>
  </si>
  <si>
    <t>وكار</t>
  </si>
  <si>
    <t>بانك‌ كارآفرين‌</t>
  </si>
  <si>
    <t>232</t>
  </si>
  <si>
    <t>13.81</t>
  </si>
  <si>
    <t>عسناسنگ</t>
  </si>
  <si>
    <t>سلف كنستانتره سنگ آهن سناباد</t>
  </si>
  <si>
    <t>وبانك</t>
  </si>
  <si>
    <t>سرمايه گذاري گروه توسعه ملي</t>
  </si>
  <si>
    <t>5.36</t>
  </si>
  <si>
    <t>صايپا412</t>
  </si>
  <si>
    <t>صكوك مرابحه سايپا412-3ماهه 16%</t>
  </si>
  <si>
    <t>ولبهمن</t>
  </si>
  <si>
    <t>شركت بهمن ليزينگ</t>
  </si>
  <si>
    <t>11.3</t>
  </si>
  <si>
    <t>تسه9612</t>
  </si>
  <si>
    <t>امتياز تسهيلات مسكن اسفند96</t>
  </si>
  <si>
    <t>اجاد22</t>
  </si>
  <si>
    <t>اجاره دولتي آپرورش-لوتوس991118</t>
  </si>
  <si>
    <t>صمسكن912</t>
  </si>
  <si>
    <t>ص دين مسكن جنوب-ماهانه16درصد</t>
  </si>
  <si>
    <t>ضملت1110</t>
  </si>
  <si>
    <t>اختيارخ وبملت-4400-1398/11/30</t>
  </si>
  <si>
    <t>دانا</t>
  </si>
  <si>
    <t>بيمه دانا</t>
  </si>
  <si>
    <t>24.39</t>
  </si>
  <si>
    <t>غنوش</t>
  </si>
  <si>
    <t>نوش‌ مازندران‌</t>
  </si>
  <si>
    <t>فلوله</t>
  </si>
  <si>
    <t>لوله‌وماشين‌سازي‌ايران‌</t>
  </si>
  <si>
    <t>1146.64</t>
  </si>
  <si>
    <t>سلامت5</t>
  </si>
  <si>
    <t>مرابحه دولتي تعاون-نوين991118</t>
  </si>
  <si>
    <t>شبريز</t>
  </si>
  <si>
    <t>پالايش نفت تبريز</t>
  </si>
  <si>
    <t>5063</t>
  </si>
  <si>
    <t>7.52</t>
  </si>
  <si>
    <t>صخود1412</t>
  </si>
  <si>
    <t>ص مرابحه خودرو1412- 3ماهه 18%</t>
  </si>
  <si>
    <t>ضغدر8003</t>
  </si>
  <si>
    <t>اختيارخ وغدير-2200-1398/08/22</t>
  </si>
  <si>
    <t>طسان7047</t>
  </si>
  <si>
    <t>اختيارف پارسان-8000-1398/07/24</t>
  </si>
  <si>
    <t>خگستر</t>
  </si>
  <si>
    <t>گسترش‌سرمايه‌گذاري‌ايران‌خودرو</t>
  </si>
  <si>
    <t>57</t>
  </si>
  <si>
    <t>162.49</t>
  </si>
  <si>
    <t>دعبيد</t>
  </si>
  <si>
    <t>لابراتوارداروسازي‌  دكترعبيدي‌</t>
  </si>
  <si>
    <t>798</t>
  </si>
  <si>
    <t>43.53</t>
  </si>
  <si>
    <t>شسپا</t>
  </si>
  <si>
    <t>نفت سپاهان</t>
  </si>
  <si>
    <t>1994</t>
  </si>
  <si>
    <t>4.97</t>
  </si>
  <si>
    <t>ضپيك1007</t>
  </si>
  <si>
    <t>اختيارخ تاپيكو-2800-1398/10/30</t>
  </si>
  <si>
    <t>ضملي8041</t>
  </si>
  <si>
    <t>اختيارخ فملي -4050-1398/08/19</t>
  </si>
  <si>
    <t>كاذر</t>
  </si>
  <si>
    <t>فرآورده‌هاي‌نسوزآذر</t>
  </si>
  <si>
    <t>582</t>
  </si>
  <si>
    <t>15.09</t>
  </si>
  <si>
    <t>فبيرا</t>
  </si>
  <si>
    <t>بسته‌ بندي‌ ايران‌</t>
  </si>
  <si>
    <t>14.59</t>
  </si>
  <si>
    <t>افق</t>
  </si>
  <si>
    <t>فروشگاههاي زنجيره اي افق كوروش</t>
  </si>
  <si>
    <t>3502</t>
  </si>
  <si>
    <t>17.05</t>
  </si>
  <si>
    <t>اجاد26</t>
  </si>
  <si>
    <t>اجاره دولتي آپرورش-اميد991118</t>
  </si>
  <si>
    <t>جهرم</t>
  </si>
  <si>
    <t>پتروشيمي جهرم</t>
  </si>
  <si>
    <t>78.6</t>
  </si>
  <si>
    <t>ضفلا1142</t>
  </si>
  <si>
    <t>اختيارخ فولاد-4500-1398/11/27</t>
  </si>
  <si>
    <t>عمرغ2</t>
  </si>
  <si>
    <t>اوراق سلف مرغ منجمد بهپرور</t>
  </si>
  <si>
    <t>اكالا</t>
  </si>
  <si>
    <t>كارگزاران بورس كالاي ايران</t>
  </si>
  <si>
    <t>51</t>
  </si>
  <si>
    <t>236.12</t>
  </si>
  <si>
    <t>كيسون</t>
  </si>
  <si>
    <t>شركت كيسون</t>
  </si>
  <si>
    <t>104</t>
  </si>
  <si>
    <t>27.65</t>
  </si>
  <si>
    <t>تاپكيش</t>
  </si>
  <si>
    <t>تجارت الكترونيك پارسيان كيش</t>
  </si>
  <si>
    <t>934</t>
  </si>
  <si>
    <t>دامين</t>
  </si>
  <si>
    <t>داروسازي‌ امين‌</t>
  </si>
  <si>
    <t>840</t>
  </si>
  <si>
    <t>13.23</t>
  </si>
  <si>
    <t>ختور</t>
  </si>
  <si>
    <t>رادياتور ايران‌</t>
  </si>
  <si>
    <t>422</t>
  </si>
  <si>
    <t>21.07</t>
  </si>
  <si>
    <t>پارسيانح</t>
  </si>
  <si>
    <t>ح.بيمه پارسيان</t>
  </si>
  <si>
    <t>سلامت2</t>
  </si>
  <si>
    <t>مرابحه دولت تعاون-كاردان991118</t>
  </si>
  <si>
    <t>ضمخا1018</t>
  </si>
  <si>
    <t>اختيارخ اخابر-4800-1398/10/11</t>
  </si>
  <si>
    <t>كمنگنز</t>
  </si>
  <si>
    <t>معادن‌منگنزايران‌</t>
  </si>
  <si>
    <t>2032</t>
  </si>
  <si>
    <t>11.56</t>
  </si>
  <si>
    <t>لازما</t>
  </si>
  <si>
    <t>كارخانه هاي صنعتي آزمايش</t>
  </si>
  <si>
    <t>-102</t>
  </si>
  <si>
    <t>-63.09</t>
  </si>
  <si>
    <t xml:space="preserve">معيار </t>
  </si>
  <si>
    <t>سرمايه گذاري معيار صنعت پارس</t>
  </si>
  <si>
    <t>-1</t>
  </si>
  <si>
    <t>-16857</t>
  </si>
  <si>
    <t>كمرجان</t>
  </si>
  <si>
    <t>بازرگاني و توليدي مرجان كار</t>
  </si>
  <si>
    <t>139</t>
  </si>
  <si>
    <t>122.78</t>
  </si>
  <si>
    <t>غيوان</t>
  </si>
  <si>
    <t>كيوان</t>
  </si>
  <si>
    <t>-473</t>
  </si>
  <si>
    <t>-21.04</t>
  </si>
  <si>
    <t>ضترا8009</t>
  </si>
  <si>
    <t>اختيارخ شتران-5019-1398/08/12</t>
  </si>
  <si>
    <t>طخود1036</t>
  </si>
  <si>
    <t>اختيارف خودرو-10000-1398/10/15</t>
  </si>
  <si>
    <t>كرمان</t>
  </si>
  <si>
    <t>س. توسعه و عمران استان كرمان</t>
  </si>
  <si>
    <t>1496</t>
  </si>
  <si>
    <t>26.52</t>
  </si>
  <si>
    <t>اخزا604</t>
  </si>
  <si>
    <t>اسنادخزانه-م4بودجه96-980820</t>
  </si>
  <si>
    <t>اشاد8</t>
  </si>
  <si>
    <t>مشاركت دولتي8-شرايط خاص981030</t>
  </si>
  <si>
    <t>آسيا</t>
  </si>
  <si>
    <t>بيمه آسيا</t>
  </si>
  <si>
    <t>310</t>
  </si>
  <si>
    <t>16.88</t>
  </si>
  <si>
    <t>غشوكو</t>
  </si>
  <si>
    <t>شوكو پارس</t>
  </si>
  <si>
    <t>134</t>
  </si>
  <si>
    <t>131.25</t>
  </si>
  <si>
    <t>اروند02</t>
  </si>
  <si>
    <t>منفعت صبا اروند امين14001113</t>
  </si>
  <si>
    <t>تابا</t>
  </si>
  <si>
    <t>تابان نيرو سپاهان</t>
  </si>
  <si>
    <t>658</t>
  </si>
  <si>
    <t>13.56</t>
  </si>
  <si>
    <t>شتران</t>
  </si>
  <si>
    <t>پالايش نفت تهران</t>
  </si>
  <si>
    <t>1047</t>
  </si>
  <si>
    <t>5.9</t>
  </si>
  <si>
    <t>ضمخا7025</t>
  </si>
  <si>
    <t>اختيارخ اخابر-3600-1399/07/30</t>
  </si>
  <si>
    <t>بپاس</t>
  </si>
  <si>
    <t>بيمه پاسارگاد</t>
  </si>
  <si>
    <t>724</t>
  </si>
  <si>
    <t>10.01</t>
  </si>
  <si>
    <t>سغرب</t>
  </si>
  <si>
    <t>سيمان‌غرب‌</t>
  </si>
  <si>
    <t>473</t>
  </si>
  <si>
    <t>17.36</t>
  </si>
  <si>
    <t>واميد</t>
  </si>
  <si>
    <t>گروه مديريت سرمايه گذاري اميد</t>
  </si>
  <si>
    <t>839</t>
  </si>
  <si>
    <t>7.75</t>
  </si>
  <si>
    <t>صخود412</t>
  </si>
  <si>
    <t>ص مرابحه خودرو412- 3ماهه 18%</t>
  </si>
  <si>
    <t>دكپسول</t>
  </si>
  <si>
    <t>توليد ژلاتين كپسول ايران</t>
  </si>
  <si>
    <t>17.59</t>
  </si>
  <si>
    <t>تكنار</t>
  </si>
  <si>
    <t>مجتمع معادن مس تكنار</t>
  </si>
  <si>
    <t>-394</t>
  </si>
  <si>
    <t>-39.36</t>
  </si>
  <si>
    <t>مبين011</t>
  </si>
  <si>
    <t>اجاره اعتماد مبين لوتوس010710</t>
  </si>
  <si>
    <t>ضملت1106</t>
  </si>
  <si>
    <t>اختيارخ وبملت-3600-1398/11/30</t>
  </si>
  <si>
    <t>پلاست</t>
  </si>
  <si>
    <t>كارخانجات توليدي پلاستيران</t>
  </si>
  <si>
    <t>-2350</t>
  </si>
  <si>
    <t>-3.82</t>
  </si>
  <si>
    <t>ضفلا8047</t>
  </si>
  <si>
    <t>اختيارخ فولاد-4300-1398/08/26</t>
  </si>
  <si>
    <t>زير9903پ01</t>
  </si>
  <si>
    <t>زيره سبز9903 كيميابذر(پ)</t>
  </si>
  <si>
    <t>ضفلا2039</t>
  </si>
  <si>
    <t>اختيارخ فولاد-4000-1399/02/31</t>
  </si>
  <si>
    <t>افرا</t>
  </si>
  <si>
    <t>افرانت</t>
  </si>
  <si>
    <t>18.57</t>
  </si>
  <si>
    <t>اخزا613</t>
  </si>
  <si>
    <t>اسنادخزانه-م13بودجه96-981016</t>
  </si>
  <si>
    <t>غمارگ</t>
  </si>
  <si>
    <t>مارگارين‌</t>
  </si>
  <si>
    <t>18.21</t>
  </si>
  <si>
    <t>چكارن</t>
  </si>
  <si>
    <t>كارتن‌ ايران‌</t>
  </si>
  <si>
    <t>788</t>
  </si>
  <si>
    <t>74.04</t>
  </si>
  <si>
    <t>تبرك</t>
  </si>
  <si>
    <t>گروه كارخانجات صنعتي تبرك</t>
  </si>
  <si>
    <t>463</t>
  </si>
  <si>
    <t>9.29</t>
  </si>
  <si>
    <t>كيان</t>
  </si>
  <si>
    <t>صندوق س. با درآمد ثابت كيان</t>
  </si>
  <si>
    <t>ضملت1104</t>
  </si>
  <si>
    <t>اختيارخ وبملت-3200-1398/11/30</t>
  </si>
  <si>
    <t>مارون</t>
  </si>
  <si>
    <t>پتروشيمي مارون</t>
  </si>
  <si>
    <t>5670</t>
  </si>
  <si>
    <t>7.25</t>
  </si>
  <si>
    <t>ضغدر8018</t>
  </si>
  <si>
    <t>اختيارخ وغدير-3400-1399/08/26</t>
  </si>
  <si>
    <t>واحصا</t>
  </si>
  <si>
    <t>احياء صنايع خراسان</t>
  </si>
  <si>
    <t>236</t>
  </si>
  <si>
    <t>52.82</t>
  </si>
  <si>
    <t>وارس</t>
  </si>
  <si>
    <t>سرمايه گذاري ارس صبا</t>
  </si>
  <si>
    <t>1172</t>
  </si>
  <si>
    <t>تملي702</t>
  </si>
  <si>
    <t>تسهيلات مسكن ب. ملي-ارديبهشت97</t>
  </si>
  <si>
    <t>ثپرديس</t>
  </si>
  <si>
    <t>سرمايه گذاري مسكن پرديس</t>
  </si>
  <si>
    <t>160</t>
  </si>
  <si>
    <t>21.74</t>
  </si>
  <si>
    <t>ضگل8046</t>
  </si>
  <si>
    <t>اختيارخ كگل-7920-1398/08/22</t>
  </si>
  <si>
    <t>ضگل1133</t>
  </si>
  <si>
    <t>اختيارخ كگل-6420-1398/11/20</t>
  </si>
  <si>
    <t>عكاوه2</t>
  </si>
  <si>
    <t>اوراق سلف شمش فولاد كاوه كيش</t>
  </si>
  <si>
    <t>كمينا</t>
  </si>
  <si>
    <t>شيشه سازي مينا</t>
  </si>
  <si>
    <t>369</t>
  </si>
  <si>
    <t>37.82</t>
  </si>
  <si>
    <t>فسرب</t>
  </si>
  <si>
    <t>ملي‌ سرب‌وروي‌ ايران‌</t>
  </si>
  <si>
    <t>1103</t>
  </si>
  <si>
    <t>22.45</t>
  </si>
  <si>
    <t>بتك</t>
  </si>
  <si>
    <t>كارخانجات كابل سازي‌ تك‌</t>
  </si>
  <si>
    <t>103</t>
  </si>
  <si>
    <t>192.54</t>
  </si>
  <si>
    <t>فروس</t>
  </si>
  <si>
    <t>فروسيليس‌ ايران‌</t>
  </si>
  <si>
    <t>698</t>
  </si>
  <si>
    <t>18.68</t>
  </si>
  <si>
    <t>زبينا</t>
  </si>
  <si>
    <t>كشاورزي و دامپروري بينالود</t>
  </si>
  <si>
    <t>358</t>
  </si>
  <si>
    <t>31.86</t>
  </si>
  <si>
    <t>تپكو</t>
  </si>
  <si>
    <t>توليدتجهيزات‌سنگين‌هپكو</t>
  </si>
  <si>
    <t>-15.27</t>
  </si>
  <si>
    <t>ضشنا1029</t>
  </si>
  <si>
    <t>اختيارخ شپنا-5176-1398/10/22</t>
  </si>
  <si>
    <t>وتوشه</t>
  </si>
  <si>
    <t>سرمايه‌ گذاري‌ پارس‌ توشه‌</t>
  </si>
  <si>
    <t>9.08</t>
  </si>
  <si>
    <t>اروند07</t>
  </si>
  <si>
    <t>منفعت صبا اروند نوين 14001113</t>
  </si>
  <si>
    <t>سامان2</t>
  </si>
  <si>
    <t>صگل1411</t>
  </si>
  <si>
    <t>ص اجاره گل گهر 1411-3 ماهه 17%</t>
  </si>
  <si>
    <t>ضمخا1014</t>
  </si>
  <si>
    <t>اختيارخ اخابر-4000-1398/10/11</t>
  </si>
  <si>
    <t>فن آوا</t>
  </si>
  <si>
    <t>گروه فن آوا</t>
  </si>
  <si>
    <t>24.8</t>
  </si>
  <si>
    <t>آپ</t>
  </si>
  <si>
    <t>آسان پرداخت پرشين</t>
  </si>
  <si>
    <t>1145</t>
  </si>
  <si>
    <t>صخود1404</t>
  </si>
  <si>
    <t>صكوك رهني خودرو1404- 3ماهه 16%</t>
  </si>
  <si>
    <t>تسه9611</t>
  </si>
  <si>
    <t>امتياز تسهيلات مسكن بهمن96</t>
  </si>
  <si>
    <t>لسرما</t>
  </si>
  <si>
    <t>سرما آفرين‌</t>
  </si>
  <si>
    <t>276</t>
  </si>
  <si>
    <t>28.51</t>
  </si>
  <si>
    <t>ضفلا8062</t>
  </si>
  <si>
    <t>اختيارخ فولاد-3400-1399/08/28</t>
  </si>
  <si>
    <t>سخواف</t>
  </si>
  <si>
    <t>سيمان مجد خواف</t>
  </si>
  <si>
    <t>-46</t>
  </si>
  <si>
    <t>-77.07</t>
  </si>
  <si>
    <t>اخزا713</t>
  </si>
  <si>
    <t>اسنادخزانه-م13بودجه97-000518</t>
  </si>
  <si>
    <t>كباده</t>
  </si>
  <si>
    <t>توليد خاك نسوزاستقلال آباده</t>
  </si>
  <si>
    <t>1116</t>
  </si>
  <si>
    <t>1.35</t>
  </si>
  <si>
    <t>لخانه</t>
  </si>
  <si>
    <t>لوازم‌ خانگي‌ پارس‌</t>
  </si>
  <si>
    <t>56.11</t>
  </si>
  <si>
    <t>اجاد1</t>
  </si>
  <si>
    <t>اجاره دولت مرحله يك1394-981226</t>
  </si>
  <si>
    <t>زعف9808پ06</t>
  </si>
  <si>
    <t>زعفران9808پوشالمعمولي زرين(پ)</t>
  </si>
  <si>
    <t>نوردوقطعات‌ فولادي‌</t>
  </si>
  <si>
    <t>-71</t>
  </si>
  <si>
    <t>-319.89</t>
  </si>
  <si>
    <t>ضمخا3019</t>
  </si>
  <si>
    <t>اختيارخ اخابر-3800-1399/03/27</t>
  </si>
  <si>
    <t>شلرد</t>
  </si>
  <si>
    <t>-1526</t>
  </si>
  <si>
    <t>دفارا</t>
  </si>
  <si>
    <t>داروسازي‌ فارابي‌</t>
  </si>
  <si>
    <t>2673</t>
  </si>
  <si>
    <t>9.97</t>
  </si>
  <si>
    <t>كخاكح</t>
  </si>
  <si>
    <t>ح . صنايع‌خاك‌چيني‌ايران‌</t>
  </si>
  <si>
    <t>شكبير</t>
  </si>
  <si>
    <t>پتروشيمي اميركبير</t>
  </si>
  <si>
    <t>3031</t>
  </si>
  <si>
    <t>5.96</t>
  </si>
  <si>
    <t>وسين</t>
  </si>
  <si>
    <t>بيمه سينا</t>
  </si>
  <si>
    <t>-137</t>
  </si>
  <si>
    <t>-13.66</t>
  </si>
  <si>
    <t>ضچاد1005</t>
  </si>
  <si>
    <t>اختيارخ كچاد-4100-1398/10/04</t>
  </si>
  <si>
    <t>ارفعح</t>
  </si>
  <si>
    <t>ح.شركت آهن و فولاد ارفع</t>
  </si>
  <si>
    <t>وكادو</t>
  </si>
  <si>
    <t>تكادو</t>
  </si>
  <si>
    <t>240</t>
  </si>
  <si>
    <t>28.83</t>
  </si>
  <si>
    <t>قلرست</t>
  </si>
  <si>
    <t>قند لرستان‌</t>
  </si>
  <si>
    <t>430</t>
  </si>
  <si>
    <t>25.39</t>
  </si>
  <si>
    <t>تملي703</t>
  </si>
  <si>
    <t>تسهيلات مسكن ب. ملي-خرداد97</t>
  </si>
  <si>
    <t>اخزا612</t>
  </si>
  <si>
    <t>اسنادخزانه-م12بودجه96-981114</t>
  </si>
  <si>
    <t>اخزا6042</t>
  </si>
  <si>
    <t>ضبدر1139</t>
  </si>
  <si>
    <t>اختيارخ شبندر-17300-1398/11/13</t>
  </si>
  <si>
    <t>ريل1401</t>
  </si>
  <si>
    <t>اجاره ريل كوثر14010509</t>
  </si>
  <si>
    <t>صايپا012</t>
  </si>
  <si>
    <t>صكوك مرابحه سايپا012-3ماهه 16%</t>
  </si>
  <si>
    <t>كرازي</t>
  </si>
  <si>
    <t>كارخانجات‌توليدي‌شيشه‌رازي‌</t>
  </si>
  <si>
    <t>684</t>
  </si>
  <si>
    <t>11.91</t>
  </si>
  <si>
    <t>ضسان7037</t>
  </si>
  <si>
    <t>اختيارخ پارسان-5500-1398/07/24</t>
  </si>
  <si>
    <t>خموتور</t>
  </si>
  <si>
    <t>موتورسازان‌تراكتورسازي‌ايران‌</t>
  </si>
  <si>
    <t>149</t>
  </si>
  <si>
    <t>34.89</t>
  </si>
  <si>
    <t>وصنعت</t>
  </si>
  <si>
    <t>سرمايه گذاري توسعه صنعت وتجارت</t>
  </si>
  <si>
    <t>797</t>
  </si>
  <si>
    <t>3.63</t>
  </si>
  <si>
    <t>اجاد24</t>
  </si>
  <si>
    <t>اجاره دولتي آپرورش-نوين991118</t>
  </si>
  <si>
    <t>اخزا803</t>
  </si>
  <si>
    <t>اسنادخزانه-م3بودجه98-990521</t>
  </si>
  <si>
    <t>ضفلا8054</t>
  </si>
  <si>
    <t>اختيارخ فولاد-4200-1399/08/28</t>
  </si>
  <si>
    <t>غگز</t>
  </si>
  <si>
    <t>گز سكه</t>
  </si>
  <si>
    <t>-182</t>
  </si>
  <si>
    <t>-15.22</t>
  </si>
  <si>
    <t>وجامي</t>
  </si>
  <si>
    <t>سرمايه گذاري جامي</t>
  </si>
  <si>
    <t>593</t>
  </si>
  <si>
    <t>كپشير</t>
  </si>
  <si>
    <t>پشم‌شيشه‌ايران‌</t>
  </si>
  <si>
    <t>38.25</t>
  </si>
  <si>
    <t>زعف9808پ08</t>
  </si>
  <si>
    <t>زعفران9808نگين ت.روستا(پ)</t>
  </si>
  <si>
    <t>پلاسك</t>
  </si>
  <si>
    <t>پلاسكوكار</t>
  </si>
  <si>
    <t>-94</t>
  </si>
  <si>
    <t>-33.52</t>
  </si>
  <si>
    <t>اوصتا</t>
  </si>
  <si>
    <t>فنوال</t>
  </si>
  <si>
    <t>نورد آلومينيوم‌</t>
  </si>
  <si>
    <t>239</t>
  </si>
  <si>
    <t>18.63</t>
  </si>
  <si>
    <t>والبر</t>
  </si>
  <si>
    <t>سرمايه‌ گذاري‌ البرز(هلدينگ‌</t>
  </si>
  <si>
    <t>518</t>
  </si>
  <si>
    <t>سمتاز</t>
  </si>
  <si>
    <t>سيمان ممتازان كرمان</t>
  </si>
  <si>
    <t>1126</t>
  </si>
  <si>
    <t>7.17</t>
  </si>
  <si>
    <t>خفناور</t>
  </si>
  <si>
    <t>مهندسي صنعتي روان فن آور</t>
  </si>
  <si>
    <t>-69</t>
  </si>
  <si>
    <t>-104.03</t>
  </si>
  <si>
    <t>ضفلا2034</t>
  </si>
  <si>
    <t>اختيارخ فولاد-6000-1399/02/31</t>
  </si>
  <si>
    <t>ضچاد1007</t>
  </si>
  <si>
    <t>اختيارخ كچاد-4800-1398/10/04</t>
  </si>
  <si>
    <t>تملي708</t>
  </si>
  <si>
    <t>تسهيلات مسكن ب. ملي-آبان97</t>
  </si>
  <si>
    <t>ضسان1026</t>
  </si>
  <si>
    <t>اختيارخ پارسان-6500-1398/10/25</t>
  </si>
  <si>
    <t>شكف</t>
  </si>
  <si>
    <t>كف</t>
  </si>
  <si>
    <t>-2820</t>
  </si>
  <si>
    <t>-2.27</t>
  </si>
  <si>
    <t>ضمخا3026</t>
  </si>
  <si>
    <t>اختيارخ اخابر-5500-1399/03/27</t>
  </si>
  <si>
    <t>توسعه‌معادن‌وفلزات‌</t>
  </si>
  <si>
    <t>511</t>
  </si>
  <si>
    <t>ضبدر1136</t>
  </si>
  <si>
    <t>اختيارخ شبندر-14300-1398/11/13</t>
  </si>
  <si>
    <t>لوتوس</t>
  </si>
  <si>
    <t>تامين سرمايه لوتوس پارسيان</t>
  </si>
  <si>
    <t>5.84</t>
  </si>
  <si>
    <t>رايان106</t>
  </si>
  <si>
    <t>مشاركت رايان سايپا-3ماهه16%</t>
  </si>
  <si>
    <t>خكار</t>
  </si>
  <si>
    <t>ايركا پارت صنعت</t>
  </si>
  <si>
    <t>115</t>
  </si>
  <si>
    <t>30.39</t>
  </si>
  <si>
    <t>شركت آهن و فولاد ارفع</t>
  </si>
  <si>
    <t>828</t>
  </si>
  <si>
    <t>5.38</t>
  </si>
  <si>
    <t>فنفت</t>
  </si>
  <si>
    <t>صنايع تجهيزات نفت</t>
  </si>
  <si>
    <t>22.1</t>
  </si>
  <si>
    <t>ضفار8008</t>
  </si>
  <si>
    <t>اختيارخ فارس-6000-1398/08/01</t>
  </si>
  <si>
    <t>ضمخا1019</t>
  </si>
  <si>
    <t>اختيارخ اخابر-5000-1398/10/11</t>
  </si>
  <si>
    <t>وپترو</t>
  </si>
  <si>
    <t>سرمايه‌گذاري صنايع پتروشيمي‌</t>
  </si>
  <si>
    <t>79</t>
  </si>
  <si>
    <t>86.68</t>
  </si>
  <si>
    <t>اميد99</t>
  </si>
  <si>
    <t>مشارکت ليزينگ اميد9907</t>
  </si>
  <si>
    <t>سخند</t>
  </si>
  <si>
    <t>صندوق س.سپهرخبرگان نفت-د</t>
  </si>
  <si>
    <t>پرداخت</t>
  </si>
  <si>
    <t>به پرداخت ملت</t>
  </si>
  <si>
    <t>1470</t>
  </si>
  <si>
    <t>12.12</t>
  </si>
  <si>
    <t>ثاباد</t>
  </si>
  <si>
    <t>توريستي ورفاهي آبادگران ايران</t>
  </si>
  <si>
    <t>26</t>
  </si>
  <si>
    <t>199.69</t>
  </si>
  <si>
    <t>شسم</t>
  </si>
  <si>
    <t>توليد سموم‌ علف‌ كش</t>
  </si>
  <si>
    <t>-654</t>
  </si>
  <si>
    <t>-48.25</t>
  </si>
  <si>
    <t>وثوق</t>
  </si>
  <si>
    <t>سرمايه گذاري وثوق امين</t>
  </si>
  <si>
    <t>562</t>
  </si>
  <si>
    <t>22.29</t>
  </si>
  <si>
    <t>گپارس</t>
  </si>
  <si>
    <t>امور رفاهي كارگزاران پارس</t>
  </si>
  <si>
    <t>96.8</t>
  </si>
  <si>
    <t>نوين</t>
  </si>
  <si>
    <t>بيمه نوين</t>
  </si>
  <si>
    <t>335</t>
  </si>
  <si>
    <t>6.11</t>
  </si>
  <si>
    <t>غشاذر</t>
  </si>
  <si>
    <t>پگاه‌آذربايجان‌غربي‌</t>
  </si>
  <si>
    <t>93</t>
  </si>
  <si>
    <t>65.12</t>
  </si>
  <si>
    <t>نبروج</t>
  </si>
  <si>
    <t>نساجي‌ بروجرد</t>
  </si>
  <si>
    <t>1266</t>
  </si>
  <si>
    <t>3.22</t>
  </si>
  <si>
    <t>ورازي</t>
  </si>
  <si>
    <t>بيمه رازي</t>
  </si>
  <si>
    <t>-7</t>
  </si>
  <si>
    <t>-354</t>
  </si>
  <si>
    <t>شاوان</t>
  </si>
  <si>
    <t>پالايش نفت لاوان</t>
  </si>
  <si>
    <t>3899</t>
  </si>
  <si>
    <t>اروند08</t>
  </si>
  <si>
    <t>منفعت صبا اروند ملت 14001222</t>
  </si>
  <si>
    <t>كاوه</t>
  </si>
  <si>
    <t>فولاد كاوه جنوب كيش</t>
  </si>
  <si>
    <t>7.78</t>
  </si>
  <si>
    <t>دالبر</t>
  </si>
  <si>
    <t>البرزدارو</t>
  </si>
  <si>
    <t>889</t>
  </si>
  <si>
    <t>14.43</t>
  </si>
  <si>
    <t>بورس</t>
  </si>
  <si>
    <t>بورس اوراق بهادار تهران</t>
  </si>
  <si>
    <t>18.54</t>
  </si>
  <si>
    <t>رايان</t>
  </si>
  <si>
    <t>مشاركت رايان سايپا 3 ماهه 22%</t>
  </si>
  <si>
    <t>حكشتي</t>
  </si>
  <si>
    <t>كشتيراني جمهوري اسلامي ايران</t>
  </si>
  <si>
    <t>فلات</t>
  </si>
  <si>
    <t>گروه صنايع معادن فلات ايرانيان</t>
  </si>
  <si>
    <t>16</t>
  </si>
  <si>
    <t>378.13</t>
  </si>
  <si>
    <t>سقاين</t>
  </si>
  <si>
    <t>سيمان‌ قائن‌</t>
  </si>
  <si>
    <t>975</t>
  </si>
  <si>
    <t>25.53</t>
  </si>
  <si>
    <t>وهنر</t>
  </si>
  <si>
    <t>گروه توسعه هنر ايران</t>
  </si>
  <si>
    <t>312</t>
  </si>
  <si>
    <t>9.07</t>
  </si>
  <si>
    <t>تسه9707</t>
  </si>
  <si>
    <t>امتياز تسهيلات مسكن مهر97</t>
  </si>
  <si>
    <t>شپارس</t>
  </si>
  <si>
    <t>بين‌ المللي‌ محصولات‌  پارس‌</t>
  </si>
  <si>
    <t>513</t>
  </si>
  <si>
    <t>16.17</t>
  </si>
  <si>
    <t>زعف9808پ11</t>
  </si>
  <si>
    <t>زعفران9808نگين سحرخيز(پ)</t>
  </si>
  <si>
    <t>آكورد2</t>
  </si>
  <si>
    <t>طبدر8039</t>
  </si>
  <si>
    <t>اختيارف شبندر-22000-1398/08/14</t>
  </si>
  <si>
    <t>وبرق</t>
  </si>
  <si>
    <t>س.کارکنان صنعت برق زنجان وقزوي</t>
  </si>
  <si>
    <t>439</t>
  </si>
  <si>
    <t>34.97</t>
  </si>
  <si>
    <t>دابور</t>
  </si>
  <si>
    <t>داروسازي‌ ابوريحان‌</t>
  </si>
  <si>
    <t>1831</t>
  </si>
  <si>
    <t>تسه9712</t>
  </si>
  <si>
    <t>ضمخا3021</t>
  </si>
  <si>
    <t>اختيارخ اخابر-4200-1399/03/27</t>
  </si>
  <si>
    <t>تهران812</t>
  </si>
  <si>
    <t>غشصفا</t>
  </si>
  <si>
    <t>شيرپاستوريزه‌پگاه‌اصفهان‌</t>
  </si>
  <si>
    <t>1323</t>
  </si>
  <si>
    <t>تملي707</t>
  </si>
  <si>
    <t>تسهيلات مسكن ب. ملي-مهر97</t>
  </si>
  <si>
    <t>ضخود1018</t>
  </si>
  <si>
    <t>اختيارخ خودرو-3400-1398/10/15</t>
  </si>
  <si>
    <t>سلار</t>
  </si>
  <si>
    <t>شركت سيمان لارستان</t>
  </si>
  <si>
    <t>241.97</t>
  </si>
  <si>
    <t>گندم2</t>
  </si>
  <si>
    <t>مرابحه گندم2-واجدشرايط خاص1400</t>
  </si>
  <si>
    <t>مبين014</t>
  </si>
  <si>
    <t>اجاره اعتماد مبين لوتوس011019</t>
  </si>
  <si>
    <t>تسه9703</t>
  </si>
  <si>
    <t>دارا</t>
  </si>
  <si>
    <t>شكلر</t>
  </si>
  <si>
    <t>نيروكلر</t>
  </si>
  <si>
    <t>خموتورح</t>
  </si>
  <si>
    <t>ح . موتورسازان‌تراكتورسازي‌</t>
  </si>
  <si>
    <t>تكشا</t>
  </si>
  <si>
    <t>گسترش‌صنايع‌وخدمات‌كشاورزي‌</t>
  </si>
  <si>
    <t>498</t>
  </si>
  <si>
    <t>26.86</t>
  </si>
  <si>
    <t>ضملت8012</t>
  </si>
  <si>
    <t>اختيارخ وبملت-4800-1398/08/29</t>
  </si>
  <si>
    <t>ضفلا8061</t>
  </si>
  <si>
    <t>اختيارخ فولاد-6500-1399/08/28</t>
  </si>
  <si>
    <t>كگاز</t>
  </si>
  <si>
    <t>شيشه‌ و گاز</t>
  </si>
  <si>
    <t>791</t>
  </si>
  <si>
    <t>23.49</t>
  </si>
  <si>
    <t>ضمخا7031</t>
  </si>
  <si>
    <t>اختيارخ اخابر-4800-1399/07/30</t>
  </si>
  <si>
    <t>ضمخا3023</t>
  </si>
  <si>
    <t>اختيارخ اخابر-4600-1399/03/27</t>
  </si>
  <si>
    <t>ضبدر8036</t>
  </si>
  <si>
    <t>اختيارخ شبندر-18300-1398/08/14</t>
  </si>
  <si>
    <t>سايرا</t>
  </si>
  <si>
    <t>ايرانيت‌</t>
  </si>
  <si>
    <t>-1086</t>
  </si>
  <si>
    <t>-8.33</t>
  </si>
  <si>
    <t>ونيرو</t>
  </si>
  <si>
    <t>سرمايه‌گذاري‌نيرو</t>
  </si>
  <si>
    <t>20.76</t>
  </si>
  <si>
    <t>ضترا1109</t>
  </si>
  <si>
    <t>اختيارخ شتران-5019-1398/11/08</t>
  </si>
  <si>
    <t>پاكشو</t>
  </si>
  <si>
    <t>گروه صنعتي پاكشو</t>
  </si>
  <si>
    <t>4636</t>
  </si>
  <si>
    <t>13.98</t>
  </si>
  <si>
    <t>ضگل8044</t>
  </si>
  <si>
    <t>اختيارخ كگل-6920-1398/08/22</t>
  </si>
  <si>
    <t>بالبر</t>
  </si>
  <si>
    <t>كابل‌ البرز</t>
  </si>
  <si>
    <t>64.54</t>
  </si>
  <si>
    <t>كي بي سي</t>
  </si>
  <si>
    <t>شركت كي بي سي</t>
  </si>
  <si>
    <t>18.6</t>
  </si>
  <si>
    <t>دشيري</t>
  </si>
  <si>
    <t xml:space="preserve">شيرين دارو	</t>
  </si>
  <si>
    <t>11976</t>
  </si>
  <si>
    <t>6.63</t>
  </si>
  <si>
    <t>جبانك812</t>
  </si>
  <si>
    <t>آتي ش بانك ها-1398/12/07</t>
  </si>
  <si>
    <t>ثنور</t>
  </si>
  <si>
    <t>سرمايه گذاري كوه نور</t>
  </si>
  <si>
    <t>34</t>
  </si>
  <si>
    <t>56.38</t>
  </si>
  <si>
    <t>ضپار8006</t>
  </si>
  <si>
    <t>اختيارخ خپارس-1400-1398/08/14</t>
  </si>
  <si>
    <t>لابسا</t>
  </si>
  <si>
    <t>آبسال‌</t>
  </si>
  <si>
    <t>1070</t>
  </si>
  <si>
    <t>20.27</t>
  </si>
  <si>
    <t>قنيشا</t>
  </si>
  <si>
    <t>قند  نيشابور</t>
  </si>
  <si>
    <t>743</t>
  </si>
  <si>
    <t>17.63</t>
  </si>
  <si>
    <t>ثشاهد</t>
  </si>
  <si>
    <t>سرمايه‌ گذاري‌ شاهد</t>
  </si>
  <si>
    <t>165</t>
  </si>
  <si>
    <t>14.04</t>
  </si>
  <si>
    <t>كقزوي</t>
  </si>
  <si>
    <t>شيشه‌ قزوين‌</t>
  </si>
  <si>
    <t>22.46</t>
  </si>
  <si>
    <t>پاسا</t>
  </si>
  <si>
    <t>ايران‌ياساتايرورابر</t>
  </si>
  <si>
    <t>682</t>
  </si>
  <si>
    <t>11.08</t>
  </si>
  <si>
    <t>حبندر</t>
  </si>
  <si>
    <t>دريايي و کشتيراني خط دريابندر</t>
  </si>
  <si>
    <t>3817</t>
  </si>
  <si>
    <t>2.66</t>
  </si>
  <si>
    <t>اپرداز</t>
  </si>
  <si>
    <t>آتيه داده پرداز</t>
  </si>
  <si>
    <t>569</t>
  </si>
  <si>
    <t>22.78</t>
  </si>
  <si>
    <t>خشرق</t>
  </si>
  <si>
    <t>الكتريك‌ خودرو شرق‌</t>
  </si>
  <si>
    <t>585.86</t>
  </si>
  <si>
    <t>وتجارت</t>
  </si>
  <si>
    <t>بانك تجارت</t>
  </si>
  <si>
    <t>10.48</t>
  </si>
  <si>
    <t>عيلام3</t>
  </si>
  <si>
    <t>اوراق سلف پلي اتيلن ايلام3</t>
  </si>
  <si>
    <t>ضملي1140</t>
  </si>
  <si>
    <t>اختيارخ فملي -6350-1398/11/16</t>
  </si>
  <si>
    <t>ضملت8007</t>
  </si>
  <si>
    <t>اختيارخ وبملت-3800-1398/08/29</t>
  </si>
  <si>
    <t>اروند06</t>
  </si>
  <si>
    <t>منفعت صبا اروند ملت 14001113</t>
  </si>
  <si>
    <t>ضمخا3024</t>
  </si>
  <si>
    <t>اختيارخ اخابر-4800-1399/03/27</t>
  </si>
  <si>
    <t>ساذري</t>
  </si>
  <si>
    <t>آذريت‌</t>
  </si>
  <si>
    <t>-1380</t>
  </si>
  <si>
    <t>-50.78</t>
  </si>
  <si>
    <t>دقاضي</t>
  </si>
  <si>
    <t>داروسازي شهيد قاضي</t>
  </si>
  <si>
    <t>3266</t>
  </si>
  <si>
    <t>18.82</t>
  </si>
  <si>
    <t>مشهد1412</t>
  </si>
  <si>
    <t>مشاركت ش مشهد1412-3ماهه18%</t>
  </si>
  <si>
    <t>ساينا</t>
  </si>
  <si>
    <t>صنايع بهداشتي ساينا</t>
  </si>
  <si>
    <t>1879</t>
  </si>
  <si>
    <t>سدبير</t>
  </si>
  <si>
    <t>س. تدبيرگران فارس وخوزستان</t>
  </si>
  <si>
    <t>362</t>
  </si>
  <si>
    <t>17.62</t>
  </si>
  <si>
    <t>چفيبر</t>
  </si>
  <si>
    <t>فيبر ايران‌</t>
  </si>
  <si>
    <t>-21</t>
  </si>
  <si>
    <t>-160.71</t>
  </si>
  <si>
    <t>ضبدر1142</t>
  </si>
  <si>
    <t>اختيارخ شبندر-20000-1398/11/13</t>
  </si>
  <si>
    <t>فجوش</t>
  </si>
  <si>
    <t>جوش‌ و اكسيژن‌ ايران‌</t>
  </si>
  <si>
    <t>-4609</t>
  </si>
  <si>
    <t>-0.33</t>
  </si>
  <si>
    <t>تهران811</t>
  </si>
  <si>
    <t>مشاركت شهرداري تهران-3ماهه21%</t>
  </si>
  <si>
    <t>ضترا8008</t>
  </si>
  <si>
    <t>اختيارخ شتران-4746-1398/08/12</t>
  </si>
  <si>
    <t>ضفلا1140</t>
  </si>
  <si>
    <t>اختيارخ فولاد-4100-1398/11/27</t>
  </si>
  <si>
    <t>نطرين</t>
  </si>
  <si>
    <t>عطرين نخ قم</t>
  </si>
  <si>
    <t>1408</t>
  </si>
  <si>
    <t>17.71</t>
  </si>
  <si>
    <t>ثعتما</t>
  </si>
  <si>
    <t>س. ساختماني اعتماد گستر</t>
  </si>
  <si>
    <t>129</t>
  </si>
  <si>
    <t>58.11</t>
  </si>
  <si>
    <t>ضپيك1010</t>
  </si>
  <si>
    <t>اختيارخ تاپيكو-3400-1398/10/30</t>
  </si>
  <si>
    <t>خكاوه</t>
  </si>
  <si>
    <t>سايپا ديزل</t>
  </si>
  <si>
    <t>-2331</t>
  </si>
  <si>
    <t>غگلستا</t>
  </si>
  <si>
    <t>شير پاستوريزه پگاه گلستان</t>
  </si>
  <si>
    <t>63.97</t>
  </si>
  <si>
    <t>سرو</t>
  </si>
  <si>
    <t>صندوق س سروسودمند مدبران-سهام</t>
  </si>
  <si>
    <t>فايرا</t>
  </si>
  <si>
    <t>آلومينيوم‌ايران‌</t>
  </si>
  <si>
    <t>926</t>
  </si>
  <si>
    <t>6.44</t>
  </si>
  <si>
    <t>گوهران</t>
  </si>
  <si>
    <t>سرمايه گذاري توسعه گوهران اميد</t>
  </si>
  <si>
    <t>403</t>
  </si>
  <si>
    <t>6.66</t>
  </si>
  <si>
    <t>كاردان</t>
  </si>
  <si>
    <t>صندوق س تجارت شاخصي كاردان</t>
  </si>
  <si>
    <t>شفن</t>
  </si>
  <si>
    <t>پتروشيمي فناوران</t>
  </si>
  <si>
    <t>20235</t>
  </si>
  <si>
    <t>3.65</t>
  </si>
  <si>
    <t>ضملت8006</t>
  </si>
  <si>
    <t>اختيارخ وبملت-3600-1398/08/29</t>
  </si>
  <si>
    <t>منفت9810</t>
  </si>
  <si>
    <t>مشاركت س.ص.كاركنان نفت3ماهه21%</t>
  </si>
  <si>
    <t>سكرد</t>
  </si>
  <si>
    <t>سيمان كردستان</t>
  </si>
  <si>
    <t>-2614</t>
  </si>
  <si>
    <t>شستا991</t>
  </si>
  <si>
    <t>اجاره تامين اجتماعي-امين991226</t>
  </si>
  <si>
    <t>كرمان00</t>
  </si>
  <si>
    <t>رهني كرمان موتور14001130</t>
  </si>
  <si>
    <t>ضجار1002</t>
  </si>
  <si>
    <t>اختيارخ وتجارت-500-1398/10/08</t>
  </si>
  <si>
    <t>لخزر</t>
  </si>
  <si>
    <t>پارس‌ خزر</t>
  </si>
  <si>
    <t>2777</t>
  </si>
  <si>
    <t>15.27</t>
  </si>
  <si>
    <t>شزنگ</t>
  </si>
  <si>
    <t>تجهيزنيروي‌زنگان‌</t>
  </si>
  <si>
    <t>-216</t>
  </si>
  <si>
    <t>-104.63</t>
  </si>
  <si>
    <t>ضمخا1016</t>
  </si>
  <si>
    <t>اختيارخ اخابر-4400-1398/10/11</t>
  </si>
  <si>
    <t>صايپا143</t>
  </si>
  <si>
    <t>صكوك اجاره سايپا143-3ماهه18%</t>
  </si>
  <si>
    <t>كتوكا</t>
  </si>
  <si>
    <t>توليدي و خدمات صنايع نسوز توكا</t>
  </si>
  <si>
    <t>ضغدر8004</t>
  </si>
  <si>
    <t>اختيارخ وغدير-2400-1398/08/22</t>
  </si>
  <si>
    <t>اشاد4</t>
  </si>
  <si>
    <t>مشاركت دولتي4-شرايط خاص980730</t>
  </si>
  <si>
    <t>خودرو</t>
  </si>
  <si>
    <t>ايران‌ خودرو</t>
  </si>
  <si>
    <t>-6717</t>
  </si>
  <si>
    <t>-0.98</t>
  </si>
  <si>
    <t>تملي705</t>
  </si>
  <si>
    <t>تسهيلات مسكن ب. ملي-مرداد97</t>
  </si>
  <si>
    <t>ماهان01</t>
  </si>
  <si>
    <t>منفعت هواپيمايي ماهان 14011123</t>
  </si>
  <si>
    <t>مداران</t>
  </si>
  <si>
    <t>داده‌پردازي‌ايران‌</t>
  </si>
  <si>
    <t>531</t>
  </si>
  <si>
    <t>16.85</t>
  </si>
  <si>
    <t>تسه9804</t>
  </si>
  <si>
    <t>فافزا</t>
  </si>
  <si>
    <t>فولاد افزا سپاهان</t>
  </si>
  <si>
    <t>465</t>
  </si>
  <si>
    <t>38.33</t>
  </si>
  <si>
    <t>فيروزه</t>
  </si>
  <si>
    <t>صندوق شاخص30 شركت فيروزه- سهام</t>
  </si>
  <si>
    <t>ضترا1100</t>
  </si>
  <si>
    <t>اختيارخ شتران-2564-1398/11/08</t>
  </si>
  <si>
    <t>تشتاد</t>
  </si>
  <si>
    <t>صنايع توليدي اشتاد ايران‌</t>
  </si>
  <si>
    <t>-136</t>
  </si>
  <si>
    <t>-98.6</t>
  </si>
  <si>
    <t>دماوند</t>
  </si>
  <si>
    <t>توليد نيروي برق دماوند</t>
  </si>
  <si>
    <t>831</t>
  </si>
  <si>
    <t>54.64</t>
  </si>
  <si>
    <t>شتولي</t>
  </si>
  <si>
    <t>تولي‌پرس‌</t>
  </si>
  <si>
    <t>-5114</t>
  </si>
  <si>
    <t>-0.66</t>
  </si>
  <si>
    <t>سبجنو</t>
  </si>
  <si>
    <t>سيمان‌ بجنورد</t>
  </si>
  <si>
    <t>748</t>
  </si>
  <si>
    <t>13.9</t>
  </si>
  <si>
    <t>صيدك1404</t>
  </si>
  <si>
    <t>صكوك اجاره سايپا يدك-3ماهه18%</t>
  </si>
  <si>
    <t>ددام</t>
  </si>
  <si>
    <t>داروسازي زاگرس فارمد پارس</t>
  </si>
  <si>
    <t>46.5</t>
  </si>
  <si>
    <t>ثامان</t>
  </si>
  <si>
    <t>سامان‌ گستراصفهان‌</t>
  </si>
  <si>
    <t>39</t>
  </si>
  <si>
    <t>203.82</t>
  </si>
  <si>
    <t>فوكا</t>
  </si>
  <si>
    <t>فولاد كاويان</t>
  </si>
  <si>
    <t>-42</t>
  </si>
  <si>
    <t>-40.93</t>
  </si>
  <si>
    <t>گكوثر</t>
  </si>
  <si>
    <t>هتل پارسيان كوثر اصفهان</t>
  </si>
  <si>
    <t>979</t>
  </si>
  <si>
    <t>29.21</t>
  </si>
  <si>
    <t>قرن992</t>
  </si>
  <si>
    <t>آساس</t>
  </si>
  <si>
    <t>صندوق س.آسمان آرماني سهام-س</t>
  </si>
  <si>
    <t>فاسمين</t>
  </si>
  <si>
    <t>كالسيمين‌</t>
  </si>
  <si>
    <t>2390</t>
  </si>
  <si>
    <t>5.67</t>
  </si>
  <si>
    <t>دتوزيع</t>
  </si>
  <si>
    <t>توزيع دارو پخش</t>
  </si>
  <si>
    <t>1564</t>
  </si>
  <si>
    <t>17.02</t>
  </si>
  <si>
    <t>فباهنر</t>
  </si>
  <si>
    <t>مس‌ شهيدباهنر</t>
  </si>
  <si>
    <t>765</t>
  </si>
  <si>
    <t>اعتماد</t>
  </si>
  <si>
    <t>صندوق س.اعتماد آفرين پارسيان-د</t>
  </si>
  <si>
    <t>ولانا</t>
  </si>
  <si>
    <t>شركت ليزينگ آريا دانا</t>
  </si>
  <si>
    <t>122</t>
  </si>
  <si>
    <t>48.43</t>
  </si>
  <si>
    <t>صدانا98</t>
  </si>
  <si>
    <t>اجاره دانا پتروريگ كيش 1394</t>
  </si>
  <si>
    <t>قپيرا</t>
  </si>
  <si>
    <t>فرآورده‌هاي‌غدايي‌وقندپيرانشهر</t>
  </si>
  <si>
    <t>1701</t>
  </si>
  <si>
    <t>20.04</t>
  </si>
  <si>
    <t>جنفت809</t>
  </si>
  <si>
    <t>آتي ش فرآورده نفتي-1398/09/03</t>
  </si>
  <si>
    <t>رمپنا</t>
  </si>
  <si>
    <t>گروه مپنا (سهامي عام)</t>
  </si>
  <si>
    <t>577</t>
  </si>
  <si>
    <t>15.03</t>
  </si>
  <si>
    <t>ضفلا8064</t>
  </si>
  <si>
    <t>اختيارخ فولاد-3800-1399/08/28</t>
  </si>
  <si>
    <t>زنگان</t>
  </si>
  <si>
    <t>صنعت روي زنگان</t>
  </si>
  <si>
    <t>225</t>
  </si>
  <si>
    <t>86.33</t>
  </si>
  <si>
    <t>كهمدا</t>
  </si>
  <si>
    <t>شيشه‌ همدان‌</t>
  </si>
  <si>
    <t>تسه98012</t>
  </si>
  <si>
    <t>اخزا704</t>
  </si>
  <si>
    <t>اسنادخزانه-م4بودجه97-991022</t>
  </si>
  <si>
    <t>سخزر</t>
  </si>
  <si>
    <t>سيمان‌ خزر</t>
  </si>
  <si>
    <t>13.57</t>
  </si>
  <si>
    <t>ضملي1138</t>
  </si>
  <si>
    <t>اختيارخ فملي -5350-1398/11/16</t>
  </si>
  <si>
    <t>كماسه</t>
  </si>
  <si>
    <t>تامين‌ ماسه‌ ريخته‌گري‌</t>
  </si>
  <si>
    <t>78.72</t>
  </si>
  <si>
    <t>اخزا811</t>
  </si>
  <si>
    <t>اسنادخزانه-م11بودجه98-001013</t>
  </si>
  <si>
    <t>دارو</t>
  </si>
  <si>
    <t>كارخانجات‌داروپخش‌</t>
  </si>
  <si>
    <t>2014</t>
  </si>
  <si>
    <t>12.83</t>
  </si>
  <si>
    <t>صايپا998</t>
  </si>
  <si>
    <t>صكوك مرابحه سايپا998-3ماهه 18%</t>
  </si>
  <si>
    <t>وتوس</t>
  </si>
  <si>
    <t>توسعه‌شهري‌توس‌گستر</t>
  </si>
  <si>
    <t>69.9</t>
  </si>
  <si>
    <t>صنوين</t>
  </si>
  <si>
    <t>صندوق سرمايه‌گذاري صنوين-مختلط</t>
  </si>
  <si>
    <t>طلا2</t>
  </si>
  <si>
    <t>ضغدر8007</t>
  </si>
  <si>
    <t>اختيارخ وغدير-3000-1398/08/22</t>
  </si>
  <si>
    <t>فپنتا</t>
  </si>
  <si>
    <t>سپنتا</t>
  </si>
  <si>
    <t>2259</t>
  </si>
  <si>
    <t>30.81</t>
  </si>
  <si>
    <t>شبصير</t>
  </si>
  <si>
    <t>توليدات پتروشيمي قائد بصير</t>
  </si>
  <si>
    <t>2596</t>
  </si>
  <si>
    <t>ضملي8036</t>
  </si>
  <si>
    <t>اختيارخ فملي -3050-1398/08/19</t>
  </si>
  <si>
    <t>همراه</t>
  </si>
  <si>
    <t>شركت ارتباطات سيار ايران</t>
  </si>
  <si>
    <t>1856</t>
  </si>
  <si>
    <t>7.49</t>
  </si>
  <si>
    <t>صخود0012</t>
  </si>
  <si>
    <t>ص مرابحه خودرو0012- 3ماهه 18%</t>
  </si>
  <si>
    <t>ثباغ</t>
  </si>
  <si>
    <t>شهر سازي و خانه سازي باغميشه</t>
  </si>
  <si>
    <t>143</t>
  </si>
  <si>
    <t>30.27</t>
  </si>
  <si>
    <t>پارتا</t>
  </si>
  <si>
    <t>مجتمع‌صنعتي‌آرتاويل‌تاير</t>
  </si>
  <si>
    <t>275</t>
  </si>
  <si>
    <t>36.47</t>
  </si>
  <si>
    <t>اخزا717</t>
  </si>
  <si>
    <t>اسنادخزانه-م17بودجه97-981017</t>
  </si>
  <si>
    <t>كاريس</t>
  </si>
  <si>
    <t>صندوق س.سپهر كاريزما-س</t>
  </si>
  <si>
    <t>ديران</t>
  </si>
  <si>
    <t>ايران‌دارو</t>
  </si>
  <si>
    <t>142</t>
  </si>
  <si>
    <t>46.37</t>
  </si>
  <si>
    <t>ضفلا8044</t>
  </si>
  <si>
    <t>اختيارخ فولاد-3700-1398/08/26</t>
  </si>
  <si>
    <t>پترول</t>
  </si>
  <si>
    <t>گروه پتروشيمي س. ايرانيان</t>
  </si>
  <si>
    <t>266</t>
  </si>
  <si>
    <t>8.88</t>
  </si>
  <si>
    <t>ضفلا1147</t>
  </si>
  <si>
    <t>اختيارخ فولاد-6700-1398/11/27</t>
  </si>
  <si>
    <t>ولرازح</t>
  </si>
  <si>
    <t>ح . ليزينگ رازي</t>
  </si>
  <si>
    <t>ضبدر1137</t>
  </si>
  <si>
    <t>اختيارخ شبندر-15300-1398/11/13</t>
  </si>
  <si>
    <t>تملي701</t>
  </si>
  <si>
    <t>تسهيلات مسكن ب. ملي-فروردين97</t>
  </si>
  <si>
    <t>بشهاب</t>
  </si>
  <si>
    <t>لامپ‌  پارس‌ شهاب‌</t>
  </si>
  <si>
    <t>1326</t>
  </si>
  <si>
    <t>16.41</t>
  </si>
  <si>
    <t>ضسان7040</t>
  </si>
  <si>
    <t>اختيارخ پارسان-7000-1398/07/24</t>
  </si>
  <si>
    <t>ضجار1004</t>
  </si>
  <si>
    <t>اختيارخ وتجارت-700-1398/10/08</t>
  </si>
  <si>
    <t>مگچسا104</t>
  </si>
  <si>
    <t>مشاركت گچساران- 3 ماهه 18%</t>
  </si>
  <si>
    <t>اوان</t>
  </si>
  <si>
    <t>مبين وان كيش</t>
  </si>
  <si>
    <t>281</t>
  </si>
  <si>
    <t>102.42</t>
  </si>
  <si>
    <t>ضجار1005</t>
  </si>
  <si>
    <t>اختيارخ وتجارت-800-1398/10/08</t>
  </si>
  <si>
    <t>ضشنا1025</t>
  </si>
  <si>
    <t>اختيارخ شپنا-3608-1398/10/22</t>
  </si>
  <si>
    <t>ضخود1029</t>
  </si>
  <si>
    <t>اختيارخ خودرو-6500-1398/10/15</t>
  </si>
  <si>
    <t>اروند09</t>
  </si>
  <si>
    <t>منفعت صبا اروند نوين 14001222</t>
  </si>
  <si>
    <t>بكاب</t>
  </si>
  <si>
    <t>صنايع‌جوشكاب‌يزد</t>
  </si>
  <si>
    <t>70.41</t>
  </si>
  <si>
    <t>ضترا1108</t>
  </si>
  <si>
    <t>اختيارخ شتران-4746-1398/11/08</t>
  </si>
  <si>
    <t>البرز</t>
  </si>
  <si>
    <t>بيمه البرز</t>
  </si>
  <si>
    <t>175</t>
  </si>
  <si>
    <t>پست9908-02</t>
  </si>
  <si>
    <t>پسته فندقي32-30طلاسبززرند9908</t>
  </si>
  <si>
    <t>ختوقا</t>
  </si>
  <si>
    <t>قطعات‌ اتومبيل‌ ايران‌</t>
  </si>
  <si>
    <t>328.63</t>
  </si>
  <si>
    <t>ضگل8042</t>
  </si>
  <si>
    <t>اختيارخ كگل-5920-1398/08/22</t>
  </si>
  <si>
    <t>صايپا203</t>
  </si>
  <si>
    <t>صكوك مرابحه سايپا203-3ماهه 16%</t>
  </si>
  <si>
    <t>دپارس</t>
  </si>
  <si>
    <t>پارس‌ دارو</t>
  </si>
  <si>
    <t>2048</t>
  </si>
  <si>
    <t>14.72</t>
  </si>
  <si>
    <t>فولاد هرمزگان جنوب</t>
  </si>
  <si>
    <t>1238</t>
  </si>
  <si>
    <t>4.94</t>
  </si>
  <si>
    <t>ضمخا7028</t>
  </si>
  <si>
    <t>اختيارخ اخابر-4200-1399/07/30</t>
  </si>
  <si>
    <t>پارند</t>
  </si>
  <si>
    <t>صندوق س. پارند پايدار سپهر</t>
  </si>
  <si>
    <t>ضخوز1007</t>
  </si>
  <si>
    <t>اختيارخ فخوز-10000-1398/10/30</t>
  </si>
  <si>
    <t>اخزا614</t>
  </si>
  <si>
    <t>اسنادخزانه-م14بودجه96-981016</t>
  </si>
  <si>
    <t>ضپنا1010</t>
  </si>
  <si>
    <t>اختيارخ رمپنا-8380-1398/10/18</t>
  </si>
  <si>
    <t>شخارك</t>
  </si>
  <si>
    <t>پتروشيمي‌ خارك‌</t>
  </si>
  <si>
    <t>4853</t>
  </si>
  <si>
    <t>4.61</t>
  </si>
  <si>
    <t>ضخوز7009</t>
  </si>
  <si>
    <t>اختيارخ فخوز-12000-1398/07/30</t>
  </si>
  <si>
    <t>زقيام</t>
  </si>
  <si>
    <t>كشت و دام قيام اصفهان</t>
  </si>
  <si>
    <t>1058</t>
  </si>
  <si>
    <t>ضگل8047</t>
  </si>
  <si>
    <t>اختيارخ كگل-8420-1398/08/22</t>
  </si>
  <si>
    <t>پخشح</t>
  </si>
  <si>
    <t>ح. پخش البرز</t>
  </si>
  <si>
    <t>دبالك</t>
  </si>
  <si>
    <t>مواد اوليه دارويي البرز بالك</t>
  </si>
  <si>
    <t>469</t>
  </si>
  <si>
    <t>16.42</t>
  </si>
  <si>
    <t>قشير</t>
  </si>
  <si>
    <t>قند شيروان قوچان و بجنورد</t>
  </si>
  <si>
    <t>246</t>
  </si>
  <si>
    <t>41.16</t>
  </si>
  <si>
    <t>كورش99</t>
  </si>
  <si>
    <t>مرابحه صنعت غذايي كورش990411</t>
  </si>
  <si>
    <t>غبهار</t>
  </si>
  <si>
    <t>كشت وصنعت بهاران گلبهار خراسان</t>
  </si>
  <si>
    <t>ثروتم</t>
  </si>
  <si>
    <t>صندوق س. ثروت آفرين پارسيان-م</t>
  </si>
  <si>
    <t>ضجار1003</t>
  </si>
  <si>
    <t>اختيارخ وتجارت-600-1398/10/08</t>
  </si>
  <si>
    <t>ولصنم</t>
  </si>
  <si>
    <t>ليزينگ‌صنعت‌ومعدن‌</t>
  </si>
  <si>
    <t>216</t>
  </si>
  <si>
    <t>9.7</t>
  </si>
  <si>
    <t>اخزا706</t>
  </si>
  <si>
    <t>اسنادخزانه-م6بودجه97-990423</t>
  </si>
  <si>
    <t>سپ</t>
  </si>
  <si>
    <t>پرداخت الكترونيك سامان كيش</t>
  </si>
  <si>
    <t>725</t>
  </si>
  <si>
    <t>16.93</t>
  </si>
  <si>
    <t>اخزا718</t>
  </si>
  <si>
    <t>اسنادخزانه-م18بودجه97-000525</t>
  </si>
  <si>
    <t>شپترو</t>
  </si>
  <si>
    <t>پتروشيمي آبادان</t>
  </si>
  <si>
    <t>ضغدر8006</t>
  </si>
  <si>
    <t>اختيارخ وغدير-2800-1398/08/22</t>
  </si>
  <si>
    <t>نرخ ورق گرم در بورس کالا</t>
  </si>
  <si>
    <t>نرخ ورق سرد در بورس کالا</t>
  </si>
  <si>
    <t>نرخ ورق پوشش دار در بورس کالا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</si>
</sst>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[$-3000401]#,##0"/>
    <numFmt numFmtId="166" formatCode="[$-3000401]0"/>
    <numFmt numFmtId="167" formatCode="[$-3000401]#,##0.00"/>
    <numFmt numFmtId="168" formatCode="[$-3000401]0.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2  Titr"/>
      <charset val="178"/>
    </font>
    <font>
      <sz val="14"/>
      <color theme="1"/>
      <name val="2  Titr"/>
      <charset val="178"/>
    </font>
    <font>
      <sz val="24"/>
      <color theme="1"/>
      <name val="2  Titr"/>
      <charset val="178"/>
    </font>
    <font>
      <sz val="16"/>
      <color theme="1"/>
      <name val="2  Titr"/>
      <charset val="178"/>
    </font>
    <font>
      <sz val="18"/>
      <color theme="1"/>
      <name val="2  Titr"/>
      <charset val="178"/>
    </font>
    <font>
      <sz val="22"/>
      <color theme="1"/>
      <name val="2  Titr"/>
      <charset val="178"/>
    </font>
    <font>
      <sz val="26"/>
      <color theme="1"/>
      <name val="2  Titr"/>
      <charset val="178"/>
    </font>
    <font>
      <sz val="48"/>
      <color theme="1"/>
      <name val="2  Titr"/>
      <charset val="178"/>
    </font>
    <font>
      <sz val="11"/>
      <color rgb="FFFF0000"/>
      <name val="2  Titr"/>
      <charset val="178"/>
    </font>
    <font>
      <sz val="20"/>
      <color theme="1"/>
      <name val="2  Titr"/>
      <charset val="178"/>
    </font>
    <font>
      <b/>
      <i/>
      <sz val="11"/>
      <color theme="1"/>
      <name val="2  Titr"/>
      <charset val="178"/>
    </font>
    <font>
      <sz val="12"/>
      <color theme="1"/>
      <name val="2  Titr"/>
      <charset val="178"/>
    </font>
    <font>
      <sz val="28"/>
      <color theme="1"/>
      <name val="2  Titr"/>
      <charset val="178"/>
    </font>
    <font>
      <sz val="72"/>
      <color theme="1"/>
      <name val="2  Titr"/>
      <charset val="178"/>
    </font>
    <font>
      <b/>
      <sz val="11"/>
      <color theme="1"/>
      <name val="2  Titr"/>
      <charset val="178"/>
    </font>
    <font>
      <b/>
      <sz val="12"/>
      <color theme="1"/>
      <name val="2  Titr"/>
      <charset val="178"/>
    </font>
    <font>
      <b/>
      <i/>
      <sz val="12"/>
      <color theme="1"/>
      <name val="2  Titr"/>
      <charset val="178"/>
    </font>
    <font>
      <b/>
      <sz val="9"/>
      <color theme="1"/>
      <name val="2  Yekan"/>
      <charset val="178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5" tint="0.39997558519241921"/>
        <bgColor theme="7" tint="0.59999389629810485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theme="7"/>
      </patternFill>
    </fill>
    <fill>
      <patternFill patternType="solid">
        <fgColor theme="3" tint="0.59999389629810485"/>
        <bgColor theme="7" tint="0.59999389629810485"/>
      </patternFill>
    </fill>
    <fill>
      <patternFill patternType="solid">
        <fgColor theme="3" tint="0.59999389629810485"/>
        <bgColor theme="7" tint="0.79998168889431442"/>
      </patternFill>
    </fill>
    <fill>
      <patternFill patternType="solid">
        <fgColor theme="4" tint="0.59999389629810485"/>
        <bgColor theme="7" tint="0.59999389629810485"/>
      </patternFill>
    </fill>
    <fill>
      <patternFill patternType="solid">
        <fgColor theme="4" tint="0.59999389629810485"/>
        <bgColor theme="7" tint="0.79998168889431442"/>
      </patternFill>
    </fill>
    <fill>
      <patternFill patternType="solid">
        <fgColor theme="4" tint="0.79998168889431442"/>
        <bgColor theme="7"/>
      </patternFill>
    </fill>
    <fill>
      <patternFill patternType="solid">
        <fgColor theme="4" tint="0.79998168889431442"/>
        <bgColor theme="7" tint="0.59999389629810485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49B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theme="4" tint="-0.499984740745262"/>
      </left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/>
      <top style="double">
        <color theme="5"/>
      </top>
      <bottom style="double">
        <color theme="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00B0F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theme="7" tint="0.39994506668294322"/>
      </left>
      <right style="double">
        <color theme="7" tint="0.39994506668294322"/>
      </right>
      <top style="double">
        <color theme="7" tint="0.39994506668294322"/>
      </top>
      <bottom style="double">
        <color theme="7" tint="0.3999450666829432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2" fillId="3" borderId="5" xfId="1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4" fontId="3" fillId="4" borderId="7" xfId="1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64" fontId="3" fillId="4" borderId="9" xfId="1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164" fontId="2" fillId="3" borderId="11" xfId="1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4" fontId="3" fillId="4" borderId="13" xfId="1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9" fontId="3" fillId="5" borderId="2" xfId="2" applyFont="1" applyFill="1" applyBorder="1" applyAlignment="1">
      <alignment horizontal="center" vertical="center" readingOrder="1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164" fontId="2" fillId="2" borderId="1" xfId="0" applyNumberFormat="1" applyFont="1" applyFill="1" applyBorder="1"/>
    <xf numFmtId="164" fontId="2" fillId="2" borderId="15" xfId="0" applyNumberFormat="1" applyFont="1" applyFill="1" applyBorder="1"/>
    <xf numFmtId="9" fontId="2" fillId="2" borderId="15" xfId="2" applyFont="1" applyFill="1" applyBorder="1"/>
    <xf numFmtId="164" fontId="2" fillId="2" borderId="15" xfId="1" applyNumberFormat="1" applyFont="1" applyFill="1" applyBorder="1"/>
    <xf numFmtId="9" fontId="2" fillId="2" borderId="2" xfId="2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9" fontId="3" fillId="6" borderId="14" xfId="2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9" fontId="2" fillId="0" borderId="0" xfId="2" applyFont="1" applyAlignment="1">
      <alignment horizontal="center" vertical="center"/>
    </xf>
    <xf numFmtId="37" fontId="3" fillId="5" borderId="1" xfId="1" applyNumberFormat="1" applyFont="1" applyFill="1" applyBorder="1" applyAlignment="1">
      <alignment horizontal="center" vertical="center"/>
    </xf>
    <xf numFmtId="9" fontId="3" fillId="5" borderId="11" xfId="2" applyFont="1" applyFill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164" fontId="2" fillId="7" borderId="18" xfId="1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/>
    </xf>
    <xf numFmtId="164" fontId="2" fillId="0" borderId="9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7" borderId="19" xfId="1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 vertical="center"/>
    </xf>
    <xf numFmtId="0" fontId="7" fillId="9" borderId="12" xfId="0" applyFont="1" applyFill="1" applyBorder="1" applyAlignment="1">
      <alignment horizontal="center"/>
    </xf>
    <xf numFmtId="37" fontId="5" fillId="10" borderId="20" xfId="1" applyNumberFormat="1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/>
    </xf>
    <xf numFmtId="164" fontId="2" fillId="7" borderId="21" xfId="1" applyNumberFormat="1" applyFont="1" applyFill="1" applyBorder="1" applyAlignment="1">
      <alignment horizontal="center" vertical="center"/>
    </xf>
    <xf numFmtId="164" fontId="2" fillId="11" borderId="22" xfId="1" applyNumberFormat="1" applyFont="1" applyFill="1" applyBorder="1" applyAlignment="1">
      <alignment horizontal="center" vertical="center"/>
    </xf>
    <xf numFmtId="0" fontId="2" fillId="11" borderId="22" xfId="0" applyFont="1" applyFill="1" applyBorder="1" applyAlignment="1">
      <alignment horizontal="center" vertical="center"/>
    </xf>
    <xf numFmtId="164" fontId="2" fillId="7" borderId="3" xfId="1" applyNumberFormat="1" applyFont="1" applyFill="1" applyBorder="1" applyAlignment="1">
      <alignment horizontal="center" vertical="center"/>
    </xf>
    <xf numFmtId="164" fontId="2" fillId="7" borderId="23" xfId="1" applyNumberFormat="1" applyFont="1" applyFill="1" applyBorder="1" applyAlignment="1">
      <alignment horizontal="center" vertical="center"/>
    </xf>
    <xf numFmtId="164" fontId="2" fillId="7" borderId="4" xfId="1" applyNumberFormat="1" applyFont="1" applyFill="1" applyBorder="1" applyAlignment="1">
      <alignment horizontal="center" vertical="center"/>
    </xf>
    <xf numFmtId="164" fontId="2" fillId="7" borderId="14" xfId="1" applyNumberFormat="1" applyFont="1" applyFill="1" applyBorder="1" applyAlignment="1">
      <alignment horizontal="center" vertical="center"/>
    </xf>
    <xf numFmtId="43" fontId="2" fillId="11" borderId="22" xfId="0" applyNumberFormat="1" applyFont="1" applyFill="1" applyBorder="1" applyAlignment="1">
      <alignment horizontal="center" vertical="center"/>
    </xf>
    <xf numFmtId="37" fontId="2" fillId="12" borderId="0" xfId="0" applyNumberFormat="1" applyFont="1" applyFill="1" applyAlignment="1">
      <alignment horizontal="center" vertical="center"/>
    </xf>
    <xf numFmtId="37" fontId="2" fillId="12" borderId="22" xfId="1" applyNumberFormat="1" applyFont="1" applyFill="1" applyBorder="1" applyAlignment="1">
      <alignment horizontal="center" vertical="center"/>
    </xf>
    <xf numFmtId="3" fontId="2" fillId="12" borderId="22" xfId="0" applyNumberFormat="1" applyFont="1" applyFill="1" applyBorder="1" applyAlignment="1">
      <alignment horizontal="center" vertical="center"/>
    </xf>
    <xf numFmtId="37" fontId="2" fillId="13" borderId="0" xfId="0" applyNumberFormat="1" applyFont="1" applyFill="1" applyAlignment="1">
      <alignment horizontal="center" vertical="center"/>
    </xf>
    <xf numFmtId="37" fontId="2" fillId="13" borderId="22" xfId="1" applyNumberFormat="1" applyFont="1" applyFill="1" applyBorder="1" applyAlignment="1">
      <alignment horizontal="center" vertical="center"/>
    </xf>
    <xf numFmtId="3" fontId="2" fillId="13" borderId="22" xfId="0" applyNumberFormat="1" applyFont="1" applyFill="1" applyBorder="1" applyAlignment="1">
      <alignment horizontal="center" vertical="center"/>
    </xf>
    <xf numFmtId="37" fontId="2" fillId="14" borderId="0" xfId="0" applyNumberFormat="1" applyFont="1" applyFill="1" applyAlignment="1">
      <alignment horizontal="center" vertical="center"/>
    </xf>
    <xf numFmtId="37" fontId="2" fillId="14" borderId="22" xfId="1" applyNumberFormat="1" applyFont="1" applyFill="1" applyBorder="1" applyAlignment="1">
      <alignment horizontal="center" vertical="center"/>
    </xf>
    <xf numFmtId="3" fontId="2" fillId="14" borderId="22" xfId="0" applyNumberFormat="1" applyFont="1" applyFill="1" applyBorder="1" applyAlignment="1">
      <alignment horizontal="center" vertical="center"/>
    </xf>
    <xf numFmtId="37" fontId="2" fillId="15" borderId="0" xfId="0" applyNumberFormat="1" applyFont="1" applyFill="1" applyAlignment="1">
      <alignment horizontal="center" vertical="center"/>
    </xf>
    <xf numFmtId="37" fontId="2" fillId="15" borderId="22" xfId="1" applyNumberFormat="1" applyFont="1" applyFill="1" applyBorder="1" applyAlignment="1">
      <alignment horizontal="center" vertical="center"/>
    </xf>
    <xf numFmtId="3" fontId="2" fillId="15" borderId="22" xfId="0" applyNumberFormat="1" applyFont="1" applyFill="1" applyBorder="1" applyAlignment="1">
      <alignment horizontal="center" vertical="center"/>
    </xf>
    <xf numFmtId="37" fontId="2" fillId="5" borderId="0" xfId="0" applyNumberFormat="1" applyFont="1" applyFill="1" applyAlignment="1">
      <alignment horizontal="center" vertical="center"/>
    </xf>
    <xf numFmtId="37" fontId="2" fillId="5" borderId="22" xfId="1" applyNumberFormat="1" applyFont="1" applyFill="1" applyBorder="1" applyAlignment="1">
      <alignment horizontal="center" vertical="center"/>
    </xf>
    <xf numFmtId="3" fontId="2" fillId="5" borderId="22" xfId="0" applyNumberFormat="1" applyFont="1" applyFill="1" applyBorder="1" applyAlignment="1">
      <alignment horizontal="center" vertical="center"/>
    </xf>
    <xf numFmtId="37" fontId="2" fillId="16" borderId="0" xfId="0" applyNumberFormat="1" applyFont="1" applyFill="1" applyAlignment="1">
      <alignment horizontal="center" vertical="center"/>
    </xf>
    <xf numFmtId="37" fontId="2" fillId="16" borderId="22" xfId="1" applyNumberFormat="1" applyFont="1" applyFill="1" applyBorder="1" applyAlignment="1">
      <alignment horizontal="center" vertical="center"/>
    </xf>
    <xf numFmtId="3" fontId="2" fillId="16" borderId="22" xfId="0" applyNumberFormat="1" applyFont="1" applyFill="1" applyBorder="1" applyAlignment="1">
      <alignment horizontal="center" vertical="center"/>
    </xf>
    <xf numFmtId="37" fontId="2" fillId="17" borderId="0" xfId="0" applyNumberFormat="1" applyFont="1" applyFill="1" applyAlignment="1">
      <alignment horizontal="center" vertical="center"/>
    </xf>
    <xf numFmtId="37" fontId="2" fillId="17" borderId="22" xfId="1" applyNumberFormat="1" applyFont="1" applyFill="1" applyBorder="1" applyAlignment="1">
      <alignment horizontal="center" vertical="center"/>
    </xf>
    <xf numFmtId="3" fontId="2" fillId="17" borderId="2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65" fontId="2" fillId="3" borderId="26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6" fontId="2" fillId="3" borderId="26" xfId="0" applyNumberFormat="1" applyFont="1" applyFill="1" applyBorder="1" applyAlignment="1">
      <alignment horizontal="center" vertical="center"/>
    </xf>
    <xf numFmtId="0" fontId="10" fillId="18" borderId="0" xfId="0" quotePrefix="1" applyFont="1" applyFill="1" applyAlignment="1">
      <alignment horizontal="center"/>
    </xf>
    <xf numFmtId="9" fontId="2" fillId="16" borderId="0" xfId="2" applyFont="1" applyFill="1" applyAlignment="1">
      <alignment horizontal="center" vertical="center"/>
    </xf>
    <xf numFmtId="0" fontId="2" fillId="16" borderId="0" xfId="0" applyFont="1" applyFill="1"/>
    <xf numFmtId="9" fontId="2" fillId="19" borderId="0" xfId="2" applyFont="1" applyFill="1" applyAlignment="1">
      <alignment horizontal="center" vertical="center"/>
    </xf>
    <xf numFmtId="0" fontId="2" fillId="19" borderId="0" xfId="0" applyFont="1" applyFill="1"/>
    <xf numFmtId="9" fontId="2" fillId="14" borderId="0" xfId="2" applyFont="1" applyFill="1" applyAlignment="1">
      <alignment horizontal="center" vertical="center"/>
    </xf>
    <xf numFmtId="0" fontId="2" fillId="14" borderId="0" xfId="0" applyFont="1" applyFill="1"/>
    <xf numFmtId="0" fontId="2" fillId="19" borderId="0" xfId="0" applyFont="1" applyFill="1" applyAlignment="1">
      <alignment horizontal="center" vertical="center"/>
    </xf>
    <xf numFmtId="0" fontId="11" fillId="19" borderId="0" xfId="0" applyFont="1" applyFill="1" applyAlignment="1">
      <alignment horizontal="center"/>
    </xf>
    <xf numFmtId="9" fontId="10" fillId="0" borderId="0" xfId="0" applyNumberFormat="1" applyFont="1" applyAlignment="1">
      <alignment horizontal="center" vertical="center"/>
    </xf>
    <xf numFmtId="9" fontId="10" fillId="0" borderId="0" xfId="2" applyFont="1" applyAlignment="1">
      <alignment horizontal="center" vertical="center"/>
    </xf>
    <xf numFmtId="38" fontId="2" fillId="20" borderId="1" xfId="0" applyNumberFormat="1" applyFont="1" applyFill="1" applyBorder="1" applyAlignment="1">
      <alignment horizontal="center" vertical="center"/>
    </xf>
    <xf numFmtId="38" fontId="2" fillId="20" borderId="15" xfId="0" applyNumberFormat="1" applyFont="1" applyFill="1" applyBorder="1" applyAlignment="1">
      <alignment horizontal="center" vertical="center"/>
    </xf>
    <xf numFmtId="0" fontId="2" fillId="21" borderId="2" xfId="0" applyFont="1" applyFill="1" applyBorder="1" applyAlignment="1">
      <alignment horizontal="center" vertical="center"/>
    </xf>
    <xf numFmtId="38" fontId="2" fillId="20" borderId="5" xfId="0" applyNumberFormat="1" applyFont="1" applyFill="1" applyBorder="1" applyAlignment="1">
      <alignment horizontal="center" vertical="center"/>
    </xf>
    <xf numFmtId="38" fontId="2" fillId="20" borderId="26" xfId="0" applyNumberFormat="1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/>
    </xf>
    <xf numFmtId="0" fontId="2" fillId="21" borderId="11" xfId="0" applyFont="1" applyFill="1" applyBorder="1" applyAlignment="1">
      <alignment horizontal="center" vertical="center"/>
    </xf>
    <xf numFmtId="0" fontId="2" fillId="21" borderId="16" xfId="0" applyFont="1" applyFill="1" applyBorder="1" applyAlignment="1">
      <alignment horizontal="center" vertical="center"/>
    </xf>
    <xf numFmtId="0" fontId="2" fillId="21" borderId="12" xfId="0" applyFont="1" applyFill="1" applyBorder="1" applyAlignment="1">
      <alignment horizontal="center" vertical="center"/>
    </xf>
    <xf numFmtId="164" fontId="2" fillId="20" borderId="1" xfId="1" applyNumberFormat="1" applyFont="1" applyFill="1" applyBorder="1" applyAlignment="1">
      <alignment horizontal="center" vertical="center"/>
    </xf>
    <xf numFmtId="164" fontId="2" fillId="20" borderId="15" xfId="1" applyNumberFormat="1" applyFont="1" applyFill="1" applyBorder="1" applyAlignment="1">
      <alignment horizontal="center" vertical="center"/>
    </xf>
    <xf numFmtId="165" fontId="2" fillId="20" borderId="15" xfId="0" applyNumberFormat="1" applyFont="1" applyFill="1" applyBorder="1" applyAlignment="1">
      <alignment horizontal="center" vertical="center"/>
    </xf>
    <xf numFmtId="0" fontId="2" fillId="20" borderId="15" xfId="0" applyFont="1" applyFill="1" applyBorder="1" applyAlignment="1">
      <alignment horizontal="center" vertical="center"/>
    </xf>
    <xf numFmtId="164" fontId="2" fillId="20" borderId="5" xfId="1" applyNumberFormat="1" applyFont="1" applyFill="1" applyBorder="1" applyAlignment="1">
      <alignment horizontal="center" vertical="center"/>
    </xf>
    <xf numFmtId="164" fontId="2" fillId="20" borderId="26" xfId="1" applyNumberFormat="1" applyFont="1" applyFill="1" applyBorder="1" applyAlignment="1">
      <alignment horizontal="center" vertical="center"/>
    </xf>
    <xf numFmtId="165" fontId="2" fillId="20" borderId="26" xfId="0" applyNumberFormat="1" applyFont="1" applyFill="1" applyBorder="1" applyAlignment="1">
      <alignment horizontal="center" vertical="center"/>
    </xf>
    <xf numFmtId="0" fontId="2" fillId="20" borderId="26" xfId="0" applyFont="1" applyFill="1" applyBorder="1" applyAlignment="1">
      <alignment horizontal="center" vertical="center"/>
    </xf>
    <xf numFmtId="166" fontId="2" fillId="20" borderId="26" xfId="0" applyNumberFormat="1" applyFont="1" applyFill="1" applyBorder="1" applyAlignment="1">
      <alignment horizontal="center" vertical="center"/>
    </xf>
    <xf numFmtId="164" fontId="2" fillId="20" borderId="15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4" fontId="2" fillId="20" borderId="26" xfId="0" applyNumberFormat="1" applyFont="1" applyFill="1" applyBorder="1" applyAlignment="1">
      <alignment horizontal="center" vertical="center"/>
    </xf>
    <xf numFmtId="164" fontId="2" fillId="17" borderId="1" xfId="1" applyNumberFormat="1" applyFont="1" applyFill="1" applyBorder="1" applyAlignment="1">
      <alignment horizontal="center" vertical="center"/>
    </xf>
    <xf numFmtId="164" fontId="2" fillId="17" borderId="15" xfId="1" applyNumberFormat="1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9" fontId="2" fillId="17" borderId="11" xfId="2" applyFont="1" applyFill="1" applyBorder="1" applyAlignment="1">
      <alignment horizontal="center" vertical="center"/>
    </xf>
    <xf numFmtId="164" fontId="2" fillId="17" borderId="16" xfId="1" applyNumberFormat="1" applyFont="1" applyFill="1" applyBorder="1" applyAlignment="1">
      <alignment horizontal="center" vertical="center"/>
    </xf>
    <xf numFmtId="9" fontId="2" fillId="17" borderId="16" xfId="2" applyFont="1" applyFill="1" applyBorder="1" applyAlignment="1">
      <alignment horizontal="center" vertical="center"/>
    </xf>
    <xf numFmtId="0" fontId="2" fillId="17" borderId="12" xfId="0" applyFont="1" applyFill="1" applyBorder="1" applyAlignment="1">
      <alignment horizontal="center" vertical="center"/>
    </xf>
    <xf numFmtId="164" fontId="2" fillId="17" borderId="27" xfId="1" applyNumberFormat="1" applyFont="1" applyFill="1" applyBorder="1" applyAlignment="1">
      <alignment horizontal="center" vertical="center"/>
    </xf>
    <xf numFmtId="164" fontId="2" fillId="17" borderId="28" xfId="1" applyNumberFormat="1" applyFont="1" applyFill="1" applyBorder="1" applyAlignment="1">
      <alignment horizontal="center" vertical="center"/>
    </xf>
    <xf numFmtId="0" fontId="2" fillId="17" borderId="29" xfId="0" applyFont="1" applyFill="1" applyBorder="1" applyAlignment="1">
      <alignment horizontal="center" vertical="center"/>
    </xf>
    <xf numFmtId="164" fontId="2" fillId="17" borderId="5" xfId="1" applyNumberFormat="1" applyFont="1" applyFill="1" applyBorder="1" applyAlignment="1">
      <alignment horizontal="center" vertical="center"/>
    </xf>
    <xf numFmtId="164" fontId="2" fillId="17" borderId="26" xfId="1" applyNumberFormat="1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9" fontId="2" fillId="17" borderId="5" xfId="2" applyFont="1" applyFill="1" applyBorder="1" applyAlignment="1">
      <alignment horizontal="center" vertical="center"/>
    </xf>
    <xf numFmtId="9" fontId="2" fillId="17" borderId="26" xfId="2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/>
    </xf>
    <xf numFmtId="0" fontId="2" fillId="17" borderId="16" xfId="0" applyFont="1" applyFill="1" applyBorder="1" applyAlignment="1">
      <alignment horizontal="center" vertical="center"/>
    </xf>
    <xf numFmtId="0" fontId="2" fillId="17" borderId="27" xfId="0" applyFont="1" applyFill="1" applyBorder="1" applyAlignment="1">
      <alignment horizontal="center" vertical="center"/>
    </xf>
    <xf numFmtId="0" fontId="2" fillId="17" borderId="28" xfId="0" applyFont="1" applyFill="1" applyBorder="1" applyAlignment="1">
      <alignment horizontal="center" vertical="center"/>
    </xf>
    <xf numFmtId="164" fontId="2" fillId="20" borderId="11" xfId="1" applyNumberFormat="1" applyFont="1" applyFill="1" applyBorder="1" applyAlignment="1">
      <alignment horizontal="center" vertical="center"/>
    </xf>
    <xf numFmtId="164" fontId="2" fillId="20" borderId="16" xfId="1" applyNumberFormat="1" applyFont="1" applyFill="1" applyBorder="1" applyAlignment="1">
      <alignment horizontal="center" vertical="center"/>
    </xf>
    <xf numFmtId="164" fontId="2" fillId="11" borderId="27" xfId="1" applyNumberFormat="1" applyFont="1" applyFill="1" applyBorder="1" applyAlignment="1">
      <alignment horizontal="center" vertical="center"/>
    </xf>
    <xf numFmtId="164" fontId="2" fillId="11" borderId="28" xfId="1" applyNumberFormat="1" applyFont="1" applyFill="1" applyBorder="1" applyAlignment="1">
      <alignment horizontal="center" vertical="center"/>
    </xf>
    <xf numFmtId="0" fontId="2" fillId="21" borderId="29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2" fillId="11" borderId="16" xfId="0" applyFont="1" applyFill="1" applyBorder="1" applyAlignment="1">
      <alignment horizontal="center" vertical="center"/>
    </xf>
    <xf numFmtId="0" fontId="2" fillId="21" borderId="27" xfId="0" applyFont="1" applyFill="1" applyBorder="1" applyAlignment="1">
      <alignment horizontal="center" vertical="center"/>
    </xf>
    <xf numFmtId="0" fontId="2" fillId="21" borderId="2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22" borderId="30" xfId="1" applyNumberFormat="1" applyFont="1" applyFill="1" applyBorder="1" applyAlignment="1">
      <alignment horizontal="center" vertical="center"/>
    </xf>
    <xf numFmtId="164" fontId="2" fillId="22" borderId="31" xfId="1" applyNumberFormat="1" applyFont="1" applyFill="1" applyBorder="1" applyAlignment="1">
      <alignment horizontal="center" vertical="center"/>
    </xf>
    <xf numFmtId="0" fontId="2" fillId="21" borderId="32" xfId="0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4" fontId="2" fillId="20" borderId="33" xfId="1" applyNumberFormat="1" applyFont="1" applyFill="1" applyBorder="1" applyAlignment="1">
      <alignment horizontal="center" vertical="center"/>
    </xf>
    <xf numFmtId="164" fontId="2" fillId="20" borderId="34" xfId="1" applyNumberFormat="1" applyFont="1" applyFill="1" applyBorder="1" applyAlignment="1">
      <alignment horizontal="center" vertical="center"/>
    </xf>
    <xf numFmtId="0" fontId="2" fillId="21" borderId="35" xfId="0" applyFont="1" applyFill="1" applyBorder="1" applyAlignment="1">
      <alignment horizontal="center" vertical="center"/>
    </xf>
    <xf numFmtId="164" fontId="2" fillId="11" borderId="11" xfId="1" applyNumberFormat="1" applyFont="1" applyFill="1" applyBorder="1" applyAlignment="1">
      <alignment horizontal="center" vertical="center"/>
    </xf>
    <xf numFmtId="164" fontId="2" fillId="11" borderId="16" xfId="1" applyNumberFormat="1" applyFont="1" applyFill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9" fontId="2" fillId="17" borderId="30" xfId="2" applyFont="1" applyFill="1" applyBorder="1" applyAlignment="1">
      <alignment horizontal="center" vertical="center"/>
    </xf>
    <xf numFmtId="164" fontId="2" fillId="17" borderId="31" xfId="1" applyNumberFormat="1" applyFont="1" applyFill="1" applyBorder="1" applyAlignment="1">
      <alignment horizontal="center" vertical="center"/>
    </xf>
    <xf numFmtId="0" fontId="2" fillId="14" borderId="32" xfId="0" applyFont="1" applyFill="1" applyBorder="1" applyAlignment="1">
      <alignment horizontal="center" vertical="center"/>
    </xf>
    <xf numFmtId="43" fontId="2" fillId="17" borderId="1" xfId="1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43" fontId="2" fillId="17" borderId="33" xfId="1" applyFont="1" applyFill="1" applyBorder="1" applyAlignment="1">
      <alignment horizontal="center" vertical="center"/>
    </xf>
    <xf numFmtId="164" fontId="2" fillId="17" borderId="34" xfId="1" applyNumberFormat="1" applyFont="1" applyFill="1" applyBorder="1" applyAlignment="1">
      <alignment horizontal="center" vertical="center"/>
    </xf>
    <xf numFmtId="43" fontId="2" fillId="17" borderId="34" xfId="1" applyFont="1" applyFill="1" applyBorder="1" applyAlignment="1">
      <alignment horizontal="center" vertical="center"/>
    </xf>
    <xf numFmtId="0" fontId="2" fillId="14" borderId="35" xfId="0" applyFont="1" applyFill="1" applyBorder="1" applyAlignment="1">
      <alignment horizontal="center" vertical="center"/>
    </xf>
    <xf numFmtId="43" fontId="2" fillId="17" borderId="5" xfId="1" applyFont="1" applyFill="1" applyBorder="1" applyAlignment="1">
      <alignment horizontal="center" vertical="center"/>
    </xf>
    <xf numFmtId="43" fontId="2" fillId="17" borderId="26" xfId="1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43" fontId="2" fillId="14" borderId="11" xfId="1" applyFont="1" applyFill="1" applyBorder="1" applyAlignment="1">
      <alignment horizontal="center" vertical="center"/>
    </xf>
    <xf numFmtId="0" fontId="2" fillId="14" borderId="16" xfId="0" applyFont="1" applyFill="1" applyBorder="1" applyAlignment="1">
      <alignment horizontal="center" vertical="center"/>
    </xf>
    <xf numFmtId="43" fontId="2" fillId="14" borderId="16" xfId="1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43" fontId="2" fillId="17" borderId="15" xfId="1" applyFont="1" applyFill="1" applyBorder="1" applyAlignment="1">
      <alignment horizontal="center" vertical="center"/>
    </xf>
    <xf numFmtId="0" fontId="2" fillId="14" borderId="27" xfId="0" applyFont="1" applyFill="1" applyBorder="1" applyAlignment="1">
      <alignment horizontal="center" vertical="center"/>
    </xf>
    <xf numFmtId="0" fontId="2" fillId="14" borderId="28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4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12" fillId="17" borderId="26" xfId="1" applyNumberFormat="1" applyFont="1" applyFill="1" applyBorder="1" applyAlignment="1">
      <alignment horizontal="center" vertical="center"/>
    </xf>
    <xf numFmtId="9" fontId="12" fillId="17" borderId="26" xfId="2" applyFont="1" applyFill="1" applyBorder="1" applyAlignment="1">
      <alignment horizontal="center" vertical="center"/>
    </xf>
    <xf numFmtId="0" fontId="12" fillId="14" borderId="26" xfId="0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/>
    </xf>
    <xf numFmtId="9" fontId="12" fillId="0" borderId="0" xfId="2" applyFont="1" applyFill="1" applyBorder="1" applyAlignment="1">
      <alignment horizontal="center" vertical="center"/>
    </xf>
    <xf numFmtId="9" fontId="2" fillId="2" borderId="0" xfId="2" applyFont="1" applyFill="1" applyAlignment="1">
      <alignment horizontal="center" vertical="center"/>
    </xf>
    <xf numFmtId="3" fontId="12" fillId="20" borderId="26" xfId="1" applyNumberFormat="1" applyFont="1" applyFill="1" applyBorder="1" applyAlignment="1">
      <alignment horizontal="center" vertical="center"/>
    </xf>
    <xf numFmtId="0" fontId="12" fillId="21" borderId="26" xfId="0" applyFont="1" applyFill="1" applyBorder="1" applyAlignment="1">
      <alignment horizontal="center" vertical="center"/>
    </xf>
    <xf numFmtId="164" fontId="12" fillId="21" borderId="26" xfId="1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9" fontId="2" fillId="0" borderId="0" xfId="2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165" fontId="2" fillId="0" borderId="0" xfId="0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5" fontId="2" fillId="23" borderId="0" xfId="0" applyNumberFormat="1" applyFont="1" applyFill="1" applyAlignment="1">
      <alignment horizontal="center" vertical="center"/>
    </xf>
    <xf numFmtId="0" fontId="2" fillId="23" borderId="0" xfId="0" applyFont="1" applyFill="1" applyAlignment="1">
      <alignment horizontal="center" vertical="center"/>
    </xf>
    <xf numFmtId="0" fontId="12" fillId="21" borderId="26" xfId="0" applyFont="1" applyFill="1" applyBorder="1" applyAlignment="1">
      <alignment horizontal="center" vertical="center" wrapText="1"/>
    </xf>
    <xf numFmtId="37" fontId="3" fillId="2" borderId="3" xfId="1" applyNumberFormat="1" applyFont="1" applyFill="1" applyBorder="1" applyAlignment="1">
      <alignment horizontal="center"/>
    </xf>
    <xf numFmtId="0" fontId="3" fillId="2" borderId="4" xfId="0" applyFont="1" applyFill="1" applyBorder="1"/>
    <xf numFmtId="37" fontId="3" fillId="4" borderId="7" xfId="1" applyNumberFormat="1" applyFont="1" applyFill="1" applyBorder="1" applyAlignment="1">
      <alignment horizontal="center"/>
    </xf>
    <xf numFmtId="0" fontId="3" fillId="4" borderId="8" xfId="0" applyFont="1" applyFill="1" applyBorder="1"/>
    <xf numFmtId="37" fontId="3" fillId="4" borderId="9" xfId="1" applyNumberFormat="1" applyFont="1" applyFill="1" applyBorder="1" applyAlignment="1">
      <alignment horizontal="center"/>
    </xf>
    <xf numFmtId="0" fontId="3" fillId="4" borderId="10" xfId="0" applyFont="1" applyFill="1" applyBorder="1"/>
    <xf numFmtId="37" fontId="3" fillId="4" borderId="13" xfId="1" applyNumberFormat="1" applyFont="1" applyFill="1" applyBorder="1" applyAlignment="1">
      <alignment horizontal="center"/>
    </xf>
    <xf numFmtId="0" fontId="3" fillId="4" borderId="14" xfId="0" applyFont="1" applyFill="1" applyBorder="1"/>
    <xf numFmtId="0" fontId="3" fillId="6" borderId="13" xfId="0" applyFont="1" applyFill="1" applyBorder="1"/>
    <xf numFmtId="9" fontId="3" fillId="6" borderId="14" xfId="2" applyFont="1" applyFill="1" applyBorder="1"/>
    <xf numFmtId="0" fontId="3" fillId="0" borderId="0" xfId="0" applyFont="1"/>
    <xf numFmtId="37" fontId="2" fillId="0" borderId="7" xfId="0" applyNumberFormat="1" applyFont="1" applyBorder="1" applyAlignment="1">
      <alignment horizontal="center"/>
    </xf>
    <xf numFmtId="37" fontId="2" fillId="0" borderId="17" xfId="0" applyNumberFormat="1" applyFont="1" applyBorder="1" applyAlignment="1">
      <alignment horizontal="center"/>
    </xf>
    <xf numFmtId="37" fontId="2" fillId="0" borderId="8" xfId="0" applyNumberFormat="1" applyFont="1" applyBorder="1" applyAlignment="1">
      <alignment horizontal="center"/>
    </xf>
    <xf numFmtId="37" fontId="2" fillId="7" borderId="18" xfId="1" applyNumberFormat="1" applyFont="1" applyFill="1" applyBorder="1" applyAlignment="1">
      <alignment horizontal="center" vertical="center"/>
    </xf>
    <xf numFmtId="37" fontId="2" fillId="0" borderId="9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7" fontId="2" fillId="0" borderId="10" xfId="0" applyNumberFormat="1" applyFont="1" applyBorder="1" applyAlignment="1">
      <alignment horizontal="center"/>
    </xf>
    <xf numFmtId="37" fontId="2" fillId="7" borderId="19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3" fontId="2" fillId="8" borderId="1" xfId="1" applyNumberFormat="1" applyFont="1" applyFill="1" applyBorder="1" applyAlignment="1">
      <alignment horizontal="center"/>
    </xf>
    <xf numFmtId="3" fontId="2" fillId="8" borderId="5" xfId="1" applyNumberFormat="1" applyFont="1" applyFill="1" applyBorder="1" applyAlignment="1">
      <alignment horizontal="center"/>
    </xf>
    <xf numFmtId="37" fontId="2" fillId="0" borderId="13" xfId="0" applyNumberFormat="1" applyFont="1" applyBorder="1" applyAlignment="1">
      <alignment horizontal="center"/>
    </xf>
    <xf numFmtId="37" fontId="2" fillId="0" borderId="24" xfId="0" applyNumberFormat="1" applyFont="1" applyBorder="1" applyAlignment="1">
      <alignment horizontal="center"/>
    </xf>
    <xf numFmtId="37" fontId="2" fillId="0" borderId="14" xfId="0" applyNumberFormat="1" applyFont="1" applyBorder="1" applyAlignment="1">
      <alignment horizontal="center"/>
    </xf>
    <xf numFmtId="3" fontId="6" fillId="9" borderId="11" xfId="1" applyNumberFormat="1" applyFont="1" applyFill="1" applyBorder="1" applyAlignment="1">
      <alignment horizontal="center"/>
    </xf>
    <xf numFmtId="37" fontId="2" fillId="7" borderId="3" xfId="1" applyNumberFormat="1" applyFont="1" applyFill="1" applyBorder="1" applyAlignment="1">
      <alignment horizontal="center" vertical="center"/>
    </xf>
    <xf numFmtId="37" fontId="2" fillId="7" borderId="23" xfId="1" applyNumberFormat="1" applyFont="1" applyFill="1" applyBorder="1" applyAlignment="1">
      <alignment horizontal="center" vertical="center"/>
    </xf>
    <xf numFmtId="37" fontId="2" fillId="7" borderId="21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10" borderId="20" xfId="1" applyNumberFormat="1" applyFont="1" applyFill="1" applyBorder="1" applyAlignment="1">
      <alignment horizontal="center"/>
    </xf>
    <xf numFmtId="3" fontId="2" fillId="24" borderId="22" xfId="1" applyNumberFormat="1" applyFont="1" applyFill="1" applyBorder="1" applyAlignment="1">
      <alignment horizontal="center"/>
    </xf>
    <xf numFmtId="0" fontId="2" fillId="24" borderId="22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3" borderId="26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166" fontId="2" fillId="3" borderId="26" xfId="0" applyNumberFormat="1" applyFont="1" applyFill="1" applyBorder="1" applyAlignment="1">
      <alignment horizontal="center"/>
    </xf>
    <xf numFmtId="3" fontId="2" fillId="24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9" fontId="2" fillId="16" borderId="0" xfId="2" applyFont="1" applyFill="1" applyAlignment="1">
      <alignment horizontal="center"/>
    </xf>
    <xf numFmtId="9" fontId="2" fillId="19" borderId="0" xfId="2" applyFont="1" applyFill="1" applyAlignment="1">
      <alignment horizontal="center"/>
    </xf>
    <xf numFmtId="9" fontId="2" fillId="14" borderId="0" xfId="2" applyFont="1" applyFill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9" fontId="10" fillId="0" borderId="0" xfId="2" applyFont="1" applyAlignment="1">
      <alignment horizontal="center"/>
    </xf>
    <xf numFmtId="38" fontId="2" fillId="6" borderId="26" xfId="0" applyNumberFormat="1" applyFont="1" applyFill="1" applyBorder="1" applyAlignment="1">
      <alignment horizontal="center"/>
    </xf>
    <xf numFmtId="0" fontId="12" fillId="10" borderId="26" xfId="0" applyFont="1" applyFill="1" applyBorder="1" applyAlignment="1">
      <alignment horizontal="center"/>
    </xf>
    <xf numFmtId="3" fontId="2" fillId="6" borderId="26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9" fontId="2" fillId="6" borderId="1" xfId="2" applyFont="1" applyFill="1" applyBorder="1" applyAlignment="1">
      <alignment horizontal="center"/>
    </xf>
    <xf numFmtId="9" fontId="2" fillId="6" borderId="15" xfId="2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3" fontId="2" fillId="6" borderId="15" xfId="0" applyNumberFormat="1" applyFont="1" applyFill="1" applyBorder="1" applyAlignment="1">
      <alignment horizontal="center"/>
    </xf>
    <xf numFmtId="9" fontId="2" fillId="11" borderId="5" xfId="2" applyFont="1" applyFill="1" applyBorder="1" applyAlignment="1">
      <alignment horizontal="center"/>
    </xf>
    <xf numFmtId="9" fontId="2" fillId="11" borderId="26" xfId="2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3" fontId="2" fillId="11" borderId="5" xfId="0" applyNumberFormat="1" applyFont="1" applyFill="1" applyBorder="1" applyAlignment="1">
      <alignment horizontal="center"/>
    </xf>
    <xf numFmtId="3" fontId="2" fillId="11" borderId="26" xfId="0" applyNumberFormat="1" applyFont="1" applyFill="1" applyBorder="1" applyAlignment="1">
      <alignment horizontal="center"/>
    </xf>
    <xf numFmtId="9" fontId="2" fillId="6" borderId="5" xfId="2" applyFont="1" applyFill="1" applyBorder="1" applyAlignment="1">
      <alignment horizontal="center"/>
    </xf>
    <xf numFmtId="9" fontId="2" fillId="6" borderId="26" xfId="2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center"/>
    </xf>
    <xf numFmtId="0" fontId="2" fillId="11" borderId="26" xfId="0" applyFont="1" applyFill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9" fontId="2" fillId="0" borderId="0" xfId="2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3" fontId="2" fillId="6" borderId="1" xfId="1" applyFont="1" applyFill="1" applyBorder="1" applyAlignment="1">
      <alignment horizontal="center"/>
    </xf>
    <xf numFmtId="43" fontId="2" fillId="6" borderId="15" xfId="1" applyFont="1" applyFill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43" fontId="2" fillId="6" borderId="5" xfId="1" applyFont="1" applyFill="1" applyBorder="1" applyAlignment="1">
      <alignment horizontal="center"/>
    </xf>
    <xf numFmtId="43" fontId="2" fillId="6" borderId="26" xfId="1" applyFont="1" applyFill="1" applyBorder="1" applyAlignment="1">
      <alignment horizontal="center"/>
    </xf>
    <xf numFmtId="43" fontId="2" fillId="11" borderId="5" xfId="1" applyFont="1" applyFill="1" applyBorder="1" applyAlignment="1">
      <alignment horizontal="center"/>
    </xf>
    <xf numFmtId="43" fontId="2" fillId="11" borderId="26" xfId="1" applyFont="1" applyFill="1" applyBorder="1" applyAlignment="1">
      <alignment horizontal="center"/>
    </xf>
    <xf numFmtId="9" fontId="12" fillId="6" borderId="26" xfId="2" applyFont="1" applyFill="1" applyBorder="1" applyAlignment="1">
      <alignment horizontal="center"/>
    </xf>
    <xf numFmtId="37" fontId="12" fillId="6" borderId="26" xfId="1" applyNumberFormat="1" applyFont="1" applyFill="1" applyBorder="1" applyAlignment="1">
      <alignment horizontal="center"/>
    </xf>
    <xf numFmtId="37" fontId="12" fillId="6" borderId="26" xfId="1" applyNumberFormat="1" applyFont="1" applyFill="1" applyBorder="1" applyAlignment="1">
      <alignment horizontal="center" vertical="center"/>
    </xf>
    <xf numFmtId="164" fontId="12" fillId="10" borderId="26" xfId="1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0" xfId="0" applyNumberFormat="1" applyFont="1" applyFill="1" applyBorder="1"/>
    <xf numFmtId="0" fontId="2" fillId="0" borderId="0" xfId="0" applyFont="1" applyFill="1" applyBorder="1"/>
    <xf numFmtId="43" fontId="2" fillId="3" borderId="11" xfId="1" applyNumberFormat="1" applyFont="1" applyFill="1" applyBorder="1" applyAlignment="1">
      <alignment horizontal="center" vertical="center"/>
    </xf>
    <xf numFmtId="164" fontId="2" fillId="0" borderId="0" xfId="0" applyNumberFormat="1" applyFont="1"/>
    <xf numFmtId="164" fontId="2" fillId="0" borderId="0" xfId="1" applyNumberFormat="1" applyFont="1"/>
    <xf numFmtId="0" fontId="2" fillId="2" borderId="1" xfId="0" applyFont="1" applyFill="1" applyBorder="1"/>
    <xf numFmtId="0" fontId="2" fillId="2" borderId="15" xfId="0" applyFont="1" applyFill="1" applyBorder="1" applyAlignment="1"/>
    <xf numFmtId="0" fontId="2" fillId="2" borderId="2" xfId="0" applyFont="1" applyFill="1" applyBorder="1"/>
    <xf numFmtId="9" fontId="5" fillId="0" borderId="0" xfId="2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9" fontId="2" fillId="0" borderId="0" xfId="2" applyFont="1"/>
    <xf numFmtId="164" fontId="2" fillId="0" borderId="1" xfId="1" applyNumberFormat="1" applyFont="1" applyBorder="1"/>
    <xf numFmtId="164" fontId="2" fillId="0" borderId="15" xfId="1" applyNumberFormat="1" applyFont="1" applyBorder="1"/>
    <xf numFmtId="164" fontId="2" fillId="0" borderId="2" xfId="1" applyNumberFormat="1" applyFont="1" applyBorder="1"/>
    <xf numFmtId="164" fontId="2" fillId="7" borderId="8" xfId="1" applyNumberFormat="1" applyFont="1" applyFill="1" applyBorder="1"/>
    <xf numFmtId="164" fontId="2" fillId="0" borderId="5" xfId="1" applyNumberFormat="1" applyFont="1" applyBorder="1"/>
    <xf numFmtId="164" fontId="2" fillId="0" borderId="26" xfId="1" applyNumberFormat="1" applyFont="1" applyBorder="1"/>
    <xf numFmtId="164" fontId="2" fillId="0" borderId="6" xfId="1" applyNumberFormat="1" applyFont="1" applyBorder="1"/>
    <xf numFmtId="164" fontId="2" fillId="7" borderId="10" xfId="1" applyNumberFormat="1" applyFont="1" applyFill="1" applyBorder="1"/>
    <xf numFmtId="164" fontId="2" fillId="8" borderId="1" xfId="1" applyNumberFormat="1" applyFont="1" applyFill="1" applyBorder="1"/>
    <xf numFmtId="164" fontId="2" fillId="8" borderId="5" xfId="1" applyNumberFormat="1" applyFont="1" applyFill="1" applyBorder="1"/>
    <xf numFmtId="164" fontId="6" fillId="9" borderId="11" xfId="1" applyNumberFormat="1" applyFont="1" applyFill="1" applyBorder="1"/>
    <xf numFmtId="164" fontId="2" fillId="0" borderId="11" xfId="1" applyNumberFormat="1" applyFont="1" applyBorder="1"/>
    <xf numFmtId="164" fontId="2" fillId="0" borderId="16" xfId="1" applyNumberFormat="1" applyFont="1" applyBorder="1"/>
    <xf numFmtId="164" fontId="2" fillId="0" borderId="12" xfId="1" applyNumberFormat="1" applyFont="1" applyBorder="1"/>
    <xf numFmtId="164" fontId="2" fillId="7" borderId="14" xfId="1" applyNumberFormat="1" applyFont="1" applyFill="1" applyBorder="1"/>
    <xf numFmtId="164" fontId="2" fillId="7" borderId="3" xfId="1" applyNumberFormat="1" applyFont="1" applyFill="1" applyBorder="1"/>
    <xf numFmtId="164" fontId="2" fillId="7" borderId="23" xfId="1" applyNumberFormat="1" applyFont="1" applyFill="1" applyBorder="1"/>
    <xf numFmtId="164" fontId="2" fillId="7" borderId="4" xfId="1" applyNumberFormat="1" applyFont="1" applyFill="1" applyBorder="1"/>
    <xf numFmtId="164" fontId="2" fillId="10" borderId="20" xfId="1" applyNumberFormat="1" applyFont="1" applyFill="1" applyBorder="1"/>
    <xf numFmtId="0" fontId="2" fillId="0" borderId="0" xfId="0" applyFont="1" applyAlignment="1">
      <alignment horizontal="right"/>
    </xf>
    <xf numFmtId="165" fontId="2" fillId="0" borderId="0" xfId="0" applyNumberFormat="1" applyFont="1"/>
    <xf numFmtId="166" fontId="2" fillId="0" borderId="0" xfId="0" applyNumberFormat="1" applyFont="1"/>
    <xf numFmtId="165" fontId="2" fillId="3" borderId="26" xfId="0" applyNumberFormat="1" applyFont="1" applyFill="1" applyBorder="1"/>
    <xf numFmtId="0" fontId="2" fillId="3" borderId="26" xfId="0" applyFont="1" applyFill="1" applyBorder="1"/>
    <xf numFmtId="166" fontId="2" fillId="3" borderId="26" xfId="0" applyNumberFormat="1" applyFont="1" applyFill="1" applyBorder="1"/>
    <xf numFmtId="0" fontId="2" fillId="24" borderId="22" xfId="0" applyFont="1" applyFill="1" applyBorder="1"/>
    <xf numFmtId="38" fontId="2" fillId="0" borderId="1" xfId="0" applyNumberFormat="1" applyFont="1" applyBorder="1"/>
    <xf numFmtId="38" fontId="2" fillId="0" borderId="15" xfId="0" applyNumberFormat="1" applyFont="1" applyBorder="1"/>
    <xf numFmtId="0" fontId="2" fillId="10" borderId="2" xfId="0" applyFont="1" applyFill="1" applyBorder="1"/>
    <xf numFmtId="38" fontId="2" fillId="0" borderId="5" xfId="0" applyNumberFormat="1" applyFont="1" applyBorder="1"/>
    <xf numFmtId="38" fontId="2" fillId="0" borderId="26" xfId="0" applyNumberFormat="1" applyFont="1" applyBorder="1"/>
    <xf numFmtId="0" fontId="2" fillId="10" borderId="6" xfId="0" applyFont="1" applyFill="1" applyBorder="1"/>
    <xf numFmtId="0" fontId="2" fillId="10" borderId="11" xfId="0" applyFont="1" applyFill="1" applyBorder="1"/>
    <xf numFmtId="0" fontId="2" fillId="10" borderId="16" xfId="0" applyFont="1" applyFill="1" applyBorder="1"/>
    <xf numFmtId="0" fontId="2" fillId="10" borderId="12" xfId="0" applyFont="1" applyFill="1" applyBorder="1"/>
    <xf numFmtId="43" fontId="2" fillId="2" borderId="0" xfId="0" applyNumberFormat="1" applyFont="1" applyFill="1"/>
    <xf numFmtId="43" fontId="2" fillId="0" borderId="0" xfId="1" applyFont="1"/>
    <xf numFmtId="164" fontId="2" fillId="2" borderId="0" xfId="1" applyNumberFormat="1" applyFont="1" applyFill="1"/>
    <xf numFmtId="165" fontId="2" fillId="0" borderId="1" xfId="0" applyNumberFormat="1" applyFont="1" applyBorder="1"/>
    <xf numFmtId="0" fontId="2" fillId="0" borderId="15" xfId="0" applyFont="1" applyBorder="1"/>
    <xf numFmtId="165" fontId="2" fillId="0" borderId="5" xfId="0" applyNumberFormat="1" applyFont="1" applyBorder="1"/>
    <xf numFmtId="0" fontId="2" fillId="0" borderId="26" xfId="0" applyFont="1" applyBorder="1"/>
    <xf numFmtId="164" fontId="2" fillId="0" borderId="26" xfId="0" applyNumberFormat="1" applyFont="1" applyBorder="1"/>
    <xf numFmtId="38" fontId="2" fillId="0" borderId="26" xfId="1" applyNumberFormat="1" applyFont="1" applyBorder="1"/>
    <xf numFmtId="9" fontId="2" fillId="0" borderId="0" xfId="2" applyFont="1" applyFill="1"/>
    <xf numFmtId="9" fontId="2" fillId="2" borderId="0" xfId="2" applyFont="1" applyFill="1"/>
    <xf numFmtId="9" fontId="12" fillId="0" borderId="26" xfId="2" applyFont="1" applyBorder="1" applyAlignment="1">
      <alignment horizontal="center"/>
    </xf>
    <xf numFmtId="3" fontId="12" fillId="0" borderId="26" xfId="1" applyNumberFormat="1" applyFont="1" applyBorder="1" applyAlignment="1">
      <alignment horizontal="center"/>
    </xf>
    <xf numFmtId="3" fontId="12" fillId="0" borderId="26" xfId="1" applyNumberFormat="1" applyFont="1" applyBorder="1" applyAlignment="1">
      <alignment horizontal="center" vertical="center"/>
    </xf>
    <xf numFmtId="43" fontId="2" fillId="0" borderId="0" xfId="0" applyNumberFormat="1" applyFont="1"/>
    <xf numFmtId="3" fontId="2" fillId="0" borderId="0" xfId="0" applyNumberFormat="1" applyFont="1"/>
    <xf numFmtId="167" fontId="2" fillId="0" borderId="0" xfId="0" applyNumberFormat="1" applyFont="1"/>
    <xf numFmtId="9" fontId="2" fillId="0" borderId="0" xfId="1" applyNumberFormat="1" applyFont="1"/>
    <xf numFmtId="164" fontId="12" fillId="0" borderId="26" xfId="1" applyNumberFormat="1" applyFont="1" applyBorder="1" applyAlignment="1">
      <alignment horizontal="center"/>
    </xf>
    <xf numFmtId="9" fontId="2" fillId="2" borderId="0" xfId="0" applyNumberFormat="1" applyFont="1" applyFill="1"/>
    <xf numFmtId="43" fontId="2" fillId="2" borderId="0" xfId="1" applyFont="1" applyFill="1"/>
    <xf numFmtId="3" fontId="2" fillId="0" borderId="26" xfId="0" applyNumberFormat="1" applyFont="1" applyBorder="1"/>
    <xf numFmtId="164" fontId="2" fillId="2" borderId="1" xfId="1" applyNumberFormat="1" applyFont="1" applyFill="1" applyBorder="1"/>
    <xf numFmtId="0" fontId="12" fillId="2" borderId="2" xfId="0" applyFont="1" applyFill="1" applyBorder="1" applyAlignment="1">
      <alignment horizontal="center"/>
    </xf>
    <xf numFmtId="3" fontId="12" fillId="0" borderId="39" xfId="1" applyNumberFormat="1" applyFont="1" applyBorder="1" applyAlignment="1">
      <alignment horizontal="center"/>
    </xf>
    <xf numFmtId="165" fontId="2" fillId="2" borderId="0" xfId="0" applyNumberFormat="1" applyFont="1" applyFill="1"/>
    <xf numFmtId="164" fontId="2" fillId="2" borderId="5" xfId="1" applyNumberFormat="1" applyFont="1" applyFill="1" applyBorder="1"/>
    <xf numFmtId="0" fontId="12" fillId="2" borderId="6" xfId="0" applyFont="1" applyFill="1" applyBorder="1" applyAlignment="1">
      <alignment horizontal="center"/>
    </xf>
    <xf numFmtId="0" fontId="2" fillId="2" borderId="0" xfId="0" quotePrefix="1" applyFont="1" applyFill="1"/>
    <xf numFmtId="0" fontId="12" fillId="10" borderId="38" xfId="0" applyFont="1" applyFill="1" applyBorder="1" applyAlignment="1">
      <alignment horizontal="center"/>
    </xf>
    <xf numFmtId="0" fontId="12" fillId="10" borderId="39" xfId="0" applyFont="1" applyFill="1" applyBorder="1" applyAlignment="1">
      <alignment horizontal="center"/>
    </xf>
    <xf numFmtId="38" fontId="2" fillId="0" borderId="1" xfId="0" applyNumberFormat="1" applyFont="1" applyBorder="1" applyAlignment="1">
      <alignment horizontal="center"/>
    </xf>
    <xf numFmtId="38" fontId="2" fillId="0" borderId="15" xfId="0" applyNumberFormat="1" applyFont="1" applyBorder="1" applyAlignment="1">
      <alignment horizontal="center"/>
    </xf>
    <xf numFmtId="38" fontId="2" fillId="0" borderId="2" xfId="0" applyNumberFormat="1" applyFont="1" applyBorder="1" applyAlignment="1">
      <alignment horizontal="center"/>
    </xf>
    <xf numFmtId="164" fontId="2" fillId="7" borderId="8" xfId="1" applyNumberFormat="1" applyFont="1" applyFill="1" applyBorder="1" applyAlignment="1">
      <alignment horizontal="center"/>
    </xf>
    <xf numFmtId="38" fontId="2" fillId="0" borderId="5" xfId="0" applyNumberFormat="1" applyFont="1" applyBorder="1" applyAlignment="1">
      <alignment horizontal="center"/>
    </xf>
    <xf numFmtId="38" fontId="2" fillId="0" borderId="26" xfId="0" applyNumberFormat="1" applyFont="1" applyBorder="1" applyAlignment="1">
      <alignment horizontal="center"/>
    </xf>
    <xf numFmtId="38" fontId="2" fillId="0" borderId="6" xfId="0" applyNumberFormat="1" applyFont="1" applyBorder="1" applyAlignment="1">
      <alignment horizontal="center"/>
    </xf>
    <xf numFmtId="164" fontId="2" fillId="7" borderId="10" xfId="1" applyNumberFormat="1" applyFont="1" applyFill="1" applyBorder="1" applyAlignment="1">
      <alignment horizontal="center"/>
    </xf>
    <xf numFmtId="37" fontId="2" fillId="8" borderId="1" xfId="1" applyNumberFormat="1" applyFont="1" applyFill="1" applyBorder="1"/>
    <xf numFmtId="37" fontId="2" fillId="8" borderId="5" xfId="1" applyNumberFormat="1" applyFont="1" applyFill="1" applyBorder="1"/>
    <xf numFmtId="38" fontId="2" fillId="0" borderId="5" xfId="0" applyNumberFormat="1" applyFont="1" applyBorder="1" applyAlignment="1">
      <alignment horizontal="center" vertical="center"/>
    </xf>
    <xf numFmtId="38" fontId="2" fillId="0" borderId="26" xfId="0" applyNumberFormat="1" applyFont="1" applyBorder="1" applyAlignment="1">
      <alignment horizontal="center" vertical="center"/>
    </xf>
    <xf numFmtId="38" fontId="2" fillId="0" borderId="6" xfId="0" applyNumberFormat="1" applyFont="1" applyBorder="1" applyAlignment="1">
      <alignment horizontal="center" vertical="center"/>
    </xf>
    <xf numFmtId="164" fontId="2" fillId="7" borderId="10" xfId="1" applyNumberFormat="1" applyFont="1" applyFill="1" applyBorder="1" applyAlignment="1">
      <alignment horizontal="center" vertical="center"/>
    </xf>
    <xf numFmtId="164" fontId="6" fillId="9" borderId="11" xfId="1" applyNumberFormat="1" applyFont="1" applyFill="1" applyBorder="1" applyAlignment="1">
      <alignment vertical="center"/>
    </xf>
    <xf numFmtId="0" fontId="7" fillId="9" borderId="12" xfId="0" applyFont="1" applyFill="1" applyBorder="1" applyAlignment="1">
      <alignment horizontal="center" vertical="center"/>
    </xf>
    <xf numFmtId="38" fontId="2" fillId="0" borderId="11" xfId="0" applyNumberFormat="1" applyFont="1" applyBorder="1" applyAlignment="1">
      <alignment horizontal="center"/>
    </xf>
    <xf numFmtId="38" fontId="2" fillId="0" borderId="16" xfId="0" applyNumberFormat="1" applyFont="1" applyBorder="1" applyAlignment="1">
      <alignment horizontal="center"/>
    </xf>
    <xf numFmtId="38" fontId="2" fillId="0" borderId="12" xfId="0" applyNumberFormat="1" applyFont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3" fontId="2" fillId="7" borderId="24" xfId="0" applyNumberFormat="1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3" fontId="2" fillId="7" borderId="40" xfId="0" applyNumberFormat="1" applyFont="1" applyFill="1" applyBorder="1" applyAlignment="1">
      <alignment horizontal="center"/>
    </xf>
    <xf numFmtId="3" fontId="2" fillId="11" borderId="41" xfId="0" applyNumberFormat="1" applyFont="1" applyFill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43" fontId="2" fillId="11" borderId="41" xfId="1" applyFont="1" applyFill="1" applyBorder="1" applyAlignment="1">
      <alignment horizontal="center"/>
    </xf>
    <xf numFmtId="3" fontId="2" fillId="24" borderId="0" xfId="1" applyNumberFormat="1" applyFont="1" applyFill="1"/>
    <xf numFmtId="3" fontId="2" fillId="11" borderId="41" xfId="1" applyNumberFormat="1" applyFont="1" applyFill="1" applyBorder="1"/>
    <xf numFmtId="0" fontId="2" fillId="24" borderId="0" xfId="0" applyFont="1" applyFill="1" applyAlignment="1">
      <alignment horizontal="center"/>
    </xf>
    <xf numFmtId="3" fontId="2" fillId="24" borderId="22" xfId="1" applyNumberFormat="1" applyFont="1" applyFill="1" applyBorder="1"/>
    <xf numFmtId="3" fontId="2" fillId="20" borderId="0" xfId="1" applyNumberFormat="1" applyFont="1" applyFill="1"/>
    <xf numFmtId="3" fontId="2" fillId="20" borderId="22" xfId="1" applyNumberFormat="1" applyFont="1" applyFill="1" applyBorder="1"/>
    <xf numFmtId="0" fontId="2" fillId="20" borderId="22" xfId="0" applyFont="1" applyFill="1" applyBorder="1"/>
    <xf numFmtId="3" fontId="2" fillId="5" borderId="0" xfId="1" applyNumberFormat="1" applyFont="1" applyFill="1"/>
    <xf numFmtId="0" fontId="2" fillId="5" borderId="0" xfId="0" applyFont="1" applyFill="1" applyAlignment="1">
      <alignment horizontal="center"/>
    </xf>
    <xf numFmtId="3" fontId="2" fillId="5" borderId="22" xfId="1" applyNumberFormat="1" applyFont="1" applyFill="1" applyBorder="1"/>
    <xf numFmtId="0" fontId="2" fillId="5" borderId="22" xfId="0" applyFont="1" applyFill="1" applyBorder="1"/>
    <xf numFmtId="3" fontId="2" fillId="6" borderId="0" xfId="1" applyNumberFormat="1" applyFont="1" applyFill="1"/>
    <xf numFmtId="3" fontId="2" fillId="6" borderId="22" xfId="0" applyNumberFormat="1" applyFont="1" applyFill="1" applyBorder="1"/>
    <xf numFmtId="0" fontId="2" fillId="6" borderId="22" xfId="0" applyFont="1" applyFill="1" applyBorder="1"/>
    <xf numFmtId="0" fontId="2" fillId="19" borderId="0" xfId="0" applyFont="1" applyFill="1" applyAlignment="1">
      <alignment horizontal="center"/>
    </xf>
    <xf numFmtId="9" fontId="2" fillId="0" borderId="0" xfId="0" applyNumberFormat="1" applyFont="1" applyAlignment="1">
      <alignment horizontal="center"/>
    </xf>
    <xf numFmtId="9" fontId="2" fillId="0" borderId="0" xfId="2" applyFont="1" applyAlignment="1">
      <alignment horizontal="center"/>
    </xf>
    <xf numFmtId="38" fontId="2" fillId="8" borderId="26" xfId="0" applyNumberFormat="1" applyFont="1" applyFill="1" applyBorder="1" applyAlignment="1">
      <alignment horizontal="center"/>
    </xf>
    <xf numFmtId="0" fontId="12" fillId="14" borderId="26" xfId="0" applyFont="1" applyFill="1" applyBorder="1" applyAlignment="1">
      <alignment horizontal="center"/>
    </xf>
    <xf numFmtId="3" fontId="2" fillId="8" borderId="26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9" fontId="2" fillId="8" borderId="26" xfId="2" applyFont="1" applyFill="1" applyBorder="1" applyAlignment="1">
      <alignment horizontal="center"/>
    </xf>
    <xf numFmtId="43" fontId="2" fillId="8" borderId="26" xfId="1" applyFont="1" applyFill="1" applyBorder="1" applyAlignment="1">
      <alignment horizontal="center"/>
    </xf>
    <xf numFmtId="164" fontId="12" fillId="0" borderId="42" xfId="1" applyNumberFormat="1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9" fontId="12" fillId="8" borderId="34" xfId="2" applyFont="1" applyFill="1" applyBorder="1" applyAlignment="1">
      <alignment horizontal="center"/>
    </xf>
    <xf numFmtId="3" fontId="12" fillId="8" borderId="34" xfId="1" applyNumberFormat="1" applyFont="1" applyFill="1" applyBorder="1" applyAlignment="1">
      <alignment horizontal="center"/>
    </xf>
    <xf numFmtId="9" fontId="12" fillId="8" borderId="26" xfId="2" applyFont="1" applyFill="1" applyBorder="1" applyAlignment="1">
      <alignment horizontal="center"/>
    </xf>
    <xf numFmtId="3" fontId="12" fillId="8" borderId="26" xfId="1" applyNumberFormat="1" applyFont="1" applyFill="1" applyBorder="1" applyAlignment="1">
      <alignment horizontal="center"/>
    </xf>
    <xf numFmtId="164" fontId="12" fillId="8" borderId="26" xfId="1" applyNumberFormat="1" applyFont="1" applyFill="1" applyBorder="1" applyAlignment="1">
      <alignment horizontal="center"/>
    </xf>
    <xf numFmtId="3" fontId="12" fillId="8" borderId="26" xfId="1" applyNumberFormat="1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/>
    </xf>
    <xf numFmtId="0" fontId="2" fillId="14" borderId="26" xfId="0" applyFont="1" applyFill="1" applyBorder="1" applyAlignment="1">
      <alignment horizontal="center"/>
    </xf>
    <xf numFmtId="0" fontId="12" fillId="14" borderId="26" xfId="0" applyFont="1" applyFill="1" applyBorder="1" applyAlignment="1">
      <alignment horizontal="center" wrapText="1"/>
    </xf>
    <xf numFmtId="43" fontId="12" fillId="8" borderId="26" xfId="1" applyFont="1" applyFill="1" applyBorder="1" applyAlignment="1">
      <alignment horizontal="center"/>
    </xf>
    <xf numFmtId="164" fontId="12" fillId="14" borderId="26" xfId="1" applyNumberFormat="1" applyFont="1" applyFill="1" applyBorder="1" applyAlignment="1">
      <alignment horizontal="center" vertical="center"/>
    </xf>
    <xf numFmtId="164" fontId="2" fillId="0" borderId="43" xfId="1" applyNumberFormat="1" applyFont="1" applyBorder="1"/>
    <xf numFmtId="164" fontId="2" fillId="7" borderId="44" xfId="1" applyNumberFormat="1" applyFont="1" applyFill="1" applyBorder="1"/>
    <xf numFmtId="164" fontId="2" fillId="0" borderId="38" xfId="1" applyNumberFormat="1" applyFont="1" applyBorder="1"/>
    <xf numFmtId="164" fontId="2" fillId="7" borderId="45" xfId="1" applyNumberFormat="1" applyFont="1" applyFill="1" applyBorder="1"/>
    <xf numFmtId="38" fontId="6" fillId="3" borderId="22" xfId="0" applyNumberFormat="1" applyFont="1" applyFill="1" applyBorder="1"/>
    <xf numFmtId="0" fontId="6" fillId="3" borderId="22" xfId="0" applyFont="1" applyFill="1" applyBorder="1" applyAlignment="1">
      <alignment horizontal="center"/>
    </xf>
    <xf numFmtId="164" fontId="2" fillId="0" borderId="47" xfId="1" applyNumberFormat="1" applyFont="1" applyBorder="1"/>
    <xf numFmtId="164" fontId="2" fillId="0" borderId="48" xfId="1" applyNumberFormat="1" applyFont="1" applyBorder="1"/>
    <xf numFmtId="164" fontId="2" fillId="0" borderId="49" xfId="1" applyNumberFormat="1" applyFont="1" applyBorder="1"/>
    <xf numFmtId="0" fontId="2" fillId="7" borderId="3" xfId="0" applyFont="1" applyFill="1" applyBorder="1"/>
    <xf numFmtId="0" fontId="2" fillId="7" borderId="23" xfId="0" applyFont="1" applyFill="1" applyBorder="1"/>
    <xf numFmtId="0" fontId="2" fillId="7" borderId="4" xfId="0" applyFont="1" applyFill="1" applyBorder="1"/>
    <xf numFmtId="38" fontId="2" fillId="7" borderId="50" xfId="0" applyNumberFormat="1" applyFont="1" applyFill="1" applyBorder="1"/>
    <xf numFmtId="164" fontId="6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164" fontId="3" fillId="0" borderId="0" xfId="1" applyNumberFormat="1" applyFont="1" applyFill="1" applyBorder="1"/>
    <xf numFmtId="0" fontId="7" fillId="16" borderId="51" xfId="0" applyFont="1" applyFill="1" applyBorder="1" applyAlignment="1">
      <alignment horizontal="center" vertical="center"/>
    </xf>
    <xf numFmtId="0" fontId="2" fillId="2" borderId="0" xfId="0" applyFont="1" applyFill="1" applyBorder="1"/>
    <xf numFmtId="9" fontId="2" fillId="16" borderId="0" xfId="2" applyFont="1" applyFill="1"/>
    <xf numFmtId="9" fontId="2" fillId="19" borderId="0" xfId="2" applyFont="1" applyFill="1"/>
    <xf numFmtId="9" fontId="2" fillId="14" borderId="0" xfId="2" applyFont="1" applyFill="1"/>
    <xf numFmtId="166" fontId="2" fillId="19" borderId="0" xfId="0" applyNumberFormat="1" applyFont="1" applyFill="1"/>
    <xf numFmtId="165" fontId="2" fillId="4" borderId="0" xfId="0" applyNumberFormat="1" applyFont="1" applyFill="1"/>
    <xf numFmtId="0" fontId="2" fillId="4" borderId="0" xfId="0" applyFont="1" applyFill="1"/>
    <xf numFmtId="9" fontId="2" fillId="4" borderId="0" xfId="2" applyFont="1" applyFill="1"/>
    <xf numFmtId="38" fontId="2" fillId="27" borderId="1" xfId="0" applyNumberFormat="1" applyFont="1" applyFill="1" applyBorder="1"/>
    <xf numFmtId="38" fontId="2" fillId="27" borderId="15" xfId="0" applyNumberFormat="1" applyFont="1" applyFill="1" applyBorder="1"/>
    <xf numFmtId="0" fontId="2" fillId="27" borderId="2" xfId="0" applyFont="1" applyFill="1" applyBorder="1"/>
    <xf numFmtId="38" fontId="2" fillId="28" borderId="5" xfId="0" applyNumberFormat="1" applyFont="1" applyFill="1" applyBorder="1"/>
    <xf numFmtId="38" fontId="2" fillId="28" borderId="26" xfId="0" applyNumberFormat="1" applyFont="1" applyFill="1" applyBorder="1"/>
    <xf numFmtId="0" fontId="2" fillId="28" borderId="6" xfId="0" applyFont="1" applyFill="1" applyBorder="1"/>
    <xf numFmtId="38" fontId="2" fillId="27" borderId="5" xfId="0" applyNumberFormat="1" applyFont="1" applyFill="1" applyBorder="1"/>
    <xf numFmtId="38" fontId="2" fillId="27" borderId="26" xfId="0" applyNumberFormat="1" applyFont="1" applyFill="1" applyBorder="1"/>
    <xf numFmtId="0" fontId="2" fillId="27" borderId="6" xfId="0" applyFont="1" applyFill="1" applyBorder="1"/>
    <xf numFmtId="38" fontId="2" fillId="0" borderId="0" xfId="0" applyNumberFormat="1" applyFont="1"/>
    <xf numFmtId="0" fontId="12" fillId="29" borderId="11" xfId="0" applyFont="1" applyFill="1" applyBorder="1" applyAlignment="1">
      <alignment horizontal="center"/>
    </xf>
    <xf numFmtId="0" fontId="12" fillId="29" borderId="16" xfId="0" applyFont="1" applyFill="1" applyBorder="1" applyAlignment="1">
      <alignment horizontal="center"/>
    </xf>
    <xf numFmtId="164" fontId="12" fillId="29" borderId="16" xfId="1" applyNumberFormat="1" applyFont="1" applyFill="1" applyBorder="1" applyAlignment="1">
      <alignment horizontal="center" vertical="center"/>
    </xf>
    <xf numFmtId="0" fontId="16" fillId="29" borderId="12" xfId="0" applyFont="1" applyFill="1" applyBorder="1"/>
    <xf numFmtId="165" fontId="2" fillId="27" borderId="1" xfId="0" applyNumberFormat="1" applyFont="1" applyFill="1" applyBorder="1"/>
    <xf numFmtId="165" fontId="2" fillId="27" borderId="15" xfId="0" applyNumberFormat="1" applyFont="1" applyFill="1" applyBorder="1"/>
    <xf numFmtId="164" fontId="2" fillId="27" borderId="15" xfId="1" applyNumberFormat="1" applyFont="1" applyFill="1" applyBorder="1"/>
    <xf numFmtId="165" fontId="2" fillId="4" borderId="5" xfId="0" applyNumberFormat="1" applyFont="1" applyFill="1" applyBorder="1"/>
    <xf numFmtId="166" fontId="2" fillId="28" borderId="26" xfId="0" applyNumberFormat="1" applyFont="1" applyFill="1" applyBorder="1"/>
    <xf numFmtId="165" fontId="2" fillId="28" borderId="26" xfId="0" applyNumberFormat="1" applyFont="1" applyFill="1" applyBorder="1"/>
    <xf numFmtId="164" fontId="2" fillId="28" borderId="26" xfId="1" applyNumberFormat="1" applyFont="1" applyFill="1" applyBorder="1"/>
    <xf numFmtId="165" fontId="2" fillId="27" borderId="5" xfId="0" applyNumberFormat="1" applyFont="1" applyFill="1" applyBorder="1"/>
    <xf numFmtId="165" fontId="2" fillId="27" borderId="26" xfId="0" applyNumberFormat="1" applyFont="1" applyFill="1" applyBorder="1"/>
    <xf numFmtId="164" fontId="2" fillId="27" borderId="26" xfId="1" applyNumberFormat="1" applyFont="1" applyFill="1" applyBorder="1"/>
    <xf numFmtId="166" fontId="2" fillId="27" borderId="26" xfId="0" applyNumberFormat="1" applyFont="1" applyFill="1" applyBorder="1"/>
    <xf numFmtId="0" fontId="16" fillId="29" borderId="11" xfId="0" applyFont="1" applyFill="1" applyBorder="1"/>
    <xf numFmtId="0" fontId="16" fillId="29" borderId="16" xfId="0" applyFont="1" applyFill="1" applyBorder="1"/>
    <xf numFmtId="0" fontId="2" fillId="27" borderId="15" xfId="0" applyFont="1" applyFill="1" applyBorder="1"/>
    <xf numFmtId="165" fontId="2" fillId="28" borderId="5" xfId="0" applyNumberFormat="1" applyFont="1" applyFill="1" applyBorder="1"/>
    <xf numFmtId="0" fontId="2" fillId="28" borderId="26" xfId="0" applyFont="1" applyFill="1" applyBorder="1"/>
    <xf numFmtId="0" fontId="2" fillId="27" borderId="26" xfId="0" applyFont="1" applyFill="1" applyBorder="1"/>
    <xf numFmtId="164" fontId="2" fillId="28" borderId="46" xfId="1" applyNumberFormat="1" applyFont="1" applyFill="1" applyBorder="1"/>
    <xf numFmtId="0" fontId="2" fillId="28" borderId="52" xfId="0" applyFont="1" applyFill="1" applyBorder="1"/>
    <xf numFmtId="164" fontId="2" fillId="28" borderId="1" xfId="1" applyNumberFormat="1" applyFont="1" applyFill="1" applyBorder="1"/>
    <xf numFmtId="43" fontId="2" fillId="28" borderId="46" xfId="1" applyNumberFormat="1" applyFont="1" applyFill="1" applyBorder="1"/>
    <xf numFmtId="164" fontId="2" fillId="27" borderId="53" xfId="1" applyNumberFormat="1" applyFont="1" applyFill="1" applyBorder="1"/>
    <xf numFmtId="0" fontId="2" fillId="27" borderId="54" xfId="0" applyFont="1" applyFill="1" applyBorder="1"/>
    <xf numFmtId="164" fontId="2" fillId="27" borderId="33" xfId="1" applyNumberFormat="1" applyFont="1" applyFill="1" applyBorder="1"/>
    <xf numFmtId="43" fontId="2" fillId="27" borderId="53" xfId="1" applyNumberFormat="1" applyFont="1" applyFill="1" applyBorder="1"/>
    <xf numFmtId="164" fontId="2" fillId="28" borderId="53" xfId="1" applyNumberFormat="1" applyFont="1" applyFill="1" applyBorder="1"/>
    <xf numFmtId="0" fontId="2" fillId="28" borderId="54" xfId="0" applyFont="1" applyFill="1" applyBorder="1"/>
    <xf numFmtId="164" fontId="2" fillId="28" borderId="33" xfId="1" applyNumberFormat="1" applyFont="1" applyFill="1" applyBorder="1"/>
    <xf numFmtId="43" fontId="2" fillId="28" borderId="53" xfId="1" applyNumberFormat="1" applyFont="1" applyFill="1" applyBorder="1"/>
    <xf numFmtId="0" fontId="16" fillId="29" borderId="27" xfId="0" applyFont="1" applyFill="1" applyBorder="1"/>
    <xf numFmtId="0" fontId="16" fillId="29" borderId="55" xfId="0" applyFont="1" applyFill="1" applyBorder="1"/>
    <xf numFmtId="0" fontId="16" fillId="29" borderId="14" xfId="0" applyFont="1" applyFill="1" applyBorder="1"/>
    <xf numFmtId="164" fontId="2" fillId="0" borderId="0" xfId="1" applyNumberFormat="1" applyFont="1" applyFill="1"/>
    <xf numFmtId="164" fontId="2" fillId="2" borderId="0" xfId="0" applyNumberFormat="1" applyFont="1" applyFill="1"/>
    <xf numFmtId="164" fontId="2" fillId="27" borderId="46" xfId="1" applyNumberFormat="1" applyFont="1" applyFill="1" applyBorder="1"/>
    <xf numFmtId="0" fontId="2" fillId="27" borderId="52" xfId="0" applyFont="1" applyFill="1" applyBorder="1"/>
    <xf numFmtId="164" fontId="2" fillId="27" borderId="1" xfId="1" applyNumberFormat="1" applyFont="1" applyFill="1" applyBorder="1"/>
    <xf numFmtId="38" fontId="2" fillId="27" borderId="46" xfId="0" applyNumberFormat="1" applyFont="1" applyFill="1" applyBorder="1"/>
    <xf numFmtId="38" fontId="2" fillId="27" borderId="46" xfId="1" applyNumberFormat="1" applyFont="1" applyFill="1" applyBorder="1"/>
    <xf numFmtId="38" fontId="2" fillId="28" borderId="33" xfId="0" applyNumberFormat="1" applyFont="1" applyFill="1" applyBorder="1"/>
    <xf numFmtId="38" fontId="2" fillId="28" borderId="53" xfId="0" applyNumberFormat="1" applyFont="1" applyFill="1" applyBorder="1"/>
    <xf numFmtId="38" fontId="2" fillId="28" borderId="53" xfId="1" applyNumberFormat="1" applyFont="1" applyFill="1" applyBorder="1"/>
    <xf numFmtId="38" fontId="2" fillId="27" borderId="33" xfId="0" applyNumberFormat="1" applyFont="1" applyFill="1" applyBorder="1"/>
    <xf numFmtId="38" fontId="2" fillId="27" borderId="53" xfId="0" applyNumberFormat="1" applyFont="1" applyFill="1" applyBorder="1"/>
    <xf numFmtId="38" fontId="2" fillId="27" borderId="53" xfId="1" applyNumberFormat="1" applyFont="1" applyFill="1" applyBorder="1"/>
    <xf numFmtId="164" fontId="12" fillId="27" borderId="15" xfId="1" applyNumberFormat="1" applyFont="1" applyFill="1" applyBorder="1" applyAlignment="1">
      <alignment horizontal="center"/>
    </xf>
    <xf numFmtId="0" fontId="12" fillId="27" borderId="2" xfId="0" applyFont="1" applyFill="1" applyBorder="1" applyAlignment="1">
      <alignment horizontal="center"/>
    </xf>
    <xf numFmtId="164" fontId="12" fillId="27" borderId="1" xfId="1" applyNumberFormat="1" applyFont="1" applyFill="1" applyBorder="1" applyAlignment="1">
      <alignment horizontal="center"/>
    </xf>
    <xf numFmtId="43" fontId="12" fillId="27" borderId="15" xfId="1" applyNumberFormat="1" applyFont="1" applyFill="1" applyBorder="1" applyAlignment="1">
      <alignment horizontal="center"/>
    </xf>
    <xf numFmtId="164" fontId="12" fillId="28" borderId="26" xfId="1" applyNumberFormat="1" applyFont="1" applyFill="1" applyBorder="1" applyAlignment="1">
      <alignment horizontal="center"/>
    </xf>
    <xf numFmtId="0" fontId="12" fillId="28" borderId="6" xfId="0" applyFont="1" applyFill="1" applyBorder="1" applyAlignment="1">
      <alignment horizontal="center"/>
    </xf>
    <xf numFmtId="164" fontId="12" fillId="28" borderId="5" xfId="1" applyNumberFormat="1" applyFont="1" applyFill="1" applyBorder="1" applyAlignment="1">
      <alignment horizontal="center"/>
    </xf>
    <xf numFmtId="43" fontId="12" fillId="28" borderId="26" xfId="1" applyNumberFormat="1" applyFont="1" applyFill="1" applyBorder="1" applyAlignment="1">
      <alignment horizontal="center"/>
    </xf>
    <xf numFmtId="164" fontId="12" fillId="30" borderId="16" xfId="1" applyNumberFormat="1" applyFont="1" applyFill="1" applyBorder="1" applyAlignment="1">
      <alignment horizontal="center"/>
    </xf>
    <xf numFmtId="164" fontId="12" fillId="30" borderId="12" xfId="1" applyNumberFormat="1" applyFont="1" applyFill="1" applyBorder="1" applyAlignment="1">
      <alignment horizontal="center"/>
    </xf>
    <xf numFmtId="164" fontId="12" fillId="30" borderId="11" xfId="1" applyNumberFormat="1" applyFont="1" applyFill="1" applyBorder="1" applyAlignment="1">
      <alignment horizontal="center"/>
    </xf>
    <xf numFmtId="164" fontId="12" fillId="28" borderId="15" xfId="1" applyNumberFormat="1" applyFont="1" applyFill="1" applyBorder="1" applyAlignment="1">
      <alignment horizontal="center"/>
    </xf>
    <xf numFmtId="0" fontId="12" fillId="28" borderId="2" xfId="0" applyFont="1" applyFill="1" applyBorder="1" applyAlignment="1">
      <alignment horizontal="center"/>
    </xf>
    <xf numFmtId="164" fontId="12" fillId="28" borderId="1" xfId="1" applyNumberFormat="1" applyFont="1" applyFill="1" applyBorder="1" applyAlignment="1">
      <alignment horizontal="center"/>
    </xf>
    <xf numFmtId="43" fontId="12" fillId="28" borderId="15" xfId="1" applyNumberFormat="1" applyFont="1" applyFill="1" applyBorder="1" applyAlignment="1">
      <alignment horizontal="center"/>
    </xf>
    <xf numFmtId="164" fontId="12" fillId="27" borderId="26" xfId="1" applyNumberFormat="1" applyFont="1" applyFill="1" applyBorder="1" applyAlignment="1">
      <alignment horizontal="center"/>
    </xf>
    <xf numFmtId="0" fontId="12" fillId="27" borderId="6" xfId="0" applyFont="1" applyFill="1" applyBorder="1" applyAlignment="1">
      <alignment horizontal="center"/>
    </xf>
    <xf numFmtId="164" fontId="12" fillId="27" borderId="5" xfId="1" applyNumberFormat="1" applyFont="1" applyFill="1" applyBorder="1" applyAlignment="1">
      <alignment horizontal="center"/>
    </xf>
    <xf numFmtId="0" fontId="12" fillId="29" borderId="27" xfId="0" applyFont="1" applyFill="1" applyBorder="1" applyAlignment="1">
      <alignment horizontal="center"/>
    </xf>
    <xf numFmtId="0" fontId="12" fillId="29" borderId="55" xfId="0" applyFont="1" applyFill="1" applyBorder="1" applyAlignment="1">
      <alignment horizontal="center"/>
    </xf>
    <xf numFmtId="164" fontId="12" fillId="29" borderId="55" xfId="1" applyNumberFormat="1" applyFont="1" applyFill="1" applyBorder="1" applyAlignment="1">
      <alignment horizontal="center" vertical="center"/>
    </xf>
    <xf numFmtId="0" fontId="12" fillId="29" borderId="14" xfId="0" applyFont="1" applyFill="1" applyBorder="1" applyAlignment="1">
      <alignment horizontal="center"/>
    </xf>
    <xf numFmtId="164" fontId="12" fillId="30" borderId="1" xfId="1" applyNumberFormat="1" applyFont="1" applyFill="1" applyBorder="1" applyAlignment="1">
      <alignment horizontal="center"/>
    </xf>
    <xf numFmtId="164" fontId="12" fillId="30" borderId="15" xfId="1" applyNumberFormat="1" applyFont="1" applyFill="1" applyBorder="1" applyAlignment="1">
      <alignment horizontal="center"/>
    </xf>
    <xf numFmtId="164" fontId="12" fillId="30" borderId="2" xfId="1" applyNumberFormat="1" applyFont="1" applyFill="1" applyBorder="1" applyAlignment="1">
      <alignment horizontal="center"/>
    </xf>
    <xf numFmtId="164" fontId="12" fillId="28" borderId="26" xfId="1" applyNumberFormat="1" applyFont="1" applyFill="1" applyBorder="1" applyAlignment="1">
      <alignment horizontal="center" vertical="center"/>
    </xf>
    <xf numFmtId="164" fontId="12" fillId="27" borderId="26" xfId="1" applyNumberFormat="1" applyFont="1" applyFill="1" applyBorder="1" applyAlignment="1">
      <alignment horizontal="center" vertical="center"/>
    </xf>
    <xf numFmtId="0" fontId="12" fillId="30" borderId="11" xfId="0" applyFont="1" applyFill="1" applyBorder="1" applyAlignment="1">
      <alignment horizontal="center"/>
    </xf>
    <xf numFmtId="0" fontId="12" fillId="30" borderId="16" xfId="0" applyFont="1" applyFill="1" applyBorder="1" applyAlignment="1">
      <alignment horizontal="center"/>
    </xf>
    <xf numFmtId="0" fontId="12" fillId="30" borderId="12" xfId="0" applyFont="1" applyFill="1" applyBorder="1" applyAlignment="1">
      <alignment horizontal="center"/>
    </xf>
    <xf numFmtId="0" fontId="12" fillId="29" borderId="56" xfId="0" applyFont="1" applyFill="1" applyBorder="1" applyAlignment="1">
      <alignment horizontal="center"/>
    </xf>
    <xf numFmtId="0" fontId="12" fillId="29" borderId="57" xfId="0" applyFont="1" applyFill="1" applyBorder="1" applyAlignment="1">
      <alignment horizontal="center"/>
    </xf>
    <xf numFmtId="164" fontId="12" fillId="29" borderId="57" xfId="1" applyNumberFormat="1" applyFont="1" applyFill="1" applyBorder="1" applyAlignment="1">
      <alignment horizontal="center" vertical="center"/>
    </xf>
    <xf numFmtId="0" fontId="12" fillId="29" borderId="58" xfId="0" applyFont="1" applyFill="1" applyBorder="1" applyAlignment="1">
      <alignment horizontal="center"/>
    </xf>
    <xf numFmtId="164" fontId="12" fillId="31" borderId="11" xfId="1" applyNumberFormat="1" applyFont="1" applyFill="1" applyBorder="1" applyAlignment="1">
      <alignment horizontal="center"/>
    </xf>
    <xf numFmtId="164" fontId="12" fillId="31" borderId="16" xfId="1" applyNumberFormat="1" applyFont="1" applyFill="1" applyBorder="1" applyAlignment="1">
      <alignment horizontal="center"/>
    </xf>
    <xf numFmtId="164" fontId="12" fillId="31" borderId="16" xfId="1" applyNumberFormat="1" applyFont="1" applyFill="1" applyBorder="1" applyAlignment="1">
      <alignment horizontal="center" vertical="center"/>
    </xf>
    <xf numFmtId="0" fontId="12" fillId="31" borderId="12" xfId="0" applyFont="1" applyFill="1" applyBorder="1" applyAlignment="1">
      <alignment horizontal="center"/>
    </xf>
    <xf numFmtId="164" fontId="12" fillId="30" borderId="16" xfId="1" applyNumberFormat="1" applyFont="1" applyFill="1" applyBorder="1" applyAlignment="1">
      <alignment horizontal="center" vertical="center"/>
    </xf>
    <xf numFmtId="0" fontId="2" fillId="31" borderId="52" xfId="0" applyFont="1" applyFill="1" applyBorder="1"/>
    <xf numFmtId="0" fontId="12" fillId="27" borderId="54" xfId="0" applyFont="1" applyFill="1" applyBorder="1" applyAlignment="1">
      <alignment horizontal="center" wrapText="1"/>
    </xf>
    <xf numFmtId="0" fontId="12" fillId="28" borderId="54" xfId="0" applyFont="1" applyFill="1" applyBorder="1" applyAlignment="1">
      <alignment horizontal="center"/>
    </xf>
    <xf numFmtId="0" fontId="12" fillId="27" borderId="54" xfId="0" applyFont="1" applyFill="1" applyBorder="1" applyAlignment="1">
      <alignment horizontal="center"/>
    </xf>
    <xf numFmtId="37" fontId="2" fillId="0" borderId="7" xfId="0" applyNumberFormat="1" applyFont="1" applyFill="1" applyBorder="1" applyAlignment="1">
      <alignment horizontal="center"/>
    </xf>
    <xf numFmtId="37" fontId="2" fillId="0" borderId="17" xfId="0" applyNumberFormat="1" applyFont="1" applyFill="1" applyBorder="1" applyAlignment="1">
      <alignment horizontal="center"/>
    </xf>
    <xf numFmtId="37" fontId="2" fillId="0" borderId="8" xfId="0" applyNumberFormat="1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37" fontId="2" fillId="0" borderId="9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37" fontId="2" fillId="0" borderId="10" xfId="0" applyNumberFormat="1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37" fontId="2" fillId="0" borderId="13" xfId="0" applyNumberFormat="1" applyFont="1" applyFill="1" applyBorder="1" applyAlignment="1">
      <alignment horizontal="center"/>
    </xf>
    <xf numFmtId="37" fontId="2" fillId="0" borderId="24" xfId="0" applyNumberFormat="1" applyFont="1" applyFill="1" applyBorder="1" applyAlignment="1">
      <alignment horizontal="center"/>
    </xf>
    <xf numFmtId="37" fontId="2" fillId="0" borderId="14" xfId="0" applyNumberFormat="1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3" xfId="0" applyFont="1" applyFill="1" applyBorder="1" applyAlignment="1">
      <alignment horizontal="center"/>
    </xf>
    <xf numFmtId="38" fontId="2" fillId="10" borderId="4" xfId="0" applyNumberFormat="1" applyFont="1" applyFill="1" applyBorder="1" applyAlignment="1">
      <alignment horizontal="center"/>
    </xf>
    <xf numFmtId="9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9" fontId="2" fillId="2" borderId="26" xfId="2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38" fontId="2" fillId="0" borderId="26" xfId="0" applyNumberFormat="1" applyFont="1" applyFill="1" applyBorder="1" applyAlignment="1">
      <alignment horizontal="center"/>
    </xf>
    <xf numFmtId="0" fontId="12" fillId="32" borderId="26" xfId="0" applyFont="1" applyFill="1" applyBorder="1" applyAlignment="1">
      <alignment horizontal="center" wrapText="1"/>
    </xf>
    <xf numFmtId="3" fontId="2" fillId="0" borderId="26" xfId="0" applyNumberFormat="1" applyFont="1" applyFill="1" applyBorder="1" applyAlignment="1">
      <alignment horizontal="center"/>
    </xf>
    <xf numFmtId="9" fontId="2" fillId="0" borderId="26" xfId="2" applyFont="1" applyFill="1" applyBorder="1" applyAlignment="1">
      <alignment horizontal="center"/>
    </xf>
    <xf numFmtId="9" fontId="2" fillId="3" borderId="26" xfId="2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38" fontId="2" fillId="2" borderId="0" xfId="0" applyNumberFormat="1" applyFont="1" applyFill="1" applyBorder="1" applyAlignment="1">
      <alignment horizontal="center"/>
    </xf>
    <xf numFmtId="43" fontId="2" fillId="0" borderId="26" xfId="1" applyFont="1" applyFill="1" applyBorder="1" applyAlignment="1">
      <alignment horizontal="center"/>
    </xf>
    <xf numFmtId="43" fontId="2" fillId="3" borderId="26" xfId="1" applyFont="1" applyFill="1" applyBorder="1" applyAlignment="1">
      <alignment horizontal="center"/>
    </xf>
    <xf numFmtId="3" fontId="12" fillId="3" borderId="26" xfId="1" applyNumberFormat="1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164" fontId="12" fillId="3" borderId="26" xfId="1" applyNumberFormat="1" applyFont="1" applyFill="1" applyBorder="1" applyAlignment="1">
      <alignment horizontal="center" vertical="center"/>
    </xf>
    <xf numFmtId="0" fontId="12" fillId="32" borderId="26" xfId="0" applyFont="1" applyFill="1" applyBorder="1" applyAlignment="1">
      <alignment horizontal="center"/>
    </xf>
    <xf numFmtId="3" fontId="12" fillId="3" borderId="26" xfId="1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/>
    </xf>
    <xf numFmtId="9" fontId="12" fillId="3" borderId="26" xfId="2" applyFont="1" applyFill="1" applyBorder="1" applyAlignment="1">
      <alignment horizontal="center"/>
    </xf>
    <xf numFmtId="165" fontId="2" fillId="0" borderId="26" xfId="0" applyNumberFormat="1" applyFont="1" applyFill="1" applyBorder="1" applyAlignment="1">
      <alignment horizontal="center"/>
    </xf>
    <xf numFmtId="0" fontId="2" fillId="32" borderId="26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32" borderId="26" xfId="1" applyNumberFormat="1" applyFont="1" applyFill="1" applyBorder="1" applyAlignment="1">
      <alignment horizontal="center" vertical="center"/>
    </xf>
    <xf numFmtId="0" fontId="2" fillId="0" borderId="0" xfId="0" applyFont="1" applyBorder="1"/>
    <xf numFmtId="166" fontId="2" fillId="0" borderId="0" xfId="0" applyNumberFormat="1" applyFont="1" applyBorder="1"/>
    <xf numFmtId="165" fontId="2" fillId="0" borderId="0" xfId="0" applyNumberFormat="1" applyFont="1" applyBorder="1"/>
    <xf numFmtId="0" fontId="2" fillId="10" borderId="26" xfId="0" applyFont="1" applyFill="1" applyBorder="1"/>
    <xf numFmtId="0" fontId="2" fillId="10" borderId="26" xfId="0" applyFont="1" applyFill="1" applyBorder="1" applyAlignment="1">
      <alignment horizontal="center"/>
    </xf>
    <xf numFmtId="3" fontId="2" fillId="0" borderId="0" xfId="0" applyNumberFormat="1" applyFont="1" applyBorder="1"/>
    <xf numFmtId="167" fontId="2" fillId="0" borderId="0" xfId="0" applyNumberFormat="1" applyFont="1" applyBorder="1"/>
    <xf numFmtId="38" fontId="2" fillId="0" borderId="26" xfId="0" applyNumberFormat="1" applyFont="1" applyFill="1" applyBorder="1"/>
    <xf numFmtId="38" fontId="12" fillId="0" borderId="26" xfId="1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38" fontId="12" fillId="0" borderId="26" xfId="1" applyNumberFormat="1" applyFont="1" applyFill="1" applyBorder="1" applyAlignment="1">
      <alignment horizontal="center" vertical="center"/>
    </xf>
    <xf numFmtId="164" fontId="12" fillId="10" borderId="26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2" fillId="0" borderId="26" xfId="1" applyNumberFormat="1" applyFont="1" applyBorder="1" applyAlignment="1">
      <alignment horizontal="center" vertical="center"/>
    </xf>
    <xf numFmtId="164" fontId="2" fillId="0" borderId="0" xfId="0" applyNumberFormat="1" applyFont="1" applyBorder="1"/>
    <xf numFmtId="165" fontId="2" fillId="0" borderId="26" xfId="0" applyNumberFormat="1" applyFont="1" applyBorder="1"/>
    <xf numFmtId="166" fontId="2" fillId="0" borderId="26" xfId="0" applyNumberFormat="1" applyFont="1" applyBorder="1"/>
    <xf numFmtId="164" fontId="2" fillId="0" borderId="42" xfId="0" applyNumberFormat="1" applyFont="1" applyBorder="1"/>
    <xf numFmtId="0" fontId="2" fillId="0" borderId="42" xfId="0" applyFont="1" applyBorder="1" applyAlignment="1">
      <alignment horizontal="center"/>
    </xf>
    <xf numFmtId="43" fontId="2" fillId="2" borderId="0" xfId="0" applyNumberFormat="1" applyFont="1" applyFill="1" applyBorder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0" fontId="2" fillId="9" borderId="0" xfId="0" applyFont="1" applyFill="1"/>
    <xf numFmtId="0" fontId="2" fillId="26" borderId="0" xfId="0" applyFont="1" applyFill="1"/>
    <xf numFmtId="0" fontId="2" fillId="20" borderId="0" xfId="0" applyFont="1" applyFill="1"/>
    <xf numFmtId="0" fontId="2" fillId="6" borderId="0" xfId="0" applyFont="1" applyFill="1"/>
    <xf numFmtId="0" fontId="2" fillId="24" borderId="26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 vertical="center"/>
    </xf>
    <xf numFmtId="3" fontId="2" fillId="11" borderId="26" xfId="0" applyNumberFormat="1" applyFont="1" applyFill="1" applyBorder="1" applyAlignment="1">
      <alignment horizontal="center" vertical="center"/>
    </xf>
    <xf numFmtId="3" fontId="2" fillId="24" borderId="26" xfId="0" applyNumberFormat="1" applyFont="1" applyFill="1" applyBorder="1" applyAlignment="1">
      <alignment horizontal="center" vertical="center"/>
    </xf>
    <xf numFmtId="0" fontId="2" fillId="33" borderId="26" xfId="0" applyFont="1" applyFill="1" applyBorder="1" applyAlignment="1">
      <alignment horizontal="center" vertical="center"/>
    </xf>
    <xf numFmtId="3" fontId="2" fillId="33" borderId="26" xfId="0" applyNumberFormat="1" applyFont="1" applyFill="1" applyBorder="1" applyAlignment="1">
      <alignment horizontal="center" vertical="center"/>
    </xf>
    <xf numFmtId="0" fontId="2" fillId="22" borderId="26" xfId="0" applyFont="1" applyFill="1" applyBorder="1" applyAlignment="1">
      <alignment horizontal="center" vertical="center"/>
    </xf>
    <xf numFmtId="3" fontId="2" fillId="22" borderId="26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17" fillId="26" borderId="0" xfId="0" applyFont="1" applyFill="1" applyBorder="1" applyAlignment="1">
      <alignment horizontal="center"/>
    </xf>
    <xf numFmtId="3" fontId="17" fillId="4" borderId="0" xfId="0" applyNumberFormat="1" applyFont="1" applyFill="1" applyBorder="1" applyAlignment="1">
      <alignment horizontal="center"/>
    </xf>
    <xf numFmtId="38" fontId="17" fillId="32" borderId="14" xfId="0" applyNumberFormat="1" applyFont="1" applyFill="1" applyBorder="1"/>
    <xf numFmtId="38" fontId="17" fillId="32" borderId="24" xfId="0" applyNumberFormat="1" applyFont="1" applyFill="1" applyBorder="1"/>
    <xf numFmtId="38" fontId="17" fillId="32" borderId="13" xfId="0" applyNumberFormat="1" applyFont="1" applyFill="1" applyBorder="1"/>
    <xf numFmtId="0" fontId="18" fillId="3" borderId="8" xfId="0" applyFont="1" applyFill="1" applyBorder="1" applyAlignment="1">
      <alignment horizontal="right"/>
    </xf>
    <xf numFmtId="3" fontId="18" fillId="3" borderId="17" xfId="0" applyNumberFormat="1" applyFont="1" applyFill="1" applyBorder="1" applyAlignment="1">
      <alignment horizontal="center"/>
    </xf>
    <xf numFmtId="3" fontId="18" fillId="3" borderId="17" xfId="0" applyNumberFormat="1" applyFont="1" applyFill="1" applyBorder="1"/>
    <xf numFmtId="3" fontId="18" fillId="3" borderId="7" xfId="0" applyNumberFormat="1" applyFont="1" applyFill="1" applyBorder="1"/>
    <xf numFmtId="3" fontId="17" fillId="26" borderId="0" xfId="0" applyNumberFormat="1" applyFont="1" applyFill="1" applyBorder="1" applyAlignment="1">
      <alignment horizontal="center"/>
    </xf>
    <xf numFmtId="0" fontId="19" fillId="15" borderId="26" xfId="0" applyFont="1" applyFill="1" applyBorder="1"/>
    <xf numFmtId="0" fontId="19" fillId="15" borderId="26" xfId="0" applyFont="1" applyFill="1" applyBorder="1" applyAlignment="1">
      <alignment horizontal="center" readingOrder="2"/>
    </xf>
    <xf numFmtId="0" fontId="19" fillId="15" borderId="26" xfId="0" applyFont="1" applyFill="1" applyBorder="1" applyAlignment="1">
      <alignment horizontal="center"/>
    </xf>
    <xf numFmtId="0" fontId="19" fillId="15" borderId="26" xfId="0" applyFont="1" applyFill="1" applyBorder="1" applyAlignment="1">
      <alignment horizontal="center" readingOrder="1"/>
    </xf>
    <xf numFmtId="0" fontId="2" fillId="4" borderId="26" xfId="0" applyFont="1" applyFill="1" applyBorder="1"/>
    <xf numFmtId="3" fontId="2" fillId="26" borderId="0" xfId="0" applyNumberFormat="1" applyFont="1" applyFill="1" applyAlignment="1">
      <alignment horizontal="center"/>
    </xf>
    <xf numFmtId="9" fontId="2" fillId="26" borderId="0" xfId="2" applyFon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9" fontId="2" fillId="9" borderId="0" xfId="2" applyFont="1" applyFill="1" applyAlignment="1">
      <alignment horizontal="center"/>
    </xf>
    <xf numFmtId="3" fontId="2" fillId="19" borderId="0" xfId="0" applyNumberFormat="1" applyFont="1" applyFill="1" applyAlignment="1">
      <alignment horizontal="center"/>
    </xf>
    <xf numFmtId="3" fontId="2" fillId="20" borderId="0" xfId="0" applyNumberFormat="1" applyFont="1" applyFill="1" applyAlignment="1">
      <alignment horizontal="center"/>
    </xf>
    <xf numFmtId="9" fontId="2" fillId="20" borderId="0" xfId="2" applyFont="1" applyFill="1" applyAlignment="1">
      <alignment horizontal="center"/>
    </xf>
    <xf numFmtId="0" fontId="2" fillId="34" borderId="0" xfId="0" applyFont="1" applyFill="1"/>
    <xf numFmtId="9" fontId="2" fillId="34" borderId="0" xfId="2" applyFont="1" applyFill="1" applyAlignment="1">
      <alignment horizontal="center"/>
    </xf>
    <xf numFmtId="0" fontId="2" fillId="13" borderId="0" xfId="0" applyFont="1" applyFill="1"/>
    <xf numFmtId="9" fontId="2" fillId="13" borderId="0" xfId="2" applyFont="1" applyFill="1" applyAlignment="1">
      <alignment horizontal="center"/>
    </xf>
    <xf numFmtId="0" fontId="2" fillId="6" borderId="0" xfId="0" applyFont="1" applyFill="1" applyAlignment="1">
      <alignment horizontal="center"/>
    </xf>
    <xf numFmtId="4" fontId="2" fillId="4" borderId="26" xfId="0" applyNumberFormat="1" applyFont="1" applyFill="1" applyBorder="1" applyAlignment="1">
      <alignment horizontal="center"/>
    </xf>
    <xf numFmtId="3" fontId="2" fillId="4" borderId="2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3" fontId="12" fillId="0" borderId="0" xfId="1" applyNumberFormat="1" applyFont="1" applyAlignment="1">
      <alignment horizontal="center" vertical="center"/>
    </xf>
    <xf numFmtId="9" fontId="2" fillId="2" borderId="15" xfId="2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/>
    </xf>
    <xf numFmtId="164" fontId="6" fillId="9" borderId="27" xfId="1" applyNumberFormat="1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 vertical="center"/>
    </xf>
    <xf numFmtId="164" fontId="2" fillId="6" borderId="13" xfId="0" applyNumberFormat="1" applyFont="1" applyFill="1" applyBorder="1" applyAlignment="1">
      <alignment horizontal="center" vertical="center"/>
    </xf>
    <xf numFmtId="43" fontId="2" fillId="8" borderId="5" xfId="1" applyNumberFormat="1" applyFont="1" applyFill="1" applyBorder="1" applyAlignment="1">
      <alignment horizontal="center"/>
    </xf>
    <xf numFmtId="43" fontId="2" fillId="8" borderId="1" xfId="1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22" borderId="60" xfId="0" applyFont="1" applyFill="1" applyBorder="1"/>
    <xf numFmtId="3" fontId="2" fillId="22" borderId="6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3" fontId="2" fillId="20" borderId="26" xfId="1" applyNumberFormat="1" applyFont="1" applyFill="1" applyBorder="1" applyAlignment="1">
      <alignment horizontal="center" vertical="center"/>
    </xf>
    <xf numFmtId="3" fontId="2" fillId="20" borderId="5" xfId="1" applyNumberFormat="1" applyFont="1" applyFill="1" applyBorder="1" applyAlignment="1">
      <alignment horizontal="center" vertical="center"/>
    </xf>
    <xf numFmtId="3" fontId="2" fillId="20" borderId="15" xfId="1" applyNumberFormat="1" applyFont="1" applyFill="1" applyBorder="1" applyAlignment="1">
      <alignment horizontal="center" vertical="center"/>
    </xf>
    <xf numFmtId="3" fontId="2" fillId="20" borderId="1" xfId="1" applyNumberFormat="1" applyFont="1" applyFill="1" applyBorder="1" applyAlignment="1">
      <alignment horizontal="center" vertical="center"/>
    </xf>
    <xf numFmtId="3" fontId="2" fillId="11" borderId="16" xfId="0" applyNumberFormat="1" applyFont="1" applyFill="1" applyBorder="1" applyAlignment="1">
      <alignment horizontal="center" vertical="center"/>
    </xf>
    <xf numFmtId="3" fontId="2" fillId="11" borderId="11" xfId="1" applyNumberFormat="1" applyFont="1" applyFill="1" applyBorder="1" applyAlignment="1">
      <alignment horizontal="center" vertical="center"/>
    </xf>
    <xf numFmtId="3" fontId="2" fillId="20" borderId="34" xfId="1" applyNumberFormat="1" applyFont="1" applyFill="1" applyBorder="1" applyAlignment="1">
      <alignment horizontal="center" vertical="center"/>
    </xf>
    <xf numFmtId="3" fontId="2" fillId="20" borderId="33" xfId="1" applyNumberFormat="1" applyFont="1" applyFill="1" applyBorder="1" applyAlignment="1">
      <alignment horizontal="center" vertical="center"/>
    </xf>
    <xf numFmtId="3" fontId="2" fillId="22" borderId="31" xfId="1" applyNumberFormat="1" applyFont="1" applyFill="1" applyBorder="1" applyAlignment="1">
      <alignment horizontal="center" vertical="center"/>
    </xf>
    <xf numFmtId="3" fontId="2" fillId="22" borderId="30" xfId="1" applyNumberFormat="1" applyFont="1" applyFill="1" applyBorder="1" applyAlignment="1">
      <alignment horizontal="center" vertical="center"/>
    </xf>
    <xf numFmtId="3" fontId="2" fillId="23" borderId="0" xfId="1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17" borderId="26" xfId="0" applyFont="1" applyFill="1" applyBorder="1" applyAlignment="1">
      <alignment horizontal="center" vertical="center"/>
    </xf>
    <xf numFmtId="3" fontId="2" fillId="17" borderId="26" xfId="0" applyNumberFormat="1" applyFont="1" applyFill="1" applyBorder="1" applyAlignment="1">
      <alignment horizontal="center" vertical="center"/>
    </xf>
    <xf numFmtId="3" fontId="2" fillId="17" borderId="5" xfId="0" applyNumberFormat="1" applyFont="1" applyFill="1" applyBorder="1" applyAlignment="1">
      <alignment horizontal="center" vertical="center"/>
    </xf>
    <xf numFmtId="3" fontId="2" fillId="17" borderId="6" xfId="0" applyNumberFormat="1" applyFont="1" applyFill="1" applyBorder="1" applyAlignment="1">
      <alignment horizontal="center" vertical="center"/>
    </xf>
    <xf numFmtId="3" fontId="2" fillId="17" borderId="2" xfId="0" applyNumberFormat="1" applyFont="1" applyFill="1" applyBorder="1" applyAlignment="1">
      <alignment horizontal="center" vertical="center"/>
    </xf>
    <xf numFmtId="9" fontId="2" fillId="17" borderId="15" xfId="2" applyFont="1" applyFill="1" applyBorder="1" applyAlignment="1">
      <alignment horizontal="center" vertical="center"/>
    </xf>
    <xf numFmtId="3" fontId="2" fillId="17" borderId="15" xfId="0" applyNumberFormat="1" applyFont="1" applyFill="1" applyBorder="1" applyAlignment="1">
      <alignment horizontal="center" vertical="center"/>
    </xf>
    <xf numFmtId="3" fontId="2" fillId="17" borderId="1" xfId="0" applyNumberFormat="1" applyFont="1" applyFill="1" applyBorder="1" applyAlignment="1">
      <alignment horizontal="center" vertical="center"/>
    </xf>
    <xf numFmtId="3" fontId="2" fillId="2" borderId="26" xfId="0" applyNumberFormat="1" applyFont="1" applyFill="1" applyBorder="1" applyAlignment="1">
      <alignment horizontal="center" vertical="center"/>
    </xf>
    <xf numFmtId="0" fontId="2" fillId="22" borderId="0" xfId="0" applyFont="1" applyFill="1" applyBorder="1"/>
    <xf numFmtId="3" fontId="2" fillId="22" borderId="0" xfId="0" applyNumberFormat="1" applyFont="1" applyFill="1" applyBorder="1" applyAlignment="1">
      <alignment horizontal="center"/>
    </xf>
    <xf numFmtId="3" fontId="2" fillId="2" borderId="0" xfId="1" applyNumberFormat="1" applyFont="1" applyFill="1" applyAlignment="1">
      <alignment horizontal="center"/>
    </xf>
    <xf numFmtId="3" fontId="2" fillId="34" borderId="0" xfId="0" applyNumberFormat="1" applyFont="1" applyFill="1" applyAlignment="1">
      <alignment horizontal="center"/>
    </xf>
    <xf numFmtId="3" fontId="2" fillId="13" borderId="0" xfId="0" applyNumberFormat="1" applyFont="1" applyFill="1" applyAlignment="1">
      <alignment horizontal="center"/>
    </xf>
    <xf numFmtId="37" fontId="2" fillId="6" borderId="13" xfId="0" applyNumberFormat="1" applyFont="1" applyFill="1" applyBorder="1" applyAlignment="1">
      <alignment horizontal="center" vertical="center"/>
    </xf>
    <xf numFmtId="3" fontId="2" fillId="22" borderId="0" xfId="0" applyNumberFormat="1" applyFont="1" applyFill="1"/>
    <xf numFmtId="9" fontId="2" fillId="0" borderId="0" xfId="0" applyNumberFormat="1" applyFont="1"/>
    <xf numFmtId="9" fontId="2" fillId="0" borderId="0" xfId="0" applyNumberFormat="1" applyFont="1" applyAlignment="1">
      <alignment horizontal="center" vertical="center"/>
    </xf>
    <xf numFmtId="43" fontId="2" fillId="0" borderId="15" xfId="0" applyNumberFormat="1" applyFont="1" applyBorder="1"/>
    <xf numFmtId="37" fontId="2" fillId="2" borderId="0" xfId="0" applyNumberFormat="1" applyFont="1" applyFill="1" applyAlignment="1">
      <alignment horizontal="center"/>
    </xf>
    <xf numFmtId="0" fontId="2" fillId="22" borderId="0" xfId="0" applyFont="1" applyFill="1" applyAlignment="1">
      <alignment horizontal="center"/>
    </xf>
    <xf numFmtId="3" fontId="2" fillId="22" borderId="0" xfId="0" applyNumberFormat="1" applyFont="1" applyFill="1" applyAlignment="1">
      <alignment horizontal="center"/>
    </xf>
    <xf numFmtId="0" fontId="2" fillId="33" borderId="22" xfId="0" applyFont="1" applyFill="1" applyBorder="1"/>
    <xf numFmtId="164" fontId="2" fillId="33" borderId="22" xfId="0" applyNumberFormat="1" applyFont="1" applyFill="1" applyBorder="1"/>
    <xf numFmtId="3" fontId="2" fillId="33" borderId="0" xfId="0" applyNumberFormat="1" applyFont="1" applyFill="1" applyAlignment="1">
      <alignment horizontal="center"/>
    </xf>
    <xf numFmtId="3" fontId="2" fillId="33" borderId="0" xfId="1" applyNumberFormat="1" applyFont="1" applyFill="1" applyAlignment="1">
      <alignment horizontal="center"/>
    </xf>
    <xf numFmtId="0" fontId="2" fillId="8" borderId="22" xfId="0" applyFont="1" applyFill="1" applyBorder="1"/>
    <xf numFmtId="164" fontId="2" fillId="8" borderId="22" xfId="1" applyNumberFormat="1" applyFont="1" applyFill="1" applyBorder="1"/>
    <xf numFmtId="3" fontId="2" fillId="8" borderId="0" xfId="1" applyNumberFormat="1" applyFont="1" applyFill="1" applyAlignment="1">
      <alignment horizontal="center"/>
    </xf>
    <xf numFmtId="3" fontId="2" fillId="8" borderId="0" xfId="0" applyNumberFormat="1" applyFont="1" applyFill="1" applyAlignment="1">
      <alignment horizontal="center"/>
    </xf>
    <xf numFmtId="0" fontId="2" fillId="3" borderId="22" xfId="0" applyFont="1" applyFill="1" applyBorder="1"/>
    <xf numFmtId="164" fontId="2" fillId="3" borderId="22" xfId="1" applyNumberFormat="1" applyFont="1" applyFill="1" applyBorder="1"/>
    <xf numFmtId="3" fontId="2" fillId="3" borderId="0" xfId="1" applyNumberFormat="1" applyFont="1" applyFill="1" applyAlignment="1">
      <alignment horizontal="center"/>
    </xf>
    <xf numFmtId="0" fontId="2" fillId="11" borderId="22" xfId="0" applyFont="1" applyFill="1" applyBorder="1"/>
    <xf numFmtId="164" fontId="2" fillId="11" borderId="22" xfId="1" applyNumberFormat="1" applyFont="1" applyFill="1" applyBorder="1"/>
    <xf numFmtId="3" fontId="2" fillId="11" borderId="0" xfId="0" applyNumberFormat="1" applyFont="1" applyFill="1" applyAlignment="1">
      <alignment horizontal="center"/>
    </xf>
    <xf numFmtId="3" fontId="2" fillId="11" borderId="0" xfId="1" applyNumberFormat="1" applyFont="1" applyFill="1" applyAlignment="1">
      <alignment horizontal="center"/>
    </xf>
    <xf numFmtId="0" fontId="2" fillId="4" borderId="22" xfId="0" applyFont="1" applyFill="1" applyBorder="1"/>
    <xf numFmtId="164" fontId="2" fillId="4" borderId="22" xfId="1" applyNumberFormat="1" applyFont="1" applyFill="1" applyBorder="1"/>
    <xf numFmtId="3" fontId="2" fillId="4" borderId="0" xfId="1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2" fillId="9" borderId="0" xfId="1" applyNumberFormat="1" applyFont="1" applyFill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22" borderId="22" xfId="0" applyFont="1" applyFill="1" applyBorder="1" applyAlignment="1">
      <alignment horizontal="center"/>
    </xf>
    <xf numFmtId="3" fontId="2" fillId="22" borderId="0" xfId="1" applyNumberFormat="1" applyFont="1" applyFill="1" applyAlignment="1">
      <alignment horizontal="center"/>
    </xf>
    <xf numFmtId="3" fontId="2" fillId="22" borderId="22" xfId="1" applyNumberFormat="1" applyFont="1" applyFill="1" applyBorder="1" applyAlignment="1">
      <alignment horizontal="center"/>
    </xf>
    <xf numFmtId="3" fontId="2" fillId="4" borderId="22" xfId="1" applyNumberFormat="1" applyFont="1" applyFill="1" applyBorder="1" applyAlignment="1">
      <alignment horizontal="center"/>
    </xf>
    <xf numFmtId="3" fontId="2" fillId="9" borderId="22" xfId="1" applyNumberFormat="1" applyFont="1" applyFill="1" applyBorder="1" applyAlignment="1">
      <alignment horizontal="center"/>
    </xf>
    <xf numFmtId="0" fontId="2" fillId="11" borderId="22" xfId="0" applyFont="1" applyFill="1" applyBorder="1" applyAlignment="1">
      <alignment horizontal="center"/>
    </xf>
    <xf numFmtId="3" fontId="2" fillId="11" borderId="22" xfId="1" applyNumberFormat="1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2" fillId="5" borderId="22" xfId="0" applyFont="1" applyFill="1" applyBorder="1" applyAlignment="1">
      <alignment horizontal="center"/>
    </xf>
    <xf numFmtId="3" fontId="2" fillId="5" borderId="22" xfId="0" applyNumberFormat="1" applyFont="1" applyFill="1" applyBorder="1" applyAlignment="1">
      <alignment horizontal="center"/>
    </xf>
    <xf numFmtId="3" fontId="2" fillId="5" borderId="0" xfId="1" applyNumberFormat="1" applyFont="1" applyFill="1" applyAlignment="1">
      <alignment horizontal="center"/>
    </xf>
    <xf numFmtId="3" fontId="2" fillId="5" borderId="22" xfId="1" applyNumberFormat="1" applyFont="1" applyFill="1" applyBorder="1" applyAlignment="1">
      <alignment horizontal="center"/>
    </xf>
    <xf numFmtId="3" fontId="2" fillId="5" borderId="0" xfId="0" applyNumberFormat="1" applyFont="1" applyFill="1" applyAlignment="1">
      <alignment horizontal="center"/>
    </xf>
    <xf numFmtId="0" fontId="2" fillId="16" borderId="22" xfId="0" applyFont="1" applyFill="1" applyBorder="1" applyAlignment="1">
      <alignment horizontal="center"/>
    </xf>
    <xf numFmtId="3" fontId="2" fillId="16" borderId="22" xfId="1" applyNumberFormat="1" applyFont="1" applyFill="1" applyBorder="1" applyAlignment="1">
      <alignment horizontal="center"/>
    </xf>
    <xf numFmtId="0" fontId="2" fillId="16" borderId="0" xfId="0" applyFont="1" applyFill="1" applyAlignment="1">
      <alignment horizontal="center"/>
    </xf>
    <xf numFmtId="3" fontId="2" fillId="16" borderId="0" xfId="1" applyNumberFormat="1" applyFont="1" applyFill="1" applyAlignment="1">
      <alignment horizontal="center"/>
    </xf>
    <xf numFmtId="3" fontId="2" fillId="16" borderId="0" xfId="0" applyNumberFormat="1" applyFont="1" applyFill="1" applyAlignment="1">
      <alignment horizontal="center"/>
    </xf>
    <xf numFmtId="0" fontId="2" fillId="13" borderId="22" xfId="0" applyFont="1" applyFill="1" applyBorder="1" applyAlignment="1">
      <alignment horizontal="center"/>
    </xf>
    <xf numFmtId="39" fontId="2" fillId="13" borderId="22" xfId="1" applyNumberFormat="1" applyFont="1" applyFill="1" applyBorder="1" applyAlignment="1">
      <alignment horizontal="center"/>
    </xf>
    <xf numFmtId="0" fontId="2" fillId="13" borderId="0" xfId="0" applyFont="1" applyFill="1" applyAlignment="1">
      <alignment horizontal="center"/>
    </xf>
    <xf numFmtId="0" fontId="2" fillId="12" borderId="22" xfId="0" applyFont="1" applyFill="1" applyBorder="1" applyAlignment="1">
      <alignment horizontal="center"/>
    </xf>
    <xf numFmtId="3" fontId="2" fillId="12" borderId="22" xfId="1" applyNumberFormat="1" applyFont="1" applyFill="1" applyBorder="1" applyAlignment="1">
      <alignment horizontal="center"/>
    </xf>
    <xf numFmtId="3" fontId="2" fillId="12" borderId="0" xfId="0" applyNumberFormat="1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12" borderId="37" xfId="0" applyFont="1" applyFill="1" applyBorder="1" applyAlignment="1">
      <alignment horizontal="right"/>
    </xf>
    <xf numFmtId="43" fontId="2" fillId="12" borderId="36" xfId="0" applyNumberFormat="1" applyFont="1" applyFill="1" applyBorder="1" applyAlignment="1">
      <alignment horizontal="center" vertical="center"/>
    </xf>
    <xf numFmtId="0" fontId="2" fillId="26" borderId="37" xfId="0" applyFont="1" applyFill="1" applyBorder="1" applyAlignment="1">
      <alignment horizontal="right"/>
    </xf>
    <xf numFmtId="164" fontId="2" fillId="26" borderId="36" xfId="1" applyNumberFormat="1" applyFont="1" applyFill="1" applyBorder="1" applyAlignment="1">
      <alignment horizontal="right"/>
    </xf>
    <xf numFmtId="0" fontId="2" fillId="16" borderId="22" xfId="0" applyFont="1" applyFill="1" applyBorder="1"/>
    <xf numFmtId="164" fontId="2" fillId="16" borderId="22" xfId="1" applyNumberFormat="1" applyFont="1" applyFill="1" applyBorder="1"/>
    <xf numFmtId="164" fontId="2" fillId="3" borderId="26" xfId="1" applyNumberFormat="1" applyFont="1" applyFill="1" applyBorder="1"/>
    <xf numFmtId="9" fontId="3" fillId="0" borderId="0" xfId="2" applyFont="1" applyFill="1" applyBorder="1"/>
    <xf numFmtId="0" fontId="2" fillId="0" borderId="0" xfId="0" applyFont="1" applyFill="1"/>
    <xf numFmtId="0" fontId="7" fillId="17" borderId="51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7" fillId="13" borderId="51" xfId="0" applyFont="1" applyFill="1" applyBorder="1" applyAlignment="1">
      <alignment horizontal="center" vertical="center"/>
    </xf>
    <xf numFmtId="0" fontId="7" fillId="20" borderId="51" xfId="0" applyFont="1" applyFill="1" applyBorder="1" applyAlignment="1">
      <alignment horizontal="center" vertical="center"/>
    </xf>
    <xf numFmtId="37" fontId="6" fillId="5" borderId="22" xfId="1" applyNumberFormat="1" applyFont="1" applyFill="1" applyBorder="1" applyAlignment="1">
      <alignment horizontal="center"/>
    </xf>
    <xf numFmtId="37" fontId="6" fillId="17" borderId="22" xfId="1" applyNumberFormat="1" applyFont="1" applyFill="1" applyBorder="1" applyAlignment="1">
      <alignment horizontal="center"/>
    </xf>
    <xf numFmtId="37" fontId="6" fillId="16" borderId="22" xfId="1" applyNumberFormat="1" applyFont="1" applyFill="1" applyBorder="1" applyAlignment="1">
      <alignment horizontal="center"/>
    </xf>
    <xf numFmtId="37" fontId="6" fillId="13" borderId="22" xfId="1" applyNumberFormat="1" applyFont="1" applyFill="1" applyBorder="1" applyAlignment="1">
      <alignment horizontal="center"/>
    </xf>
    <xf numFmtId="37" fontId="6" fillId="20" borderId="22" xfId="1" applyNumberFormat="1" applyFont="1" applyFill="1" applyBorder="1" applyAlignment="1">
      <alignment horizontal="center"/>
    </xf>
    <xf numFmtId="3" fontId="3" fillId="5" borderId="0" xfId="1" applyNumberFormat="1" applyFont="1" applyFill="1" applyBorder="1" applyAlignment="1">
      <alignment horizontal="center"/>
    </xf>
    <xf numFmtId="3" fontId="3" fillId="17" borderId="0" xfId="1" applyNumberFormat="1" applyFont="1" applyFill="1" applyBorder="1" applyAlignment="1">
      <alignment horizontal="center"/>
    </xf>
    <xf numFmtId="3" fontId="3" fillId="16" borderId="0" xfId="1" applyNumberFormat="1" applyFont="1" applyFill="1" applyBorder="1" applyAlignment="1">
      <alignment horizontal="center"/>
    </xf>
    <xf numFmtId="3" fontId="3" fillId="13" borderId="0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3" fontId="3" fillId="17" borderId="0" xfId="0" applyNumberFormat="1" applyFont="1" applyFill="1" applyBorder="1" applyAlignment="1">
      <alignment horizontal="center"/>
    </xf>
    <xf numFmtId="3" fontId="3" fillId="16" borderId="0" xfId="0" applyNumberFormat="1" applyFont="1" applyFill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3" fontId="3" fillId="16" borderId="0" xfId="0" applyNumberFormat="1" applyFont="1" applyFill="1" applyBorder="1" applyAlignment="1">
      <alignment horizontal="center"/>
    </xf>
    <xf numFmtId="3" fontId="3" fillId="13" borderId="0" xfId="0" applyNumberFormat="1" applyFont="1" applyFill="1" applyAlignment="1">
      <alignment horizontal="center"/>
    </xf>
    <xf numFmtId="3" fontId="3" fillId="20" borderId="0" xfId="0" applyNumberFormat="1" applyFont="1" applyFill="1" applyAlignment="1">
      <alignment horizontal="center"/>
    </xf>
    <xf numFmtId="3" fontId="3" fillId="20" borderId="0" xfId="0" applyNumberFormat="1" applyFont="1" applyFill="1" applyBorder="1" applyAlignment="1">
      <alignment horizontal="center"/>
    </xf>
    <xf numFmtId="0" fontId="7" fillId="35" borderId="0" xfId="0" applyFont="1" applyFill="1" applyBorder="1" applyAlignment="1">
      <alignment horizontal="center" vertical="center"/>
    </xf>
    <xf numFmtId="37" fontId="6" fillId="35" borderId="22" xfId="1" applyNumberFormat="1" applyFont="1" applyFill="1" applyBorder="1" applyAlignment="1">
      <alignment horizontal="center"/>
    </xf>
    <xf numFmtId="3" fontId="3" fillId="35" borderId="0" xfId="0" applyNumberFormat="1" applyFont="1" applyFill="1" applyAlignment="1">
      <alignment horizontal="center"/>
    </xf>
    <xf numFmtId="3" fontId="3" fillId="35" borderId="0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center" vertical="center"/>
    </xf>
    <xf numFmtId="37" fontId="6" fillId="19" borderId="22" xfId="1" applyNumberFormat="1" applyFont="1" applyFill="1" applyBorder="1" applyAlignment="1">
      <alignment horizontal="center"/>
    </xf>
    <xf numFmtId="3" fontId="3" fillId="19" borderId="0" xfId="0" applyNumberFormat="1" applyFont="1" applyFill="1" applyAlignment="1">
      <alignment horizontal="center"/>
    </xf>
    <xf numFmtId="3" fontId="3" fillId="19" borderId="0" xfId="0" applyNumberFormat="1" applyFont="1" applyFill="1" applyBorder="1" applyAlignment="1">
      <alignment horizontal="center"/>
    </xf>
    <xf numFmtId="0" fontId="7" fillId="26" borderId="0" xfId="0" applyFont="1" applyFill="1" applyBorder="1" applyAlignment="1">
      <alignment horizontal="center" vertical="center"/>
    </xf>
    <xf numFmtId="37" fontId="6" fillId="26" borderId="22" xfId="1" applyNumberFormat="1" applyFont="1" applyFill="1" applyBorder="1" applyAlignment="1">
      <alignment horizontal="center"/>
    </xf>
    <xf numFmtId="3" fontId="3" fillId="26" borderId="0" xfId="0" applyNumberFormat="1" applyFont="1" applyFill="1" applyAlignment="1">
      <alignment horizontal="center"/>
    </xf>
    <xf numFmtId="3" fontId="3" fillId="26" borderId="0" xfId="0" applyNumberFormat="1" applyFont="1" applyFill="1" applyBorder="1" applyAlignment="1">
      <alignment horizontal="center"/>
    </xf>
    <xf numFmtId="0" fontId="12" fillId="36" borderId="14" xfId="0" applyFont="1" applyFill="1" applyBorder="1" applyAlignment="1">
      <alignment horizontal="center"/>
    </xf>
    <xf numFmtId="0" fontId="12" fillId="37" borderId="54" xfId="0" applyFont="1" applyFill="1" applyBorder="1" applyAlignment="1">
      <alignment horizontal="center"/>
    </xf>
    <xf numFmtId="0" fontId="12" fillId="38" borderId="54" xfId="0" applyFont="1" applyFill="1" applyBorder="1" applyAlignment="1">
      <alignment horizontal="center"/>
    </xf>
    <xf numFmtId="0" fontId="12" fillId="37" borderId="54" xfId="0" applyFont="1" applyFill="1" applyBorder="1" applyAlignment="1">
      <alignment horizontal="center" wrapText="1"/>
    </xf>
    <xf numFmtId="0" fontId="2" fillId="38" borderId="52" xfId="0" applyFont="1" applyFill="1" applyBorder="1"/>
    <xf numFmtId="0" fontId="12" fillId="36" borderId="55" xfId="0" applyFont="1" applyFill="1" applyBorder="1" applyAlignment="1">
      <alignment horizontal="center"/>
    </xf>
    <xf numFmtId="164" fontId="12" fillId="36" borderId="55" xfId="1" applyNumberFormat="1" applyFont="1" applyFill="1" applyBorder="1" applyAlignment="1">
      <alignment horizontal="center" vertical="center"/>
    </xf>
    <xf numFmtId="0" fontId="12" fillId="36" borderId="27" xfId="0" applyFont="1" applyFill="1" applyBorder="1" applyAlignment="1">
      <alignment horizontal="center"/>
    </xf>
    <xf numFmtId="164" fontId="12" fillId="39" borderId="53" xfId="1" applyNumberFormat="1" applyFont="1" applyFill="1" applyBorder="1" applyAlignment="1">
      <alignment horizontal="center"/>
    </xf>
    <xf numFmtId="164" fontId="12" fillId="40" borderId="53" xfId="1" applyNumberFormat="1" applyFont="1" applyFill="1" applyBorder="1" applyAlignment="1">
      <alignment horizontal="center"/>
    </xf>
    <xf numFmtId="9" fontId="12" fillId="39" borderId="53" xfId="2" applyFont="1" applyFill="1" applyBorder="1" applyAlignment="1">
      <alignment horizontal="center"/>
    </xf>
    <xf numFmtId="9" fontId="12" fillId="39" borderId="33" xfId="2" applyFont="1" applyFill="1" applyBorder="1" applyAlignment="1">
      <alignment horizontal="center"/>
    </xf>
    <xf numFmtId="9" fontId="12" fillId="40" borderId="53" xfId="2" applyFont="1" applyFill="1" applyBorder="1" applyAlignment="1">
      <alignment horizontal="center"/>
    </xf>
    <xf numFmtId="9" fontId="12" fillId="40" borderId="33" xfId="2" applyFont="1" applyFill="1" applyBorder="1" applyAlignment="1">
      <alignment horizontal="center"/>
    </xf>
    <xf numFmtId="9" fontId="2" fillId="40" borderId="46" xfId="2" applyFont="1" applyFill="1" applyBorder="1" applyAlignment="1">
      <alignment horizontal="center"/>
    </xf>
    <xf numFmtId="164" fontId="2" fillId="40" borderId="46" xfId="0" applyNumberFormat="1" applyFont="1" applyFill="1" applyBorder="1" applyAlignment="1">
      <alignment horizontal="center"/>
    </xf>
    <xf numFmtId="9" fontId="2" fillId="40" borderId="1" xfId="2" applyFont="1" applyFill="1" applyBorder="1" applyAlignment="1">
      <alignment horizontal="center"/>
    </xf>
    <xf numFmtId="39" fontId="12" fillId="39" borderId="53" xfId="1" applyNumberFormat="1" applyFont="1" applyFill="1" applyBorder="1" applyAlignment="1">
      <alignment horizontal="center"/>
    </xf>
    <xf numFmtId="167" fontId="2" fillId="0" borderId="0" xfId="0" applyNumberFormat="1" applyFont="1" applyFill="1"/>
    <xf numFmtId="164" fontId="2" fillId="17" borderId="26" xfId="0" applyNumberFormat="1" applyFont="1" applyFill="1" applyBorder="1"/>
    <xf numFmtId="39" fontId="2" fillId="17" borderId="26" xfId="0" applyNumberFormat="1" applyFont="1" applyFill="1" applyBorder="1"/>
    <xf numFmtId="167" fontId="2" fillId="2" borderId="0" xfId="0" applyNumberFormat="1" applyFont="1" applyFill="1"/>
    <xf numFmtId="3" fontId="12" fillId="27" borderId="33" xfId="1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3" fontId="12" fillId="27" borderId="53" xfId="1" applyNumberFormat="1" applyFont="1" applyFill="1" applyBorder="1" applyAlignment="1">
      <alignment horizontal="center"/>
    </xf>
    <xf numFmtId="3" fontId="12" fillId="27" borderId="53" xfId="1" applyNumberFormat="1" applyFont="1" applyFill="1" applyBorder="1" applyAlignment="1">
      <alignment horizontal="center" vertical="center"/>
    </xf>
    <xf numFmtId="3" fontId="12" fillId="28" borderId="53" xfId="1" applyNumberFormat="1" applyFont="1" applyFill="1" applyBorder="1" applyAlignment="1">
      <alignment horizontal="center"/>
    </xf>
    <xf numFmtId="3" fontId="12" fillId="28" borderId="53" xfId="1" applyNumberFormat="1" applyFont="1" applyFill="1" applyBorder="1" applyAlignment="1">
      <alignment horizontal="center" vertical="center"/>
    </xf>
    <xf numFmtId="3" fontId="12" fillId="28" borderId="33" xfId="1" applyNumberFormat="1" applyFont="1" applyFill="1" applyBorder="1" applyAlignment="1">
      <alignment horizontal="center"/>
    </xf>
    <xf numFmtId="3" fontId="2" fillId="31" borderId="46" xfId="0" applyNumberFormat="1" applyFont="1" applyFill="1" applyBorder="1" applyAlignment="1">
      <alignment horizontal="center"/>
    </xf>
    <xf numFmtId="3" fontId="2" fillId="31" borderId="1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Alignment="1">
      <alignment horizontal="center"/>
    </xf>
    <xf numFmtId="0" fontId="7" fillId="12" borderId="0" xfId="0" applyFont="1" applyFill="1" applyBorder="1" applyAlignment="1">
      <alignment horizontal="center" vertical="center"/>
    </xf>
    <xf numFmtId="37" fontId="6" fillId="12" borderId="22" xfId="1" applyNumberFormat="1" applyFont="1" applyFill="1" applyBorder="1" applyAlignment="1">
      <alignment horizontal="center"/>
    </xf>
    <xf numFmtId="3" fontId="3" fillId="12" borderId="0" xfId="0" applyNumberFormat="1" applyFont="1" applyFill="1" applyAlignment="1">
      <alignment horizontal="center"/>
    </xf>
    <xf numFmtId="3" fontId="3" fillId="12" borderId="0" xfId="0" applyNumberFormat="1" applyFont="1" applyFill="1" applyBorder="1" applyAlignment="1">
      <alignment horizontal="center"/>
    </xf>
    <xf numFmtId="0" fontId="12" fillId="28" borderId="35" xfId="0" applyFont="1" applyFill="1" applyBorder="1" applyAlignment="1">
      <alignment horizontal="center"/>
    </xf>
    <xf numFmtId="164" fontId="12" fillId="28" borderId="34" xfId="1" applyNumberFormat="1" applyFont="1" applyFill="1" applyBorder="1" applyAlignment="1">
      <alignment horizontal="center"/>
    </xf>
    <xf numFmtId="164" fontId="12" fillId="28" borderId="34" xfId="1" applyNumberFormat="1" applyFont="1" applyFill="1" applyBorder="1" applyAlignment="1">
      <alignment horizontal="center" vertical="center"/>
    </xf>
    <xf numFmtId="164" fontId="12" fillId="28" borderId="33" xfId="1" applyNumberFormat="1" applyFont="1" applyFill="1" applyBorder="1" applyAlignment="1">
      <alignment horizontal="center"/>
    </xf>
    <xf numFmtId="0" fontId="12" fillId="28" borderId="61" xfId="0" applyFont="1" applyFill="1" applyBorder="1" applyAlignment="1">
      <alignment horizontal="center"/>
    </xf>
    <xf numFmtId="164" fontId="12" fillId="28" borderId="59" xfId="1" applyNumberFormat="1" applyFont="1" applyFill="1" applyBorder="1" applyAlignment="1">
      <alignment horizontal="center"/>
    </xf>
    <xf numFmtId="43" fontId="12" fillId="28" borderId="59" xfId="1" applyNumberFormat="1" applyFont="1" applyFill="1" applyBorder="1" applyAlignment="1">
      <alignment horizontal="center"/>
    </xf>
    <xf numFmtId="164" fontId="12" fillId="28" borderId="62" xfId="1" applyNumberFormat="1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/>
    </xf>
    <xf numFmtId="0" fontId="5" fillId="2" borderId="4" xfId="0" applyFont="1" applyFill="1" applyBorder="1"/>
    <xf numFmtId="3" fontId="3" fillId="5" borderId="1" xfId="1" applyNumberFormat="1" applyFont="1" applyFill="1" applyBorder="1" applyAlignment="1">
      <alignment horizontal="center" vertical="center"/>
    </xf>
    <xf numFmtId="37" fontId="13" fillId="8" borderId="5" xfId="1" applyNumberFormat="1" applyFont="1" applyFill="1" applyBorder="1" applyAlignment="1">
      <alignment horizontal="center"/>
    </xf>
    <xf numFmtId="37" fontId="13" fillId="8" borderId="1" xfId="1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6" fillId="3" borderId="63" xfId="0" applyNumberFormat="1" applyFont="1" applyFill="1" applyBorder="1" applyAlignment="1">
      <alignment horizontal="center"/>
    </xf>
    <xf numFmtId="3" fontId="6" fillId="9" borderId="27" xfId="1" applyNumberFormat="1" applyFont="1" applyFill="1" applyBorder="1" applyAlignment="1">
      <alignment horizontal="center"/>
    </xf>
    <xf numFmtId="3" fontId="5" fillId="6" borderId="13" xfId="0" applyNumberFormat="1" applyFont="1" applyFill="1" applyBorder="1" applyAlignment="1">
      <alignment horizontal="center"/>
    </xf>
    <xf numFmtId="38" fontId="2" fillId="4" borderId="26" xfId="0" applyNumberFormat="1" applyFont="1" applyFill="1" applyBorder="1" applyAlignment="1">
      <alignment horizontal="center"/>
    </xf>
    <xf numFmtId="0" fontId="12" fillId="42" borderId="16" xfId="0" applyFont="1" applyFill="1" applyBorder="1" applyAlignment="1">
      <alignment horizontal="center"/>
    </xf>
    <xf numFmtId="164" fontId="12" fillId="42" borderId="16" xfId="1" applyNumberFormat="1" applyFont="1" applyFill="1" applyBorder="1" applyAlignment="1">
      <alignment horizontal="center" vertical="center"/>
    </xf>
    <xf numFmtId="0" fontId="12" fillId="42" borderId="11" xfId="0" applyFont="1" applyFill="1" applyBorder="1" applyAlignment="1">
      <alignment horizontal="center"/>
    </xf>
    <xf numFmtId="0" fontId="12" fillId="43" borderId="6" xfId="0" applyFont="1" applyFill="1" applyBorder="1" applyAlignment="1">
      <alignment horizontal="center"/>
    </xf>
    <xf numFmtId="9" fontId="12" fillId="43" borderId="26" xfId="2" applyFont="1" applyFill="1" applyBorder="1" applyAlignment="1">
      <alignment horizontal="center"/>
    </xf>
    <xf numFmtId="164" fontId="12" fillId="43" borderId="26" xfId="1" applyNumberFormat="1" applyFont="1" applyFill="1" applyBorder="1" applyAlignment="1">
      <alignment horizontal="center"/>
    </xf>
    <xf numFmtId="9" fontId="12" fillId="43" borderId="5" xfId="2" applyFont="1" applyFill="1" applyBorder="1" applyAlignment="1">
      <alignment horizontal="center"/>
    </xf>
    <xf numFmtId="0" fontId="12" fillId="42" borderId="6" xfId="0" applyFont="1" applyFill="1" applyBorder="1" applyAlignment="1">
      <alignment horizontal="center"/>
    </xf>
    <xf numFmtId="9" fontId="12" fillId="42" borderId="26" xfId="2" applyFont="1" applyFill="1" applyBorder="1" applyAlignment="1">
      <alignment horizontal="center"/>
    </xf>
    <xf numFmtId="164" fontId="12" fillId="42" borderId="26" xfId="1" applyNumberFormat="1" applyFont="1" applyFill="1" applyBorder="1" applyAlignment="1">
      <alignment horizontal="center"/>
    </xf>
    <xf numFmtId="9" fontId="12" fillId="42" borderId="5" xfId="2" applyFont="1" applyFill="1" applyBorder="1" applyAlignment="1">
      <alignment horizontal="center"/>
    </xf>
    <xf numFmtId="9" fontId="12" fillId="43" borderId="34" xfId="2" applyFont="1" applyFill="1" applyBorder="1" applyAlignment="1">
      <alignment horizontal="center"/>
    </xf>
    <xf numFmtId="164" fontId="12" fillId="43" borderId="34" xfId="1" applyNumberFormat="1" applyFont="1" applyFill="1" applyBorder="1" applyAlignment="1">
      <alignment horizontal="center"/>
    </xf>
    <xf numFmtId="9" fontId="12" fillId="43" borderId="33" xfId="2" applyFont="1" applyFill="1" applyBorder="1" applyAlignment="1">
      <alignment horizontal="center"/>
    </xf>
    <xf numFmtId="0" fontId="12" fillId="42" borderId="2" xfId="0" applyFont="1" applyFill="1" applyBorder="1" applyAlignment="1">
      <alignment horizontal="center"/>
    </xf>
    <xf numFmtId="9" fontId="12" fillId="42" borderId="15" xfId="2" applyFont="1" applyFill="1" applyBorder="1" applyAlignment="1">
      <alignment horizontal="center"/>
    </xf>
    <xf numFmtId="164" fontId="12" fillId="42" borderId="15" xfId="1" applyNumberFormat="1" applyFont="1" applyFill="1" applyBorder="1" applyAlignment="1">
      <alignment horizontal="center"/>
    </xf>
    <xf numFmtId="9" fontId="12" fillId="42" borderId="1" xfId="2" applyFont="1" applyFill="1" applyBorder="1" applyAlignment="1">
      <alignment horizontal="center"/>
    </xf>
    <xf numFmtId="164" fontId="12" fillId="43" borderId="16" xfId="1" applyNumberFormat="1" applyFont="1" applyFill="1" applyBorder="1" applyAlignment="1">
      <alignment horizontal="center"/>
    </xf>
    <xf numFmtId="164" fontId="12" fillId="43" borderId="16" xfId="1" applyNumberFormat="1" applyFont="1" applyFill="1" applyBorder="1" applyAlignment="1">
      <alignment horizontal="center" vertical="center"/>
    </xf>
    <xf numFmtId="164" fontId="12" fillId="43" borderId="11" xfId="1" applyNumberFormat="1" applyFont="1" applyFill="1" applyBorder="1" applyAlignment="1">
      <alignment horizontal="center"/>
    </xf>
    <xf numFmtId="164" fontId="12" fillId="43" borderId="5" xfId="1" applyNumberFormat="1" applyFont="1" applyFill="1" applyBorder="1" applyAlignment="1">
      <alignment horizontal="center"/>
    </xf>
    <xf numFmtId="164" fontId="12" fillId="42" borderId="5" xfId="1" applyNumberFormat="1" applyFont="1" applyFill="1" applyBorder="1" applyAlignment="1">
      <alignment horizontal="center"/>
    </xf>
    <xf numFmtId="164" fontId="12" fillId="43" borderId="33" xfId="1" applyNumberFormat="1" applyFont="1" applyFill="1" applyBorder="1" applyAlignment="1">
      <alignment horizontal="center"/>
    </xf>
    <xf numFmtId="164" fontId="12" fillId="42" borderId="1" xfId="1" applyNumberFormat="1" applyFont="1" applyFill="1" applyBorder="1" applyAlignment="1">
      <alignment horizontal="center"/>
    </xf>
    <xf numFmtId="9" fontId="12" fillId="42" borderId="16" xfId="2" applyFont="1" applyFill="1" applyBorder="1" applyAlignment="1">
      <alignment horizontal="center"/>
    </xf>
    <xf numFmtId="164" fontId="2" fillId="3" borderId="26" xfId="0" applyNumberFormat="1" applyFont="1" applyFill="1" applyBorder="1"/>
    <xf numFmtId="9" fontId="2" fillId="0" borderId="0" xfId="2" applyFont="1" applyBorder="1"/>
    <xf numFmtId="43" fontId="12" fillId="0" borderId="0" xfId="2" applyNumberFormat="1" applyFont="1" applyBorder="1" applyAlignment="1">
      <alignment horizontal="center"/>
    </xf>
    <xf numFmtId="164" fontId="12" fillId="3" borderId="26" xfId="2" applyNumberFormat="1" applyFont="1" applyFill="1" applyBorder="1" applyAlignment="1">
      <alignment horizontal="center"/>
    </xf>
    <xf numFmtId="164" fontId="12" fillId="3" borderId="26" xfId="1" applyNumberFormat="1" applyFont="1" applyFill="1" applyBorder="1" applyAlignment="1">
      <alignment horizontal="center"/>
    </xf>
    <xf numFmtId="43" fontId="12" fillId="3" borderId="26" xfId="1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9" fontId="2" fillId="3" borderId="26" xfId="2" applyFont="1" applyFill="1" applyBorder="1"/>
    <xf numFmtId="43" fontId="12" fillId="3" borderId="26" xfId="2" applyNumberFormat="1" applyFont="1" applyFill="1" applyBorder="1" applyAlignment="1">
      <alignment horizontal="center"/>
    </xf>
    <xf numFmtId="43" fontId="2" fillId="0" borderId="0" xfId="1" applyFont="1" applyFill="1"/>
    <xf numFmtId="0" fontId="12" fillId="3" borderId="34" xfId="0" applyFont="1" applyFill="1" applyBorder="1" applyAlignment="1">
      <alignment horizontal="center"/>
    </xf>
    <xf numFmtId="9" fontId="12" fillId="3" borderId="34" xfId="2" applyFont="1" applyFill="1" applyBorder="1" applyAlignment="1">
      <alignment horizontal="center"/>
    </xf>
    <xf numFmtId="164" fontId="12" fillId="3" borderId="34" xfId="1" applyNumberFormat="1" applyFont="1" applyFill="1" applyBorder="1" applyAlignment="1">
      <alignment horizontal="center"/>
    </xf>
    <xf numFmtId="9" fontId="12" fillId="0" borderId="42" xfId="2" applyFont="1" applyBorder="1" applyAlignment="1">
      <alignment horizontal="center"/>
    </xf>
    <xf numFmtId="3" fontId="2" fillId="2" borderId="0" xfId="0" applyNumberFormat="1" applyFont="1" applyFill="1"/>
    <xf numFmtId="3" fontId="12" fillId="2" borderId="0" xfId="0" applyNumberFormat="1" applyFont="1" applyFill="1" applyAlignment="1">
      <alignment horizontal="center"/>
    </xf>
    <xf numFmtId="38" fontId="5" fillId="2" borderId="3" xfId="0" applyNumberFormat="1" applyFont="1" applyFill="1" applyBorder="1" applyAlignment="1">
      <alignment horizontal="center"/>
    </xf>
    <xf numFmtId="0" fontId="2" fillId="17" borderId="22" xfId="0" applyFont="1" applyFill="1" applyBorder="1"/>
    <xf numFmtId="3" fontId="2" fillId="17" borderId="22" xfId="0" applyNumberFormat="1" applyFont="1" applyFill="1" applyBorder="1"/>
    <xf numFmtId="3" fontId="2" fillId="17" borderId="0" xfId="1" applyNumberFormat="1" applyFont="1" applyFill="1"/>
    <xf numFmtId="0" fontId="2" fillId="19" borderId="22" xfId="0" applyFont="1" applyFill="1" applyBorder="1"/>
    <xf numFmtId="3" fontId="2" fillId="19" borderId="22" xfId="1" applyNumberFormat="1" applyFont="1" applyFill="1" applyBorder="1"/>
    <xf numFmtId="3" fontId="2" fillId="19" borderId="0" xfId="1" applyNumberFormat="1" applyFont="1" applyFill="1"/>
    <xf numFmtId="3" fontId="2" fillId="5" borderId="0" xfId="0" applyNumberFormat="1" applyFont="1" applyFill="1" applyBorder="1" applyAlignment="1">
      <alignment horizontal="center"/>
    </xf>
    <xf numFmtId="0" fontId="2" fillId="35" borderId="41" xfId="0" applyFont="1" applyFill="1" applyBorder="1" applyAlignment="1">
      <alignment horizontal="center"/>
    </xf>
    <xf numFmtId="3" fontId="2" fillId="35" borderId="41" xfId="1" applyNumberFormat="1" applyFont="1" applyFill="1" applyBorder="1"/>
    <xf numFmtId="3" fontId="2" fillId="35" borderId="0" xfId="0" applyNumberFormat="1" applyFont="1" applyFill="1" applyAlignment="1">
      <alignment horizontal="center"/>
    </xf>
    <xf numFmtId="0" fontId="2" fillId="34" borderId="41" xfId="0" applyFont="1" applyFill="1" applyBorder="1" applyAlignment="1">
      <alignment horizontal="center"/>
    </xf>
    <xf numFmtId="3" fontId="2" fillId="34" borderId="0" xfId="1" applyNumberFormat="1" applyFont="1" applyFill="1"/>
    <xf numFmtId="0" fontId="2" fillId="13" borderId="41" xfId="0" applyFont="1" applyFill="1" applyBorder="1" applyAlignment="1">
      <alignment horizontal="center"/>
    </xf>
    <xf numFmtId="3" fontId="2" fillId="13" borderId="41" xfId="1" applyNumberFormat="1" applyFont="1" applyFill="1" applyBorder="1"/>
    <xf numFmtId="3" fontId="2" fillId="13" borderId="0" xfId="1" applyNumberFormat="1" applyFont="1" applyFill="1"/>
    <xf numFmtId="0" fontId="2" fillId="14" borderId="41" xfId="0" applyFont="1" applyFill="1" applyBorder="1" applyAlignment="1">
      <alignment horizontal="center"/>
    </xf>
    <xf numFmtId="43" fontId="2" fillId="14" borderId="41" xfId="1" applyFont="1" applyFill="1" applyBorder="1" applyAlignment="1">
      <alignment horizontal="center"/>
    </xf>
    <xf numFmtId="0" fontId="2" fillId="12" borderId="41" xfId="0" applyFont="1" applyFill="1" applyBorder="1" applyAlignment="1">
      <alignment horizontal="center"/>
    </xf>
    <xf numFmtId="43" fontId="2" fillId="12" borderId="41" xfId="1" applyFont="1" applyFill="1" applyBorder="1" applyAlignment="1">
      <alignment horizontal="center"/>
    </xf>
    <xf numFmtId="0" fontId="2" fillId="44" borderId="41" xfId="0" applyFont="1" applyFill="1" applyBorder="1" applyAlignment="1">
      <alignment horizontal="center"/>
    </xf>
    <xf numFmtId="3" fontId="2" fillId="44" borderId="41" xfId="0" applyNumberFormat="1" applyFont="1" applyFill="1" applyBorder="1" applyAlignment="1">
      <alignment horizontal="center"/>
    </xf>
    <xf numFmtId="3" fontId="2" fillId="44" borderId="0" xfId="0" applyNumberFormat="1" applyFont="1" applyFill="1" applyAlignment="1">
      <alignment horizontal="center"/>
    </xf>
    <xf numFmtId="3" fontId="2" fillId="34" borderId="41" xfId="0" applyNumberFormat="1" applyFont="1" applyFill="1" applyBorder="1" applyAlignment="1">
      <alignment horizontal="center"/>
    </xf>
    <xf numFmtId="3" fontId="2" fillId="34" borderId="0" xfId="0" applyNumberFormat="1" applyFont="1" applyFill="1" applyBorder="1" applyAlignment="1">
      <alignment horizontal="center"/>
    </xf>
    <xf numFmtId="3" fontId="2" fillId="14" borderId="0" xfId="0" applyNumberFormat="1" applyFont="1" applyFill="1" applyBorder="1" applyAlignment="1">
      <alignment horizontal="center"/>
    </xf>
    <xf numFmtId="3" fontId="2" fillId="35" borderId="41" xfId="0" applyNumberFormat="1" applyFont="1" applyFill="1" applyBorder="1" applyAlignment="1">
      <alignment horizontal="center"/>
    </xf>
    <xf numFmtId="3" fontId="2" fillId="35" borderId="0" xfId="0" applyNumberFormat="1" applyFont="1" applyFill="1" applyBorder="1" applyAlignment="1">
      <alignment horizontal="center"/>
    </xf>
    <xf numFmtId="3" fontId="2" fillId="13" borderId="0" xfId="0" applyNumberFormat="1" applyFont="1" applyFill="1" applyBorder="1" applyAlignment="1">
      <alignment horizontal="center"/>
    </xf>
    <xf numFmtId="0" fontId="12" fillId="41" borderId="14" xfId="0" applyFont="1" applyFill="1" applyBorder="1" applyAlignment="1">
      <alignment horizontal="center"/>
    </xf>
    <xf numFmtId="0" fontId="12" fillId="41" borderId="55" xfId="0" applyFont="1" applyFill="1" applyBorder="1" applyAlignment="1">
      <alignment horizontal="center"/>
    </xf>
    <xf numFmtId="164" fontId="12" fillId="41" borderId="55" xfId="1" applyNumberFormat="1" applyFont="1" applyFill="1" applyBorder="1" applyAlignment="1">
      <alignment horizontal="center" vertical="center"/>
    </xf>
    <xf numFmtId="0" fontId="12" fillId="41" borderId="27" xfId="0" applyFont="1" applyFill="1" applyBorder="1" applyAlignment="1">
      <alignment horizontal="center"/>
    </xf>
    <xf numFmtId="164" fontId="12" fillId="42" borderId="12" xfId="1" applyNumberFormat="1" applyFont="1" applyFill="1" applyBorder="1" applyAlignment="1">
      <alignment horizontal="center"/>
    </xf>
    <xf numFmtId="164" fontId="12" fillId="42" borderId="16" xfId="1" applyNumberFormat="1" applyFont="1" applyFill="1" applyBorder="1" applyAlignment="1">
      <alignment horizontal="center"/>
    </xf>
    <xf numFmtId="9" fontId="12" fillId="42" borderId="11" xfId="2" applyFont="1" applyFill="1" applyBorder="1" applyAlignment="1">
      <alignment horizontal="center"/>
    </xf>
    <xf numFmtId="0" fontId="12" fillId="43" borderId="2" xfId="0" applyFont="1" applyFill="1" applyBorder="1" applyAlignment="1">
      <alignment horizontal="center"/>
    </xf>
    <xf numFmtId="9" fontId="12" fillId="43" borderId="15" xfId="2" applyFont="1" applyFill="1" applyBorder="1" applyAlignment="1">
      <alignment horizontal="center"/>
    </xf>
    <xf numFmtId="164" fontId="12" fillId="43" borderId="15" xfId="1" applyNumberFormat="1" applyFont="1" applyFill="1" applyBorder="1" applyAlignment="1">
      <alignment horizontal="center"/>
    </xf>
    <xf numFmtId="9" fontId="12" fillId="43" borderId="1" xfId="2" applyFont="1" applyFill="1" applyBorder="1" applyAlignment="1">
      <alignment horizontal="center"/>
    </xf>
    <xf numFmtId="0" fontId="12" fillId="43" borderId="61" xfId="0" applyFont="1" applyFill="1" applyBorder="1" applyAlignment="1">
      <alignment horizontal="center"/>
    </xf>
    <xf numFmtId="9" fontId="12" fillId="43" borderId="59" xfId="2" applyFont="1" applyFill="1" applyBorder="1" applyAlignment="1">
      <alignment horizontal="center"/>
    </xf>
    <xf numFmtId="164" fontId="12" fillId="43" borderId="59" xfId="1" applyNumberFormat="1" applyFont="1" applyFill="1" applyBorder="1" applyAlignment="1">
      <alignment horizontal="center"/>
    </xf>
    <xf numFmtId="9" fontId="12" fillId="43" borderId="62" xfId="2" applyFont="1" applyFill="1" applyBorder="1" applyAlignment="1">
      <alignment horizontal="center"/>
    </xf>
    <xf numFmtId="0" fontId="16" fillId="41" borderId="14" xfId="0" applyFont="1" applyFill="1" applyBorder="1"/>
    <xf numFmtId="0" fontId="16" fillId="41" borderId="55" xfId="0" applyFont="1" applyFill="1" applyBorder="1"/>
    <xf numFmtId="0" fontId="16" fillId="41" borderId="27" xfId="0" applyFont="1" applyFill="1" applyBorder="1"/>
    <xf numFmtId="0" fontId="2" fillId="42" borderId="54" xfId="0" applyFont="1" applyFill="1" applyBorder="1"/>
    <xf numFmtId="43" fontId="2" fillId="42" borderId="53" xfId="1" applyFont="1" applyFill="1" applyBorder="1"/>
    <xf numFmtId="164" fontId="2" fillId="42" borderId="53" xfId="1" applyNumberFormat="1" applyFont="1" applyFill="1" applyBorder="1"/>
    <xf numFmtId="43" fontId="2" fillId="42" borderId="33" xfId="1" applyFont="1" applyFill="1" applyBorder="1"/>
    <xf numFmtId="0" fontId="2" fillId="43" borderId="54" xfId="0" applyFont="1" applyFill="1" applyBorder="1"/>
    <xf numFmtId="43" fontId="2" fillId="43" borderId="53" xfId="1" applyFont="1" applyFill="1" applyBorder="1"/>
    <xf numFmtId="164" fontId="2" fillId="43" borderId="53" xfId="1" applyNumberFormat="1" applyFont="1" applyFill="1" applyBorder="1"/>
    <xf numFmtId="43" fontId="2" fillId="43" borderId="33" xfId="1" applyFont="1" applyFill="1" applyBorder="1"/>
    <xf numFmtId="0" fontId="2" fillId="42" borderId="52" xfId="0" applyFont="1" applyFill="1" applyBorder="1"/>
    <xf numFmtId="43" fontId="2" fillId="42" borderId="46" xfId="1" applyFont="1" applyFill="1" applyBorder="1"/>
    <xf numFmtId="164" fontId="2" fillId="42" borderId="46" xfId="1" applyNumberFormat="1" applyFont="1" applyFill="1" applyBorder="1"/>
    <xf numFmtId="43" fontId="2" fillId="42" borderId="1" xfId="1" applyFont="1" applyFill="1" applyBorder="1"/>
    <xf numFmtId="9" fontId="2" fillId="42" borderId="53" xfId="2" applyFont="1" applyFill="1" applyBorder="1"/>
    <xf numFmtId="164" fontId="2" fillId="42" borderId="33" xfId="1" applyNumberFormat="1" applyFont="1" applyFill="1" applyBorder="1"/>
    <xf numFmtId="9" fontId="2" fillId="43" borderId="53" xfId="2" applyFont="1" applyFill="1" applyBorder="1"/>
    <xf numFmtId="9" fontId="2" fillId="43" borderId="33" xfId="2" applyFont="1" applyFill="1" applyBorder="1"/>
    <xf numFmtId="9" fontId="2" fillId="42" borderId="33" xfId="2" applyFont="1" applyFill="1" applyBorder="1"/>
    <xf numFmtId="0" fontId="2" fillId="43" borderId="52" xfId="0" applyFont="1" applyFill="1" applyBorder="1"/>
    <xf numFmtId="9" fontId="2" fillId="43" borderId="46" xfId="2" applyFont="1" applyFill="1" applyBorder="1"/>
    <xf numFmtId="164" fontId="2" fillId="43" borderId="46" xfId="1" applyNumberFormat="1" applyFont="1" applyFill="1" applyBorder="1"/>
    <xf numFmtId="9" fontId="2" fillId="43" borderId="1" xfId="2" applyFont="1" applyFill="1" applyBorder="1"/>
    <xf numFmtId="164" fontId="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/>
    <xf numFmtId="0" fontId="2" fillId="3" borderId="34" xfId="0" applyFont="1" applyFill="1" applyBorder="1" applyAlignment="1">
      <alignment horizontal="center"/>
    </xf>
    <xf numFmtId="9" fontId="2" fillId="3" borderId="34" xfId="2" applyFont="1" applyFill="1" applyBorder="1" applyAlignment="1">
      <alignment horizontal="center"/>
    </xf>
    <xf numFmtId="43" fontId="12" fillId="0" borderId="26" xfId="1" applyNumberFormat="1" applyFont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39" fontId="2" fillId="2" borderId="0" xfId="1" applyNumberFormat="1" applyFont="1" applyFill="1" applyBorder="1" applyAlignment="1">
      <alignment horizontal="center"/>
    </xf>
    <xf numFmtId="39" fontId="2" fillId="2" borderId="0" xfId="0" applyNumberFormat="1" applyFont="1" applyFill="1" applyBorder="1"/>
    <xf numFmtId="9" fontId="2" fillId="0" borderId="0" xfId="0" applyNumberFormat="1" applyFont="1" applyBorder="1"/>
    <xf numFmtId="3" fontId="2" fillId="3" borderId="26" xfId="0" applyNumberFormat="1" applyFont="1" applyFill="1" applyBorder="1"/>
    <xf numFmtId="164" fontId="2" fillId="2" borderId="0" xfId="0" applyNumberFormat="1" applyFont="1" applyFill="1" applyBorder="1"/>
    <xf numFmtId="4" fontId="2" fillId="3" borderId="26" xfId="0" applyNumberFormat="1" applyFont="1" applyFill="1" applyBorder="1"/>
    <xf numFmtId="0" fontId="2" fillId="17" borderId="22" xfId="0" applyFont="1" applyFill="1" applyBorder="1" applyAlignment="1">
      <alignment horizontal="center"/>
    </xf>
    <xf numFmtId="0" fontId="2" fillId="19" borderId="22" xfId="0" applyFont="1" applyFill="1" applyBorder="1" applyAlignment="1">
      <alignment horizontal="center"/>
    </xf>
    <xf numFmtId="0" fontId="2" fillId="20" borderId="22" xfId="0" applyFont="1" applyFill="1" applyBorder="1" applyAlignment="1">
      <alignment horizontal="center"/>
    </xf>
    <xf numFmtId="0" fontId="2" fillId="26" borderId="22" xfId="0" applyFont="1" applyFill="1" applyBorder="1" applyAlignment="1">
      <alignment horizontal="center"/>
    </xf>
    <xf numFmtId="3" fontId="2" fillId="26" borderId="0" xfId="0" applyNumberFormat="1" applyFont="1" applyFill="1" applyBorder="1"/>
    <xf numFmtId="3" fontId="2" fillId="17" borderId="0" xfId="0" applyNumberFormat="1" applyFont="1" applyFill="1" applyBorder="1"/>
    <xf numFmtId="3" fontId="2" fillId="26" borderId="22" xfId="0" applyNumberFormat="1" applyFont="1" applyFill="1" applyBorder="1"/>
    <xf numFmtId="43" fontId="2" fillId="0" borderId="0" xfId="0" applyNumberFormat="1" applyFont="1" applyBorder="1"/>
    <xf numFmtId="0" fontId="2" fillId="34" borderId="22" xfId="0" applyFont="1" applyFill="1" applyBorder="1" applyAlignment="1">
      <alignment horizontal="center"/>
    </xf>
    <xf numFmtId="3" fontId="2" fillId="34" borderId="0" xfId="0" applyNumberFormat="1" applyFont="1" applyFill="1" applyBorder="1"/>
    <xf numFmtId="3" fontId="2" fillId="22" borderId="0" xfId="0" applyNumberFormat="1" applyFont="1" applyFill="1" applyBorder="1"/>
    <xf numFmtId="165" fontId="2" fillId="34" borderId="22" xfId="0" applyNumberFormat="1" applyFont="1" applyFill="1" applyBorder="1" applyAlignment="1">
      <alignment horizontal="center"/>
    </xf>
    <xf numFmtId="3" fontId="2" fillId="12" borderId="0" xfId="0" applyNumberFormat="1" applyFont="1" applyFill="1" applyBorder="1"/>
    <xf numFmtId="3" fontId="2" fillId="12" borderId="22" xfId="0" applyNumberFormat="1" applyFont="1" applyFill="1" applyBorder="1" applyAlignment="1">
      <alignment horizontal="center"/>
    </xf>
    <xf numFmtId="37" fontId="5" fillId="2" borderId="0" xfId="0" applyNumberFormat="1" applyFont="1" applyFill="1" applyBorder="1"/>
    <xf numFmtId="3" fontId="2" fillId="19" borderId="0" xfId="0" applyNumberFormat="1" applyFont="1" applyFill="1" applyBorder="1" applyAlignment="1">
      <alignment horizontal="center"/>
    </xf>
    <xf numFmtId="3" fontId="2" fillId="20" borderId="0" xfId="0" applyNumberFormat="1" applyFont="1" applyFill="1" applyBorder="1" applyAlignment="1">
      <alignment horizontal="center"/>
    </xf>
    <xf numFmtId="3" fontId="2" fillId="12" borderId="0" xfId="0" applyNumberFormat="1" applyFont="1" applyFill="1" applyBorder="1" applyAlignment="1">
      <alignment horizontal="center"/>
    </xf>
    <xf numFmtId="3" fontId="2" fillId="44" borderId="0" xfId="0" applyNumberFormat="1" applyFont="1" applyFill="1" applyBorder="1" applyAlignment="1">
      <alignment horizontal="center"/>
    </xf>
    <xf numFmtId="3" fontId="2" fillId="16" borderId="0" xfId="0" applyNumberFormat="1" applyFont="1" applyFill="1" applyBorder="1"/>
    <xf numFmtId="3" fontId="2" fillId="45" borderId="0" xfId="0" applyNumberFormat="1" applyFont="1" applyFill="1" applyBorder="1"/>
    <xf numFmtId="0" fontId="2" fillId="45" borderId="22" xfId="0" applyFont="1" applyFill="1" applyBorder="1"/>
    <xf numFmtId="3" fontId="2" fillId="16" borderId="22" xfId="0" applyNumberFormat="1" applyFont="1" applyFill="1" applyBorder="1"/>
    <xf numFmtId="3" fontId="2" fillId="45" borderId="22" xfId="0" applyNumberFormat="1" applyFont="1" applyFill="1" applyBorder="1"/>
    <xf numFmtId="3" fontId="2" fillId="10" borderId="19" xfId="0" applyNumberFormat="1" applyFont="1" applyFill="1" applyBorder="1"/>
    <xf numFmtId="3" fontId="2" fillId="10" borderId="19" xfId="2" applyNumberFormat="1" applyFont="1" applyFill="1" applyBorder="1"/>
    <xf numFmtId="3" fontId="2" fillId="10" borderId="18" xfId="0" applyNumberFormat="1" applyFont="1" applyFill="1" applyBorder="1"/>
    <xf numFmtId="3" fontId="2" fillId="10" borderId="40" xfId="0" applyNumberFormat="1" applyFont="1" applyFill="1" applyBorder="1"/>
    <xf numFmtId="3" fontId="2" fillId="10" borderId="23" xfId="0" applyNumberFormat="1" applyFont="1" applyFill="1" applyBorder="1"/>
    <xf numFmtId="3" fontId="2" fillId="10" borderId="3" xfId="0" applyNumberFormat="1" applyFont="1" applyFill="1" applyBorder="1"/>
    <xf numFmtId="3" fontId="2" fillId="0" borderId="14" xfId="0" applyNumberFormat="1" applyFont="1" applyBorder="1"/>
    <xf numFmtId="3" fontId="2" fillId="0" borderId="24" xfId="0" applyNumberFormat="1" applyFont="1" applyBorder="1"/>
    <xf numFmtId="3" fontId="2" fillId="0" borderId="13" xfId="0" applyNumberFormat="1" applyFont="1" applyBorder="1"/>
    <xf numFmtId="3" fontId="2" fillId="0" borderId="10" xfId="0" applyNumberFormat="1" applyFont="1" applyBorder="1"/>
    <xf numFmtId="3" fontId="2" fillId="0" borderId="9" xfId="0" applyNumberFormat="1" applyFont="1" applyBorder="1"/>
    <xf numFmtId="3" fontId="2" fillId="0" borderId="8" xfId="0" applyNumberFormat="1" applyFont="1" applyBorder="1"/>
    <xf numFmtId="3" fontId="2" fillId="0" borderId="17" xfId="0" applyNumberFormat="1" applyFont="1" applyBorder="1"/>
    <xf numFmtId="3" fontId="2" fillId="0" borderId="7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3" fontId="2" fillId="33" borderId="22" xfId="0" applyNumberFormat="1" applyFont="1" applyFill="1" applyBorder="1" applyAlignment="1">
      <alignment horizontal="center" vertical="center"/>
    </xf>
    <xf numFmtId="3" fontId="2" fillId="33" borderId="0" xfId="0" applyNumberFormat="1" applyFont="1" applyFill="1" applyAlignment="1">
      <alignment horizontal="center" vertical="center"/>
    </xf>
    <xf numFmtId="3" fontId="2" fillId="13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10" borderId="21" xfId="0" applyFont="1" applyFill="1" applyBorder="1" applyAlignment="1">
      <alignment horizontal="center" vertical="center" textRotation="135"/>
    </xf>
    <xf numFmtId="0" fontId="11" fillId="10" borderId="19" xfId="0" applyFont="1" applyFill="1" applyBorder="1" applyAlignment="1">
      <alignment horizontal="center" vertical="center" textRotation="135"/>
    </xf>
    <xf numFmtId="0" fontId="11" fillId="10" borderId="18" xfId="0" applyFont="1" applyFill="1" applyBorder="1" applyAlignment="1">
      <alignment horizontal="center" vertical="center" textRotation="135"/>
    </xf>
    <xf numFmtId="0" fontId="11" fillId="10" borderId="4" xfId="0" applyFont="1" applyFill="1" applyBorder="1" applyAlignment="1">
      <alignment horizontal="center"/>
    </xf>
    <xf numFmtId="0" fontId="11" fillId="10" borderId="23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7" fillId="10" borderId="21" xfId="0" applyFont="1" applyFill="1" applyBorder="1" applyAlignment="1">
      <alignment horizontal="center" vertical="center" textRotation="135"/>
    </xf>
    <xf numFmtId="0" fontId="7" fillId="10" borderId="19" xfId="0" applyFont="1" applyFill="1" applyBorder="1" applyAlignment="1">
      <alignment horizontal="center" vertical="center" textRotation="135"/>
    </xf>
    <xf numFmtId="0" fontId="7" fillId="10" borderId="18" xfId="0" applyFont="1" applyFill="1" applyBorder="1" applyAlignment="1">
      <alignment horizontal="center" vertical="center" textRotation="135"/>
    </xf>
    <xf numFmtId="0" fontId="6" fillId="10" borderId="4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164" fontId="11" fillId="7" borderId="14" xfId="1" applyNumberFormat="1" applyFont="1" applyFill="1" applyBorder="1" applyAlignment="1">
      <alignment horizontal="center"/>
    </xf>
    <xf numFmtId="164" fontId="11" fillId="7" borderId="24" xfId="1" applyNumberFormat="1" applyFont="1" applyFill="1" applyBorder="1" applyAlignment="1">
      <alignment horizontal="center"/>
    </xf>
    <xf numFmtId="164" fontId="11" fillId="7" borderId="13" xfId="1" applyNumberFormat="1" applyFont="1" applyFill="1" applyBorder="1" applyAlignment="1">
      <alignment horizontal="center"/>
    </xf>
    <xf numFmtId="164" fontId="14" fillId="7" borderId="21" xfId="1" applyNumberFormat="1" applyFont="1" applyFill="1" applyBorder="1" applyAlignment="1">
      <alignment horizontal="center" vertical="center"/>
    </xf>
    <xf numFmtId="164" fontId="14" fillId="7" borderId="10" xfId="1" applyNumberFormat="1" applyFont="1" applyFill="1" applyBorder="1" applyAlignment="1">
      <alignment horizontal="center" vertical="center"/>
    </xf>
    <xf numFmtId="164" fontId="14" fillId="7" borderId="8" xfId="1" applyNumberFormat="1" applyFont="1" applyFill="1" applyBorder="1" applyAlignment="1">
      <alignment horizontal="center" vertical="center"/>
    </xf>
    <xf numFmtId="3" fontId="6" fillId="7" borderId="4" xfId="0" applyNumberFormat="1" applyFont="1" applyFill="1" applyBorder="1" applyAlignment="1">
      <alignment horizontal="center"/>
    </xf>
    <xf numFmtId="3" fontId="6" fillId="7" borderId="23" xfId="0" applyNumberFormat="1" applyFont="1" applyFill="1" applyBorder="1" applyAlignment="1">
      <alignment horizontal="center"/>
    </xf>
    <xf numFmtId="3" fontId="6" fillId="7" borderId="3" xfId="0" applyNumberFormat="1" applyFont="1" applyFill="1" applyBorder="1" applyAlignment="1">
      <alignment horizontal="center"/>
    </xf>
    <xf numFmtId="3" fontId="11" fillId="7" borderId="21" xfId="0" applyNumberFormat="1" applyFont="1" applyFill="1" applyBorder="1" applyAlignment="1">
      <alignment horizontal="center" vertical="center"/>
    </xf>
    <xf numFmtId="3" fontId="11" fillId="7" borderId="19" xfId="0" applyNumberFormat="1" applyFont="1" applyFill="1" applyBorder="1" applyAlignment="1">
      <alignment horizontal="center" vertical="center"/>
    </xf>
    <xf numFmtId="3" fontId="11" fillId="7" borderId="18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64" fontId="2" fillId="5" borderId="16" xfId="1" applyNumberFormat="1" applyFont="1" applyFill="1" applyBorder="1" applyAlignment="1"/>
    <xf numFmtId="164" fontId="2" fillId="5" borderId="11" xfId="1" applyNumberFormat="1" applyFont="1" applyFill="1" applyBorder="1" applyAlignment="1"/>
    <xf numFmtId="0" fontId="2" fillId="25" borderId="2" xfId="0" applyFont="1" applyFill="1" applyBorder="1" applyAlignment="1">
      <alignment horizontal="center"/>
    </xf>
    <xf numFmtId="0" fontId="2" fillId="25" borderId="15" xfId="0" applyFont="1" applyFill="1" applyBorder="1" applyAlignment="1">
      <alignment horizontal="center"/>
    </xf>
    <xf numFmtId="164" fontId="2" fillId="25" borderId="15" xfId="1" applyNumberFormat="1" applyFont="1" applyFill="1" applyBorder="1" applyAlignment="1">
      <alignment horizontal="center"/>
    </xf>
    <xf numFmtId="164" fontId="2" fillId="25" borderId="1" xfId="1" applyNumberFormat="1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38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8" fontId="2" fillId="46" borderId="5" xfId="0" applyNumberFormat="1" applyFont="1" applyFill="1" applyBorder="1" applyAlignment="1">
      <alignment horizontal="center" vertical="center"/>
    </xf>
    <xf numFmtId="3" fontId="2" fillId="46" borderId="0" xfId="0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40">
    <dxf>
      <font>
        <color rgb="FF92D050"/>
      </font>
    </dxf>
    <dxf>
      <font>
        <color rgb="FFFF0000"/>
      </font>
    </dxf>
    <dxf>
      <font>
        <color rgb="FF92D050"/>
      </font>
    </dxf>
    <dxf>
      <font>
        <color rgb="FF9C0006"/>
      </font>
    </dxf>
    <dxf>
      <font>
        <color rgb="FF92D050"/>
      </font>
    </dxf>
    <dxf>
      <font>
        <color rgb="FF9C0006"/>
      </font>
    </dxf>
    <dxf>
      <font>
        <color rgb="FF92D050"/>
      </font>
    </dxf>
    <dxf>
      <font>
        <color rgb="FFFF0000"/>
      </font>
    </dxf>
    <dxf>
      <font>
        <color rgb="FF92D050"/>
      </font>
    </dxf>
    <dxf>
      <font>
        <color rgb="FFFF0000"/>
      </font>
    </dxf>
    <dxf>
      <font>
        <color rgb="FF92D050"/>
      </font>
    </dxf>
    <dxf>
      <font>
        <color rgb="FFFF0000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DDD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MarketWatchPlus.aspx?d=0" backgroundRefresh="0" connectionId="1" autoFormatId="16" applyNumberFormats="0" applyBorderFormats="0" applyFontFormats="0" applyPatternFormats="0" applyAlignmentFormats="0" applyWidthHeightFormats="0">
  <queryTableRefresh nextId="24">
    <queryTableFields count="23">
      <queryTableField id="1" name=" " tableColumnId="1"/>
      <queryTableField id="2" name=" 1" tableColumnId="2"/>
      <queryTableField id="3" name=" 2" tableColumnId="3"/>
      <queryTableField id="4" name=" 3" tableColumnId="4"/>
      <queryTableField id="5" name=" 4" tableColumnId="5"/>
      <queryTableField id="6" name=" 5" tableColumnId="6"/>
      <queryTableField id="7" name=" 6" tableColumnId="7"/>
      <queryTableField id="8" name=" 7" tableColumnId="8"/>
      <queryTableField id="9" name=" 8" tableColumnId="9"/>
      <queryTableField id="10" name=" 9" tableColumnId="10"/>
      <queryTableField id="11" name=" 10" tableColumnId="11"/>
      <queryTableField id="12" name=" 11" tableColumnId="12"/>
      <queryTableField id="13" name=" 12" tableColumnId="13"/>
      <queryTableField id="14" name=" 13" tableColumnId="14"/>
      <queryTableField id="15" name=" 14" tableColumnId="15"/>
      <queryTableField id="16" name=" 15" tableColumnId="16"/>
      <queryTableField id="17" name=" 16" tableColumnId="17"/>
      <queryTableField id="18" name=" 17" tableColumnId="18"/>
      <queryTableField id="19" name=" 18" tableColumnId="19"/>
      <queryTableField id="20" name=" 19" tableColumnId="20"/>
      <queryTableField id="21" name=" 20" tableColumnId="21"/>
      <queryTableField id="22" name=" 21" tableColumnId="22"/>
      <queryTableField id="23" name=" 22" tableColumnId="2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MarketWatchPlus.aspx?d_0" displayName="Table_MarketWatchPlus.aspx?d_0" ref="A4:W1080" tableType="queryTable" totalsRowShown="0">
  <autoFilter ref="A4:W1080"/>
  <tableColumns count="23">
    <tableColumn id="1" uniqueName="1" name=" " queryTableFieldId="1"/>
    <tableColumn id="2" uniqueName="2" name=" 1" queryTableFieldId="2"/>
    <tableColumn id="3" uniqueName="3" name=" 2" queryTableFieldId="3"/>
    <tableColumn id="4" uniqueName="4" name=" 3" queryTableFieldId="4"/>
    <tableColumn id="5" uniqueName="5" name=" 4" queryTableFieldId="5"/>
    <tableColumn id="6" uniqueName="6" name=" 5" queryTableFieldId="6"/>
    <tableColumn id="7" uniqueName="7" name=" 6" queryTableFieldId="7"/>
    <tableColumn id="8" uniqueName="8" name=" 7" queryTableFieldId="8"/>
    <tableColumn id="9" uniqueName="9" name=" 8" queryTableFieldId="9"/>
    <tableColumn id="10" uniqueName="10" name=" 9" queryTableFieldId="10"/>
    <tableColumn id="11" uniqueName="11" name=" 10" queryTableFieldId="11"/>
    <tableColumn id="12" uniqueName="12" name=" 11" queryTableFieldId="12"/>
    <tableColumn id="13" uniqueName="13" name=" 12" queryTableFieldId="13"/>
    <tableColumn id="14" uniqueName="14" name=" 13" queryTableFieldId="14"/>
    <tableColumn id="15" uniqueName="15" name=" 14" queryTableFieldId="15"/>
    <tableColumn id="16" uniqueName="16" name=" 15" queryTableFieldId="16"/>
    <tableColumn id="17" uniqueName="17" name=" 16" queryTableFieldId="17"/>
    <tableColumn id="18" uniqueName="18" name=" 17" queryTableFieldId="18"/>
    <tableColumn id="19" uniqueName="19" name=" 18" queryTableFieldId="19"/>
    <tableColumn id="20" uniqueName="20" name=" 19" queryTableFieldId="20"/>
    <tableColumn id="21" uniqueName="21" name=" 20" queryTableFieldId="21"/>
    <tableColumn id="22" uniqueName="22" name=" 21" queryTableFieldId="22"/>
    <tableColumn id="23" uniqueName="23" name=" 22" queryTableField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6"/>
  <sheetViews>
    <sheetView rightToLeft="1" topLeftCell="A199" zoomScale="70" zoomScaleNormal="70" workbookViewId="0">
      <pane xSplit="1" topLeftCell="B1" activePane="topRight" state="frozen"/>
      <selection activeCell="N337" sqref="N337:O337"/>
      <selection pane="topRight" activeCell="D204" sqref="D204"/>
    </sheetView>
  </sheetViews>
  <sheetFormatPr defaultRowHeight="22.5" x14ac:dyDescent="0.6"/>
  <cols>
    <col min="1" max="1" width="59.42578125" style="271" bestFit="1" customWidth="1"/>
    <col min="2" max="2" width="15.7109375" style="600" customWidth="1"/>
    <col min="3" max="3" width="14.85546875" style="600" bestFit="1" customWidth="1"/>
    <col min="4" max="4" width="14.28515625" style="600" bestFit="1" customWidth="1"/>
    <col min="5" max="5" width="14.140625" style="600" bestFit="1" customWidth="1"/>
    <col min="6" max="6" width="18.28515625" style="600" customWidth="1"/>
    <col min="7" max="7" width="14.85546875" style="600" bestFit="1" customWidth="1"/>
    <col min="8" max="8" width="14.5703125" style="600" bestFit="1" customWidth="1"/>
    <col min="9" max="9" width="14.28515625" style="600" bestFit="1" customWidth="1"/>
    <col min="10" max="10" width="14.85546875" style="600" bestFit="1" customWidth="1"/>
    <col min="11" max="11" width="15.28515625" style="600" bestFit="1" customWidth="1"/>
    <col min="12" max="12" width="25.140625" style="600" customWidth="1"/>
    <col min="13" max="13" width="15.140625" style="600" bestFit="1" customWidth="1"/>
    <col min="14" max="14" width="15.42578125" style="600" bestFit="1" customWidth="1"/>
    <col min="15" max="15" width="12.140625" style="600" bestFit="1" customWidth="1"/>
    <col min="16" max="16" width="17.42578125" style="600" customWidth="1"/>
    <col min="17" max="17" width="13.7109375" style="600" customWidth="1"/>
    <col min="18" max="18" width="18.7109375" style="600" customWidth="1"/>
    <col min="19" max="19" width="12.85546875" style="600" customWidth="1"/>
    <col min="20" max="20" width="15.7109375" style="600" customWidth="1"/>
    <col min="21" max="21" width="12.85546875" style="600" customWidth="1"/>
    <col min="22" max="16384" width="9.140625" style="600"/>
  </cols>
  <sheetData>
    <row r="1" spans="1:21" x14ac:dyDescent="0.6">
      <c r="A1" s="252" t="s">
        <v>183</v>
      </c>
      <c r="B1" s="252" t="s">
        <v>81</v>
      </c>
      <c r="C1" s="252" t="s">
        <v>80</v>
      </c>
      <c r="D1" s="252" t="s">
        <v>79</v>
      </c>
      <c r="E1" s="252" t="s">
        <v>78</v>
      </c>
      <c r="F1" s="252" t="s">
        <v>77</v>
      </c>
      <c r="G1" s="252" t="s">
        <v>76</v>
      </c>
      <c r="H1" s="252" t="s">
        <v>75</v>
      </c>
      <c r="I1" s="252" t="s">
        <v>74</v>
      </c>
      <c r="J1" s="252" t="s">
        <v>73</v>
      </c>
      <c r="K1" s="252" t="s">
        <v>72</v>
      </c>
      <c r="L1" s="252" t="s">
        <v>71</v>
      </c>
      <c r="M1" s="252" t="s">
        <v>70</v>
      </c>
      <c r="N1" s="285" t="s">
        <v>69</v>
      </c>
      <c r="O1" s="252" t="s">
        <v>68</v>
      </c>
      <c r="P1" s="252" t="s">
        <v>67</v>
      </c>
      <c r="Q1" s="252" t="s">
        <v>66</v>
      </c>
      <c r="R1" s="200" t="s">
        <v>464</v>
      </c>
      <c r="U1" s="447" t="s">
        <v>334</v>
      </c>
    </row>
    <row r="2" spans="1:21" x14ac:dyDescent="0.6">
      <c r="A2" s="252" t="s">
        <v>333</v>
      </c>
      <c r="B2" s="352">
        <v>843023</v>
      </c>
      <c r="C2" s="352">
        <v>848191</v>
      </c>
      <c r="D2" s="352">
        <v>635314</v>
      </c>
      <c r="E2" s="352">
        <v>863197</v>
      </c>
      <c r="F2" s="352">
        <v>230577</v>
      </c>
      <c r="G2" s="352">
        <v>459071</v>
      </c>
      <c r="H2" s="352">
        <v>640651</v>
      </c>
      <c r="I2" s="352">
        <v>850483</v>
      </c>
      <c r="J2" s="352">
        <v>224286</v>
      </c>
      <c r="K2" s="352">
        <v>452936</v>
      </c>
      <c r="L2" s="352">
        <v>652231</v>
      </c>
      <c r="M2" s="352">
        <v>865974</v>
      </c>
      <c r="N2" s="613">
        <v>194588</v>
      </c>
      <c r="O2" s="352"/>
      <c r="P2" s="352">
        <f>Q2-N2</f>
        <v>623787.53184794728</v>
      </c>
      <c r="Q2" s="352">
        <f>Q3*Q4</f>
        <v>818375.53184794728</v>
      </c>
      <c r="R2" s="982">
        <f>R181</f>
        <v>381692</v>
      </c>
      <c r="U2" s="978">
        <v>400000</v>
      </c>
    </row>
    <row r="3" spans="1:21" x14ac:dyDescent="0.6">
      <c r="A3" s="252" t="s">
        <v>332</v>
      </c>
      <c r="B3" s="352">
        <v>263359</v>
      </c>
      <c r="C3" s="352">
        <v>563736</v>
      </c>
      <c r="D3" s="352">
        <v>671096</v>
      </c>
      <c r="E3" s="352">
        <v>723081</v>
      </c>
      <c r="F3" s="352">
        <v>201284</v>
      </c>
      <c r="G3" s="352">
        <v>407344</v>
      </c>
      <c r="H3" s="352">
        <v>595039</v>
      </c>
      <c r="I3" s="352">
        <v>801900</v>
      </c>
      <c r="J3" s="352">
        <v>197368</v>
      </c>
      <c r="K3" s="352">
        <v>411736</v>
      </c>
      <c r="L3" s="352">
        <v>635635</v>
      </c>
      <c r="M3" s="352">
        <v>852863</v>
      </c>
      <c r="N3" s="613">
        <v>219727</v>
      </c>
      <c r="O3" s="352"/>
      <c r="P3" s="352">
        <f>Q3-N3</f>
        <v>634446.6</v>
      </c>
      <c r="Q3" s="352">
        <f>B191</f>
        <v>854173.6</v>
      </c>
      <c r="R3" s="982">
        <f>R182</f>
        <v>447034</v>
      </c>
      <c r="U3" s="978">
        <v>200000</v>
      </c>
    </row>
    <row r="4" spans="1:21" x14ac:dyDescent="0.6">
      <c r="A4" s="274" t="s">
        <v>186</v>
      </c>
      <c r="B4" s="619">
        <f t="shared" ref="B4:N4" si="0">B3/(B2-B10)</f>
        <v>1.0070088633634897</v>
      </c>
      <c r="C4" s="619">
        <f t="shared" si="0"/>
        <v>0.90136034843339286</v>
      </c>
      <c r="D4" s="619">
        <f t="shared" si="0"/>
        <v>1.0747595749621646</v>
      </c>
      <c r="E4" s="619">
        <f t="shared" si="0"/>
        <v>0.83767784179046034</v>
      </c>
      <c r="F4" s="619">
        <f t="shared" si="0"/>
        <v>0.87295784054784298</v>
      </c>
      <c r="G4" s="619">
        <f t="shared" si="0"/>
        <v>0.8873224403196891</v>
      </c>
      <c r="H4" s="619">
        <f t="shared" si="0"/>
        <v>0.92880367001690467</v>
      </c>
      <c r="I4" s="619">
        <f t="shared" si="0"/>
        <v>0.94287598929079119</v>
      </c>
      <c r="J4" s="619">
        <f t="shared" si="0"/>
        <v>0.87998359237758927</v>
      </c>
      <c r="K4" s="619">
        <f t="shared" si="0"/>
        <v>0.9090379214723493</v>
      </c>
      <c r="L4" s="619">
        <f t="shared" si="0"/>
        <v>0.97455502728327847</v>
      </c>
      <c r="M4" s="619">
        <f t="shared" si="0"/>
        <v>0.98485982258127847</v>
      </c>
      <c r="N4" s="619">
        <f t="shared" si="0"/>
        <v>1.1291909059140337</v>
      </c>
      <c r="O4" s="447"/>
      <c r="P4" s="984"/>
      <c r="Q4" s="619">
        <f>AVERAGE(M4,I4,B4:E4)</f>
        <v>0.95809040673692947</v>
      </c>
      <c r="R4" s="983">
        <f>R2/R3</f>
        <v>0.85383214699553056</v>
      </c>
    </row>
    <row r="5" spans="1:21" x14ac:dyDescent="0.6">
      <c r="C5" s="605"/>
      <c r="D5" s="605"/>
      <c r="E5" s="605"/>
      <c r="F5" s="605"/>
      <c r="G5" s="602"/>
      <c r="H5" s="602"/>
      <c r="I5" s="602"/>
      <c r="J5" s="605"/>
      <c r="K5" s="602"/>
      <c r="L5" s="602"/>
      <c r="M5" s="602"/>
      <c r="N5" s="602"/>
      <c r="P5" s="602"/>
      <c r="Q5" s="602"/>
      <c r="R5" s="602"/>
      <c r="S5" s="602"/>
    </row>
    <row r="6" spans="1:21" x14ac:dyDescent="0.6">
      <c r="D6" s="605"/>
      <c r="F6" s="605"/>
      <c r="G6" s="605"/>
      <c r="J6" s="605"/>
    </row>
    <row r="7" spans="1:21" x14ac:dyDescent="0.6">
      <c r="A7" s="252" t="s">
        <v>172</v>
      </c>
      <c r="B7" s="252" t="s">
        <v>81</v>
      </c>
      <c r="C7" s="252" t="s">
        <v>80</v>
      </c>
      <c r="D7" s="252" t="s">
        <v>79</v>
      </c>
      <c r="E7" s="252" t="s">
        <v>78</v>
      </c>
      <c r="F7" s="252" t="s">
        <v>77</v>
      </c>
      <c r="G7" s="252" t="s">
        <v>76</v>
      </c>
      <c r="H7" s="252" t="s">
        <v>75</v>
      </c>
      <c r="I7" s="252" t="s">
        <v>74</v>
      </c>
      <c r="J7" s="252" t="s">
        <v>73</v>
      </c>
      <c r="K7" s="252" t="s">
        <v>72</v>
      </c>
      <c r="L7" s="252" t="s">
        <v>71</v>
      </c>
      <c r="M7" s="252" t="s">
        <v>70</v>
      </c>
      <c r="N7" s="285" t="s">
        <v>69</v>
      </c>
      <c r="O7" s="252" t="s">
        <v>68</v>
      </c>
      <c r="P7" s="252" t="s">
        <v>67</v>
      </c>
      <c r="Q7" s="252" t="s">
        <v>66</v>
      </c>
      <c r="R7" s="602"/>
      <c r="S7" s="602"/>
    </row>
    <row r="8" spans="1:21" x14ac:dyDescent="0.6">
      <c r="A8" s="252" t="s">
        <v>331</v>
      </c>
      <c r="B8" s="352">
        <v>179098</v>
      </c>
      <c r="C8" s="352">
        <f>587838-175</f>
        <v>587663</v>
      </c>
      <c r="D8" s="352">
        <v>660786</v>
      </c>
      <c r="E8" s="352">
        <v>715073</v>
      </c>
      <c r="F8" s="352">
        <f>205012-93814</f>
        <v>111198</v>
      </c>
      <c r="G8" s="352">
        <v>328991</v>
      </c>
      <c r="H8" s="352">
        <v>431289</v>
      </c>
      <c r="I8" s="352">
        <v>482758</v>
      </c>
      <c r="J8" s="352">
        <v>111198</v>
      </c>
      <c r="K8" s="352">
        <v>289647</v>
      </c>
      <c r="L8" s="352">
        <v>488071</v>
      </c>
      <c r="M8" s="352">
        <v>735345</v>
      </c>
      <c r="N8" s="613">
        <v>139119</v>
      </c>
      <c r="O8" s="352"/>
      <c r="P8" s="352">
        <f>Q8-N8</f>
        <v>475796.92403271061</v>
      </c>
      <c r="Q8" s="981">
        <f>Q11*Q14</f>
        <v>614915.92403271061</v>
      </c>
    </row>
    <row r="9" spans="1:21" x14ac:dyDescent="0.6">
      <c r="A9" s="252" t="s">
        <v>330</v>
      </c>
      <c r="B9" s="352">
        <v>0</v>
      </c>
      <c r="C9" s="352">
        <v>0</v>
      </c>
      <c r="D9" s="352">
        <v>0</v>
      </c>
      <c r="E9" s="352">
        <v>0</v>
      </c>
      <c r="F9" s="352">
        <v>93814</v>
      </c>
      <c r="G9" s="352">
        <v>48545</v>
      </c>
      <c r="H9" s="352">
        <v>88822</v>
      </c>
      <c r="I9" s="352">
        <v>299977</v>
      </c>
      <c r="J9" s="352">
        <v>93814</v>
      </c>
      <c r="K9" s="352">
        <v>124343</v>
      </c>
      <c r="L9" s="352">
        <v>124343</v>
      </c>
      <c r="M9" s="352">
        <v>173657</v>
      </c>
      <c r="N9" s="613">
        <v>50424</v>
      </c>
      <c r="O9" s="352"/>
      <c r="P9" s="352">
        <f>Q9-N9</f>
        <v>188833.67596728934</v>
      </c>
      <c r="Q9" s="981">
        <f>Q11*Q15</f>
        <v>239257.67596728934</v>
      </c>
      <c r="R9" s="602"/>
      <c r="S9" s="602"/>
      <c r="T9" s="996"/>
    </row>
    <row r="10" spans="1:21" x14ac:dyDescent="0.6">
      <c r="A10" s="252" t="s">
        <v>266</v>
      </c>
      <c r="B10" s="340">
        <v>581497</v>
      </c>
      <c r="C10" s="340">
        <v>222763</v>
      </c>
      <c r="D10" s="340">
        <v>10899</v>
      </c>
      <c r="E10" s="340">
        <v>0</v>
      </c>
      <c r="F10" s="340">
        <v>0</v>
      </c>
      <c r="G10" s="340">
        <v>0</v>
      </c>
      <c r="H10" s="340">
        <v>0</v>
      </c>
      <c r="I10" s="340">
        <v>0</v>
      </c>
      <c r="J10" s="340">
        <v>0</v>
      </c>
      <c r="K10" s="340">
        <v>0</v>
      </c>
      <c r="L10" s="340">
        <v>0</v>
      </c>
      <c r="M10" s="340">
        <v>0</v>
      </c>
      <c r="N10" s="340">
        <v>0</v>
      </c>
      <c r="O10" s="340"/>
      <c r="P10" s="340"/>
      <c r="Q10" s="340"/>
    </row>
    <row r="11" spans="1:21" x14ac:dyDescent="0.6">
      <c r="A11" s="252" t="s">
        <v>45</v>
      </c>
      <c r="B11" s="341">
        <f t="shared" ref="B11:P11" si="1">SUM(B8:B10)</f>
        <v>760595</v>
      </c>
      <c r="C11" s="341">
        <f t="shared" si="1"/>
        <v>810426</v>
      </c>
      <c r="D11" s="341">
        <f t="shared" si="1"/>
        <v>671685</v>
      </c>
      <c r="E11" s="341">
        <f t="shared" si="1"/>
        <v>715073</v>
      </c>
      <c r="F11" s="341">
        <f t="shared" si="1"/>
        <v>205012</v>
      </c>
      <c r="G11" s="341">
        <f t="shared" si="1"/>
        <v>377536</v>
      </c>
      <c r="H11" s="341">
        <f t="shared" si="1"/>
        <v>520111</v>
      </c>
      <c r="I11" s="341">
        <f t="shared" si="1"/>
        <v>782735</v>
      </c>
      <c r="J11" s="341">
        <f t="shared" si="1"/>
        <v>205012</v>
      </c>
      <c r="K11" s="341">
        <f t="shared" si="1"/>
        <v>413990</v>
      </c>
      <c r="L11" s="341">
        <f t="shared" si="1"/>
        <v>612414</v>
      </c>
      <c r="M11" s="341">
        <f t="shared" si="1"/>
        <v>909002</v>
      </c>
      <c r="N11" s="341">
        <f t="shared" si="1"/>
        <v>189543</v>
      </c>
      <c r="O11" s="341">
        <f t="shared" si="1"/>
        <v>0</v>
      </c>
      <c r="P11" s="341">
        <f t="shared" si="1"/>
        <v>664630.6</v>
      </c>
      <c r="Q11" s="341">
        <f>Q3</f>
        <v>854173.6</v>
      </c>
    </row>
    <row r="12" spans="1:21" x14ac:dyDescent="0.6">
      <c r="G12" s="601"/>
      <c r="H12" s="601"/>
      <c r="I12" s="601"/>
      <c r="K12" s="601"/>
      <c r="L12" s="601"/>
      <c r="M12" s="601"/>
      <c r="N12" s="601"/>
      <c r="P12" s="601"/>
      <c r="Q12" s="601"/>
      <c r="R12" s="601"/>
      <c r="S12" s="601"/>
    </row>
    <row r="13" spans="1:21" x14ac:dyDescent="0.6">
      <c r="A13" s="590" t="s">
        <v>170</v>
      </c>
      <c r="B13" s="590" t="s">
        <v>81</v>
      </c>
      <c r="C13" s="590" t="s">
        <v>80</v>
      </c>
      <c r="D13" s="590" t="s">
        <v>79</v>
      </c>
      <c r="E13" s="590" t="s">
        <v>78</v>
      </c>
      <c r="F13" s="590" t="s">
        <v>77</v>
      </c>
      <c r="G13" s="590" t="s">
        <v>76</v>
      </c>
      <c r="H13" s="590" t="s">
        <v>75</v>
      </c>
      <c r="I13" s="590" t="s">
        <v>74</v>
      </c>
      <c r="J13" s="590" t="s">
        <v>73</v>
      </c>
      <c r="K13" s="590" t="s">
        <v>72</v>
      </c>
      <c r="L13" s="590" t="s">
        <v>71</v>
      </c>
      <c r="M13" s="590" t="s">
        <v>70</v>
      </c>
      <c r="N13" s="591" t="s">
        <v>69</v>
      </c>
      <c r="O13" s="590" t="s">
        <v>68</v>
      </c>
      <c r="P13" s="590" t="s">
        <v>67</v>
      </c>
      <c r="Q13" s="590" t="s">
        <v>66</v>
      </c>
      <c r="R13" s="601"/>
      <c r="S13" s="601"/>
    </row>
    <row r="14" spans="1:21" x14ac:dyDescent="0.6">
      <c r="A14" s="590" t="s">
        <v>331</v>
      </c>
      <c r="B14" s="595">
        <f t="shared" ref="B14:N14" si="2">B8/B11</f>
        <v>0.23547091421847369</v>
      </c>
      <c r="C14" s="595">
        <f t="shared" si="2"/>
        <v>0.72512851265877454</v>
      </c>
      <c r="D14" s="595">
        <f t="shared" si="2"/>
        <v>0.98377364389557609</v>
      </c>
      <c r="E14" s="595">
        <f t="shared" si="2"/>
        <v>1</v>
      </c>
      <c r="F14" s="595">
        <f t="shared" si="2"/>
        <v>0.5423975181940569</v>
      </c>
      <c r="G14" s="595">
        <f t="shared" si="2"/>
        <v>0.87141623580267846</v>
      </c>
      <c r="H14" s="595">
        <f t="shared" si="2"/>
        <v>0.82922491545074029</v>
      </c>
      <c r="I14" s="595">
        <f t="shared" si="2"/>
        <v>0.61675790657118945</v>
      </c>
      <c r="J14" s="595">
        <f t="shared" si="2"/>
        <v>0.5423975181940569</v>
      </c>
      <c r="K14" s="595">
        <f t="shared" si="2"/>
        <v>0.69964733447667815</v>
      </c>
      <c r="L14" s="595">
        <f t="shared" si="2"/>
        <v>0.79696251228743953</v>
      </c>
      <c r="M14" s="595">
        <f t="shared" si="2"/>
        <v>0.80895861615265974</v>
      </c>
      <c r="N14" s="595">
        <f t="shared" si="2"/>
        <v>0.73397065573511022</v>
      </c>
      <c r="O14" s="595"/>
      <c r="P14" s="595"/>
      <c r="Q14" s="595">
        <f>AVERAGE(I14,M14,N14)</f>
        <v>0.71989572615298647</v>
      </c>
      <c r="R14" s="601"/>
      <c r="S14" s="601"/>
    </row>
    <row r="15" spans="1:21" x14ac:dyDescent="0.6">
      <c r="A15" s="590" t="s">
        <v>330</v>
      </c>
      <c r="B15" s="595">
        <f t="shared" ref="B15:N15" si="3">B9/B11</f>
        <v>0</v>
      </c>
      <c r="C15" s="595">
        <f t="shared" si="3"/>
        <v>0</v>
      </c>
      <c r="D15" s="595">
        <f t="shared" si="3"/>
        <v>0</v>
      </c>
      <c r="E15" s="595">
        <f t="shared" si="3"/>
        <v>0</v>
      </c>
      <c r="F15" s="595">
        <f t="shared" si="3"/>
        <v>0.45760248180594304</v>
      </c>
      <c r="G15" s="595">
        <f t="shared" si="3"/>
        <v>0.12858376419732159</v>
      </c>
      <c r="H15" s="595">
        <f t="shared" si="3"/>
        <v>0.17077508454925969</v>
      </c>
      <c r="I15" s="595">
        <f t="shared" si="3"/>
        <v>0.38324209342881049</v>
      </c>
      <c r="J15" s="595">
        <f t="shared" si="3"/>
        <v>0.45760248180594304</v>
      </c>
      <c r="K15" s="595">
        <f t="shared" si="3"/>
        <v>0.30035266552332179</v>
      </c>
      <c r="L15" s="595">
        <f t="shared" si="3"/>
        <v>0.20303748771256044</v>
      </c>
      <c r="M15" s="595">
        <f t="shared" si="3"/>
        <v>0.19104138384734026</v>
      </c>
      <c r="N15" s="595">
        <f t="shared" si="3"/>
        <v>0.26602934426488978</v>
      </c>
      <c r="O15" s="595"/>
      <c r="P15" s="595"/>
      <c r="Q15" s="595">
        <f>AVERAGE(I15,M15,N15)</f>
        <v>0.28010427384701347</v>
      </c>
      <c r="R15" s="602"/>
      <c r="S15" s="602"/>
    </row>
    <row r="16" spans="1:21" x14ac:dyDescent="0.6">
      <c r="A16" s="241" t="s">
        <v>266</v>
      </c>
      <c r="B16" s="584">
        <f t="shared" ref="B16:N16" si="4">B10/B11</f>
        <v>0.76452908578152634</v>
      </c>
      <c r="C16" s="584">
        <f t="shared" si="4"/>
        <v>0.27487148734122546</v>
      </c>
      <c r="D16" s="584">
        <f t="shared" si="4"/>
        <v>1.6226356104423949E-2</v>
      </c>
      <c r="E16" s="584">
        <f t="shared" si="4"/>
        <v>0</v>
      </c>
      <c r="F16" s="584">
        <f t="shared" si="4"/>
        <v>0</v>
      </c>
      <c r="G16" s="584">
        <f t="shared" si="4"/>
        <v>0</v>
      </c>
      <c r="H16" s="584">
        <f t="shared" si="4"/>
        <v>0</v>
      </c>
      <c r="I16" s="584">
        <f t="shared" si="4"/>
        <v>0</v>
      </c>
      <c r="J16" s="584">
        <f t="shared" si="4"/>
        <v>0</v>
      </c>
      <c r="K16" s="584">
        <f t="shared" si="4"/>
        <v>0</v>
      </c>
      <c r="L16" s="584">
        <f t="shared" si="4"/>
        <v>0</v>
      </c>
      <c r="M16" s="584">
        <f t="shared" si="4"/>
        <v>0</v>
      </c>
      <c r="N16" s="584">
        <f t="shared" si="4"/>
        <v>0</v>
      </c>
      <c r="O16" s="584"/>
      <c r="P16" s="584"/>
      <c r="Q16" s="584"/>
    </row>
    <row r="17" spans="1:24" x14ac:dyDescent="0.6">
      <c r="A17" s="979" t="s">
        <v>45</v>
      </c>
      <c r="B17" s="980">
        <f>B11/(B3+B2)</f>
        <v>0.6874614735236112</v>
      </c>
      <c r="C17" s="980">
        <f>C11/(C3+C2)</f>
        <v>0.57398576555303493</v>
      </c>
      <c r="D17" s="980">
        <f>D11/(D3+D2)</f>
        <v>0.51414563574987948</v>
      </c>
      <c r="E17" s="980">
        <f t="shared" ref="E17:N17" si="5">E11/E3</f>
        <v>0.98892516882617576</v>
      </c>
      <c r="F17" s="980">
        <f t="shared" si="5"/>
        <v>1.0185210945728425</v>
      </c>
      <c r="G17" s="980">
        <f t="shared" si="5"/>
        <v>0.92682352016968461</v>
      </c>
      <c r="H17" s="980">
        <f t="shared" si="5"/>
        <v>0.87407884189103568</v>
      </c>
      <c r="I17" s="980">
        <f t="shared" si="5"/>
        <v>0.97610051128569653</v>
      </c>
      <c r="J17" s="980">
        <f t="shared" si="5"/>
        <v>1.038729682623323</v>
      </c>
      <c r="K17" s="980">
        <f t="shared" si="5"/>
        <v>1.0054743816426059</v>
      </c>
      <c r="L17" s="980">
        <f t="shared" si="5"/>
        <v>0.96346802803495712</v>
      </c>
      <c r="M17" s="980">
        <f t="shared" si="5"/>
        <v>1.0658241710567817</v>
      </c>
      <c r="N17" s="980">
        <f t="shared" si="5"/>
        <v>0.8626295357420799</v>
      </c>
      <c r="O17" s="980">
        <f>SUM(O14:O16)</f>
        <v>0</v>
      </c>
      <c r="P17" s="980">
        <f>SUM(P14:P16)</f>
        <v>0</v>
      </c>
      <c r="Q17" s="980">
        <f>SUM(Q14:Q16)</f>
        <v>1</v>
      </c>
    </row>
    <row r="18" spans="1:24" x14ac:dyDescent="0.6">
      <c r="A18" s="618"/>
      <c r="B18" s="617"/>
      <c r="C18" s="617"/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</row>
    <row r="19" spans="1:24" x14ac:dyDescent="0.6">
      <c r="B19" s="614"/>
      <c r="C19" s="614"/>
      <c r="D19" s="614"/>
      <c r="E19" s="614"/>
      <c r="F19" s="614"/>
      <c r="G19" s="614"/>
      <c r="H19" s="614"/>
      <c r="I19" s="614"/>
      <c r="J19" s="614"/>
      <c r="K19" s="614"/>
      <c r="L19" s="614"/>
      <c r="M19" s="614"/>
      <c r="N19" s="614"/>
      <c r="O19" s="614"/>
      <c r="P19" s="614"/>
      <c r="Q19" s="614"/>
    </row>
    <row r="20" spans="1:24" x14ac:dyDescent="0.6">
      <c r="A20" s="252" t="s">
        <v>167</v>
      </c>
      <c r="B20" s="252" t="s">
        <v>81</v>
      </c>
      <c r="C20" s="252" t="s">
        <v>80</v>
      </c>
      <c r="D20" s="252" t="s">
        <v>79</v>
      </c>
      <c r="E20" s="252" t="s">
        <v>78</v>
      </c>
      <c r="F20" s="252" t="s">
        <v>77</v>
      </c>
      <c r="G20" s="252" t="s">
        <v>76</v>
      </c>
      <c r="H20" s="252" t="s">
        <v>75</v>
      </c>
      <c r="I20" s="252" t="s">
        <v>74</v>
      </c>
      <c r="J20" s="252" t="s">
        <v>73</v>
      </c>
      <c r="K20" s="252" t="s">
        <v>72</v>
      </c>
      <c r="L20" s="252" t="s">
        <v>71</v>
      </c>
      <c r="M20" s="252" t="s">
        <v>70</v>
      </c>
      <c r="N20" s="285" t="s">
        <v>69</v>
      </c>
      <c r="O20" s="252" t="s">
        <v>68</v>
      </c>
      <c r="P20" s="252" t="s">
        <v>67</v>
      </c>
      <c r="Q20" s="252" t="s">
        <v>66</v>
      </c>
    </row>
    <row r="21" spans="1:24" x14ac:dyDescent="0.6">
      <c r="A21" s="252" t="s">
        <v>331</v>
      </c>
      <c r="B21" s="352">
        <v>2519082</v>
      </c>
      <c r="C21" s="352">
        <f>8502735-2676</f>
        <v>8500059</v>
      </c>
      <c r="D21" s="352">
        <v>7260345</v>
      </c>
      <c r="E21" s="352">
        <v>9023286</v>
      </c>
      <c r="F21" s="352">
        <v>7235887.6799999997</v>
      </c>
      <c r="G21" s="352">
        <v>4512322</v>
      </c>
      <c r="H21" s="352">
        <v>6346917</v>
      </c>
      <c r="I21" s="352">
        <v>7338160</v>
      </c>
      <c r="J21" s="352">
        <v>2545674</v>
      </c>
      <c r="K21" s="352">
        <v>8009754</v>
      </c>
      <c r="L21" s="352">
        <v>14461020</v>
      </c>
      <c r="M21" s="352">
        <v>22036197</v>
      </c>
      <c r="N21" s="613">
        <v>5453592</v>
      </c>
      <c r="O21" s="352"/>
      <c r="P21" s="981">
        <f>P35*P8/1000000</f>
        <v>17573077.406864122</v>
      </c>
      <c r="Q21" s="352"/>
    </row>
    <row r="22" spans="1:24" x14ac:dyDescent="0.6">
      <c r="A22" s="252" t="s">
        <v>330</v>
      </c>
      <c r="B22" s="352">
        <v>0</v>
      </c>
      <c r="C22" s="352">
        <v>0</v>
      </c>
      <c r="D22" s="352">
        <v>0</v>
      </c>
      <c r="E22" s="352">
        <v>0</v>
      </c>
      <c r="F22" s="352">
        <f>13399792*0.46</f>
        <v>6163904.3200000003</v>
      </c>
      <c r="G22" s="352">
        <v>699399</v>
      </c>
      <c r="H22" s="352">
        <v>1459345</v>
      </c>
      <c r="I22" s="352">
        <v>6061632</v>
      </c>
      <c r="J22" s="352">
        <v>1953353</v>
      </c>
      <c r="K22" s="352">
        <v>2608413</v>
      </c>
      <c r="L22" s="352">
        <v>2608412</v>
      </c>
      <c r="M22" s="352">
        <v>4190489</v>
      </c>
      <c r="N22" s="613">
        <v>2005552</v>
      </c>
      <c r="O22" s="352"/>
      <c r="P22" s="981">
        <f>P36*P9/1000000</f>
        <v>7893247.6554326946</v>
      </c>
      <c r="Q22" s="352"/>
    </row>
    <row r="23" spans="1:24" x14ac:dyDescent="0.6">
      <c r="A23" s="604" t="s">
        <v>266</v>
      </c>
      <c r="B23" s="340">
        <v>4226318</v>
      </c>
      <c r="C23" s="340">
        <v>1865550</v>
      </c>
      <c r="D23" s="615">
        <v>75672</v>
      </c>
      <c r="E23" s="340"/>
      <c r="F23" s="340"/>
      <c r="G23" s="616"/>
      <c r="H23" s="616"/>
      <c r="I23" s="616"/>
      <c r="J23" s="616"/>
      <c r="K23" s="616"/>
      <c r="L23" s="616"/>
      <c r="M23" s="615"/>
      <c r="N23" s="616"/>
      <c r="O23" s="616"/>
      <c r="P23" s="616"/>
      <c r="Q23" s="615"/>
      <c r="R23" s="601"/>
      <c r="S23" s="601"/>
      <c r="T23" s="601"/>
      <c r="U23" s="602"/>
      <c r="V23" s="601"/>
      <c r="W23" s="601"/>
      <c r="X23" s="601"/>
    </row>
    <row r="24" spans="1:24" x14ac:dyDescent="0.6">
      <c r="A24" s="604" t="s">
        <v>45</v>
      </c>
      <c r="B24" s="341">
        <f t="shared" ref="B24:P24" si="6">SUM(B21:B23)</f>
        <v>6745400</v>
      </c>
      <c r="C24" s="341">
        <f t="shared" si="6"/>
        <v>10365609</v>
      </c>
      <c r="D24" s="341">
        <f t="shared" si="6"/>
        <v>7336017</v>
      </c>
      <c r="E24" s="341">
        <f t="shared" si="6"/>
        <v>9023286</v>
      </c>
      <c r="F24" s="341">
        <f t="shared" si="6"/>
        <v>13399792</v>
      </c>
      <c r="G24" s="341">
        <f t="shared" si="6"/>
        <v>5211721</v>
      </c>
      <c r="H24" s="341">
        <f t="shared" si="6"/>
        <v>7806262</v>
      </c>
      <c r="I24" s="341">
        <f t="shared" si="6"/>
        <v>13399792</v>
      </c>
      <c r="J24" s="341">
        <f t="shared" si="6"/>
        <v>4499027</v>
      </c>
      <c r="K24" s="341">
        <f t="shared" si="6"/>
        <v>10618167</v>
      </c>
      <c r="L24" s="341">
        <f t="shared" si="6"/>
        <v>17069432</v>
      </c>
      <c r="M24" s="341">
        <f t="shared" si="6"/>
        <v>26226686</v>
      </c>
      <c r="N24" s="341">
        <f t="shared" si="6"/>
        <v>7459144</v>
      </c>
      <c r="O24" s="341">
        <f t="shared" si="6"/>
        <v>0</v>
      </c>
      <c r="P24" s="341">
        <f t="shared" si="6"/>
        <v>25466325.062296815</v>
      </c>
      <c r="Q24" s="341">
        <f>P24+N24</f>
        <v>32925469.062296815</v>
      </c>
      <c r="R24" s="601"/>
      <c r="S24" s="601"/>
      <c r="T24" s="601"/>
      <c r="U24" s="602"/>
      <c r="V24" s="601"/>
      <c r="W24" s="601"/>
      <c r="X24" s="601"/>
    </row>
    <row r="25" spans="1:24" x14ac:dyDescent="0.6">
      <c r="B25" s="614"/>
      <c r="C25" s="614"/>
      <c r="D25" s="614"/>
      <c r="E25" s="614"/>
      <c r="F25" s="614"/>
      <c r="G25" s="614"/>
      <c r="H25" s="614"/>
      <c r="I25" s="614"/>
      <c r="J25" s="614"/>
      <c r="K25" s="614"/>
      <c r="L25" s="614"/>
      <c r="M25" s="614"/>
      <c r="N25" s="614"/>
      <c r="O25" s="614"/>
      <c r="P25" s="614"/>
      <c r="Q25" s="614"/>
      <c r="R25" s="601"/>
      <c r="S25" s="601"/>
      <c r="T25" s="601"/>
      <c r="U25" s="602"/>
      <c r="V25" s="601"/>
      <c r="W25" s="601"/>
      <c r="X25" s="601"/>
    </row>
    <row r="26" spans="1:24" x14ac:dyDescent="0.6">
      <c r="F26" s="601"/>
      <c r="G26" s="602"/>
      <c r="H26" s="602"/>
      <c r="I26" s="602"/>
      <c r="J26" s="601"/>
      <c r="K26" s="601"/>
      <c r="L26" s="601"/>
      <c r="M26" s="601"/>
      <c r="N26" s="602"/>
      <c r="O26" s="602"/>
      <c r="P26" s="602"/>
      <c r="Q26" s="601"/>
      <c r="R26" s="602"/>
      <c r="S26" s="602"/>
      <c r="T26" s="602"/>
      <c r="U26" s="601"/>
      <c r="V26" s="602"/>
      <c r="W26" s="602"/>
      <c r="X26" s="602"/>
    </row>
    <row r="27" spans="1:24" x14ac:dyDescent="0.6">
      <c r="A27" s="590" t="s">
        <v>166</v>
      </c>
      <c r="B27" s="590" t="s">
        <v>81</v>
      </c>
      <c r="C27" s="590" t="s">
        <v>80</v>
      </c>
      <c r="D27" s="590" t="s">
        <v>79</v>
      </c>
      <c r="E27" s="590" t="s">
        <v>78</v>
      </c>
      <c r="F27" s="590" t="s">
        <v>77</v>
      </c>
      <c r="G27" s="590" t="s">
        <v>76</v>
      </c>
      <c r="H27" s="590" t="s">
        <v>75</v>
      </c>
      <c r="I27" s="590" t="s">
        <v>74</v>
      </c>
      <c r="J27" s="590" t="s">
        <v>73</v>
      </c>
      <c r="K27" s="590" t="s">
        <v>72</v>
      </c>
      <c r="L27" s="590" t="s">
        <v>71</v>
      </c>
      <c r="M27" s="590" t="s">
        <v>70</v>
      </c>
      <c r="N27" s="591" t="s">
        <v>69</v>
      </c>
      <c r="O27" s="590" t="s">
        <v>68</v>
      </c>
      <c r="P27" s="590" t="s">
        <v>67</v>
      </c>
      <c r="Q27" s="590" t="s">
        <v>66</v>
      </c>
      <c r="R27" s="602"/>
      <c r="S27" s="602"/>
      <c r="T27" s="602"/>
      <c r="U27" s="601"/>
      <c r="V27" s="602"/>
      <c r="W27" s="602"/>
      <c r="X27" s="602"/>
    </row>
    <row r="28" spans="1:24" x14ac:dyDescent="0.6">
      <c r="A28" s="590" t="s">
        <v>331</v>
      </c>
      <c r="B28" s="595">
        <f t="shared" ref="B28:N28" si="7">B21/B24</f>
        <v>0.37345183384232217</v>
      </c>
      <c r="C28" s="595">
        <f t="shared" si="7"/>
        <v>0.82002504628526895</v>
      </c>
      <c r="D28" s="595">
        <f t="shared" si="7"/>
        <v>0.98968486577934589</v>
      </c>
      <c r="E28" s="595">
        <f t="shared" si="7"/>
        <v>1</v>
      </c>
      <c r="F28" s="595">
        <f t="shared" si="7"/>
        <v>0.53999999999999992</v>
      </c>
      <c r="G28" s="595">
        <f t="shared" si="7"/>
        <v>0.86580267823239199</v>
      </c>
      <c r="H28" s="595">
        <f t="shared" si="7"/>
        <v>0.81305457080482313</v>
      </c>
      <c r="I28" s="595">
        <f t="shared" si="7"/>
        <v>0.54763238115934931</v>
      </c>
      <c r="J28" s="595">
        <f t="shared" si="7"/>
        <v>0.56582767785123311</v>
      </c>
      <c r="K28" s="595">
        <f t="shared" si="7"/>
        <v>0.75434432327161549</v>
      </c>
      <c r="L28" s="595">
        <f t="shared" si="7"/>
        <v>0.84718811967498386</v>
      </c>
      <c r="M28" s="595">
        <f t="shared" si="7"/>
        <v>0.840220415190848</v>
      </c>
      <c r="N28" s="595">
        <f t="shared" si="7"/>
        <v>0.73112839757484238</v>
      </c>
      <c r="O28" s="595"/>
      <c r="P28" s="595"/>
      <c r="Q28" s="595"/>
      <c r="R28" s="602"/>
      <c r="S28" s="602"/>
      <c r="T28" s="602"/>
      <c r="U28" s="601"/>
      <c r="V28" s="602"/>
      <c r="W28" s="602"/>
      <c r="X28" s="602"/>
    </row>
    <row r="29" spans="1:24" x14ac:dyDescent="0.6">
      <c r="A29" s="590" t="s">
        <v>330</v>
      </c>
      <c r="B29" s="595">
        <f t="shared" ref="B29:N29" si="8">B22/B24</f>
        <v>0</v>
      </c>
      <c r="C29" s="595">
        <f t="shared" si="8"/>
        <v>0</v>
      </c>
      <c r="D29" s="595">
        <f t="shared" si="8"/>
        <v>0</v>
      </c>
      <c r="E29" s="595">
        <f t="shared" si="8"/>
        <v>0</v>
      </c>
      <c r="F29" s="595">
        <f t="shared" si="8"/>
        <v>0.46</v>
      </c>
      <c r="G29" s="595">
        <f t="shared" si="8"/>
        <v>0.13419732176760804</v>
      </c>
      <c r="H29" s="595">
        <f t="shared" si="8"/>
        <v>0.1869454291951769</v>
      </c>
      <c r="I29" s="595">
        <f t="shared" si="8"/>
        <v>0.45236761884065069</v>
      </c>
      <c r="J29" s="595">
        <f t="shared" si="8"/>
        <v>0.43417232214876683</v>
      </c>
      <c r="K29" s="595">
        <f t="shared" si="8"/>
        <v>0.24565567672838448</v>
      </c>
      <c r="L29" s="595">
        <f t="shared" si="8"/>
        <v>0.15281188032501608</v>
      </c>
      <c r="M29" s="595">
        <f t="shared" si="8"/>
        <v>0.15977958480915203</v>
      </c>
      <c r="N29" s="595">
        <f t="shared" si="8"/>
        <v>0.26887160242515762</v>
      </c>
      <c r="O29" s="595"/>
      <c r="P29" s="595"/>
      <c r="Q29" s="595"/>
      <c r="R29" s="602"/>
      <c r="S29" s="602"/>
      <c r="T29" s="602"/>
      <c r="U29" s="601"/>
      <c r="V29" s="602"/>
      <c r="W29" s="602"/>
      <c r="X29" s="602"/>
    </row>
    <row r="30" spans="1:24" x14ac:dyDescent="0.6">
      <c r="A30" s="241" t="s">
        <v>266</v>
      </c>
      <c r="B30" s="900">
        <f t="shared" ref="B30:N30" si="9">B23/B24</f>
        <v>0.62654816615767783</v>
      </c>
      <c r="C30" s="900">
        <f t="shared" si="9"/>
        <v>0.1799749537147311</v>
      </c>
      <c r="D30" s="900">
        <f t="shared" si="9"/>
        <v>1.0315134220654068E-2</v>
      </c>
      <c r="E30" s="900">
        <f t="shared" si="9"/>
        <v>0</v>
      </c>
      <c r="F30" s="900">
        <f t="shared" si="9"/>
        <v>0</v>
      </c>
      <c r="G30" s="900">
        <f t="shared" si="9"/>
        <v>0</v>
      </c>
      <c r="H30" s="900">
        <f t="shared" si="9"/>
        <v>0</v>
      </c>
      <c r="I30" s="900">
        <f t="shared" si="9"/>
        <v>0</v>
      </c>
      <c r="J30" s="900">
        <f t="shared" si="9"/>
        <v>0</v>
      </c>
      <c r="K30" s="900">
        <f t="shared" si="9"/>
        <v>0</v>
      </c>
      <c r="L30" s="900">
        <f t="shared" si="9"/>
        <v>0</v>
      </c>
      <c r="M30" s="900">
        <f t="shared" si="9"/>
        <v>0</v>
      </c>
      <c r="N30" s="900">
        <f t="shared" si="9"/>
        <v>0</v>
      </c>
      <c r="O30" s="900"/>
      <c r="P30" s="900"/>
      <c r="Q30" s="900"/>
      <c r="R30" s="602"/>
      <c r="S30" s="602"/>
      <c r="T30" s="602"/>
      <c r="U30" s="601"/>
      <c r="V30" s="602"/>
      <c r="W30" s="602"/>
      <c r="X30" s="602"/>
    </row>
    <row r="31" spans="1:24" x14ac:dyDescent="0.6">
      <c r="A31" s="241" t="s">
        <v>45</v>
      </c>
      <c r="B31" s="900">
        <f t="shared" ref="B31:N31" si="10">B24/B24</f>
        <v>1</v>
      </c>
      <c r="C31" s="900">
        <f t="shared" si="10"/>
        <v>1</v>
      </c>
      <c r="D31" s="900">
        <f t="shared" si="10"/>
        <v>1</v>
      </c>
      <c r="E31" s="900">
        <f t="shared" si="10"/>
        <v>1</v>
      </c>
      <c r="F31" s="900">
        <f t="shared" si="10"/>
        <v>1</v>
      </c>
      <c r="G31" s="900">
        <f t="shared" si="10"/>
        <v>1</v>
      </c>
      <c r="H31" s="900">
        <f t="shared" si="10"/>
        <v>1</v>
      </c>
      <c r="I31" s="900">
        <f t="shared" si="10"/>
        <v>1</v>
      </c>
      <c r="J31" s="900">
        <f t="shared" si="10"/>
        <v>1</v>
      </c>
      <c r="K31" s="900">
        <f t="shared" si="10"/>
        <v>1</v>
      </c>
      <c r="L31" s="900">
        <f t="shared" si="10"/>
        <v>1</v>
      </c>
      <c r="M31" s="900">
        <f t="shared" si="10"/>
        <v>1</v>
      </c>
      <c r="N31" s="900">
        <f t="shared" si="10"/>
        <v>1</v>
      </c>
      <c r="O31" s="900">
        <f>SUM(O28:O30)</f>
        <v>0</v>
      </c>
      <c r="P31" s="900">
        <f>SUM(P28:P30)</f>
        <v>0</v>
      </c>
      <c r="Q31" s="900">
        <f>SUM(Q28:Q30)</f>
        <v>0</v>
      </c>
      <c r="T31" s="602"/>
      <c r="X31" s="602"/>
    </row>
    <row r="34" spans="1:17" x14ac:dyDescent="0.6">
      <c r="A34" s="252" t="s">
        <v>165</v>
      </c>
      <c r="B34" s="252" t="s">
        <v>81</v>
      </c>
      <c r="C34" s="252" t="s">
        <v>80</v>
      </c>
      <c r="D34" s="252" t="s">
        <v>79</v>
      </c>
      <c r="E34" s="252" t="s">
        <v>78</v>
      </c>
      <c r="F34" s="252" t="s">
        <v>77</v>
      </c>
      <c r="G34" s="252" t="s">
        <v>76</v>
      </c>
      <c r="H34" s="252" t="s">
        <v>75</v>
      </c>
      <c r="I34" s="252" t="s">
        <v>74</v>
      </c>
      <c r="J34" s="252" t="s">
        <v>73</v>
      </c>
      <c r="K34" s="252" t="s">
        <v>72</v>
      </c>
      <c r="L34" s="252" t="s">
        <v>71</v>
      </c>
      <c r="M34" s="252" t="s">
        <v>70</v>
      </c>
      <c r="N34" s="285" t="s">
        <v>69</v>
      </c>
      <c r="O34" s="252" t="s">
        <v>68</v>
      </c>
      <c r="P34" s="252" t="s">
        <v>67</v>
      </c>
      <c r="Q34" s="252" t="s">
        <v>66</v>
      </c>
    </row>
    <row r="35" spans="1:17" x14ac:dyDescent="0.6">
      <c r="A35" s="252" t="s">
        <v>331</v>
      </c>
      <c r="B35" s="352">
        <f>B21*1000000/B8</f>
        <v>14065383.198025662</v>
      </c>
      <c r="C35" s="352">
        <f>C21*1000000/C8</f>
        <v>14464172.493418846</v>
      </c>
      <c r="D35" s="352">
        <f>D21*1000000/D8</f>
        <v>10987437.687844476</v>
      </c>
      <c r="E35" s="346">
        <f>E21*1000000/E8</f>
        <v>12618692.077592079</v>
      </c>
      <c r="F35" s="346">
        <f>F21*1000000/F8</f>
        <v>65072102.735660717</v>
      </c>
      <c r="G35" s="346">
        <v>13715639.637558475</v>
      </c>
      <c r="H35" s="346">
        <v>14716157.843116796</v>
      </c>
      <c r="I35" s="346">
        <v>15200493.83</v>
      </c>
      <c r="J35" s="346">
        <v>22893163.546106946</v>
      </c>
      <c r="K35" s="346">
        <v>27653502.370000001</v>
      </c>
      <c r="L35" s="346">
        <v>29628926.940000001</v>
      </c>
      <c r="M35" s="346">
        <v>29967154.190000001</v>
      </c>
      <c r="N35" s="347">
        <v>39200914.329999998</v>
      </c>
      <c r="O35" s="346"/>
      <c r="P35" s="346">
        <f>B195</f>
        <v>36933987</v>
      </c>
      <c r="Q35" s="346"/>
    </row>
    <row r="36" spans="1:17" x14ac:dyDescent="0.6">
      <c r="A36" s="252" t="s">
        <v>330</v>
      </c>
      <c r="B36" s="352"/>
      <c r="C36" s="352"/>
      <c r="D36" s="352"/>
      <c r="E36" s="346"/>
      <c r="F36" s="346">
        <f>F22*1000000/F9</f>
        <v>65703459.185196236</v>
      </c>
      <c r="G36" s="346">
        <v>14407230.404779071</v>
      </c>
      <c r="H36" s="346">
        <v>16429994.82110288</v>
      </c>
      <c r="I36" s="346">
        <v>20206989.199999999</v>
      </c>
      <c r="J36" s="346">
        <v>20821551.154411923</v>
      </c>
      <c r="K36" s="346">
        <v>20977562.07</v>
      </c>
      <c r="L36" s="346">
        <v>20977554.02</v>
      </c>
      <c r="M36" s="346">
        <v>24130838.379999999</v>
      </c>
      <c r="N36" s="347">
        <v>39773758.530000001</v>
      </c>
      <c r="O36" s="346"/>
      <c r="P36" s="346">
        <f>B193</f>
        <v>41800000</v>
      </c>
      <c r="Q36" s="346"/>
    </row>
    <row r="37" spans="1:17" x14ac:dyDescent="0.6">
      <c r="A37" s="604" t="s">
        <v>266</v>
      </c>
      <c r="B37" s="352">
        <f>B23*1000000/B10</f>
        <v>7267996.2235402763</v>
      </c>
      <c r="C37" s="352">
        <f>C23*1000000/C10</f>
        <v>8374595.4220404644</v>
      </c>
      <c r="D37" s="352">
        <f>D23*1000000/D10</f>
        <v>6943022.2956234515</v>
      </c>
      <c r="E37" s="346"/>
      <c r="F37" s="346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</row>
    <row r="39" spans="1:17" x14ac:dyDescent="0.6">
      <c r="A39" s="241" t="s">
        <v>165</v>
      </c>
      <c r="B39" s="322" t="s">
        <v>81</v>
      </c>
      <c r="C39" s="322" t="s">
        <v>80</v>
      </c>
      <c r="D39" s="322" t="s">
        <v>79</v>
      </c>
      <c r="E39" s="322" t="s">
        <v>78</v>
      </c>
      <c r="F39" s="322" t="s">
        <v>77</v>
      </c>
      <c r="G39" s="322" t="s">
        <v>76</v>
      </c>
      <c r="H39" s="322" t="s">
        <v>75</v>
      </c>
      <c r="I39" s="322" t="s">
        <v>74</v>
      </c>
      <c r="J39" s="322" t="s">
        <v>73</v>
      </c>
      <c r="K39" s="322" t="s">
        <v>72</v>
      </c>
      <c r="L39" s="322" t="s">
        <v>71</v>
      </c>
      <c r="M39" s="322" t="s">
        <v>70</v>
      </c>
      <c r="N39" s="322" t="s">
        <v>69</v>
      </c>
      <c r="O39" s="322" t="s">
        <v>68</v>
      </c>
      <c r="P39" s="322" t="s">
        <v>67</v>
      </c>
      <c r="Q39" s="322" t="s">
        <v>66</v>
      </c>
    </row>
    <row r="40" spans="1:17" x14ac:dyDescent="0.6">
      <c r="A40" s="241" t="s">
        <v>331</v>
      </c>
      <c r="B40" s="322"/>
      <c r="C40" s="322"/>
      <c r="D40" s="322"/>
      <c r="E40" s="322"/>
      <c r="F40" s="900">
        <f>F35/F36</f>
        <v>0.99039081872758128</v>
      </c>
      <c r="G40" s="900">
        <f t="shared" ref="G40:N40" si="11">G35/G36</f>
        <v>0.95199696625999775</v>
      </c>
      <c r="H40" s="900">
        <f t="shared" si="11"/>
        <v>0.89568852597659909</v>
      </c>
      <c r="I40" s="900">
        <f t="shared" si="11"/>
        <v>0.752239419715234</v>
      </c>
      <c r="J40" s="900">
        <f t="shared" si="11"/>
        <v>1.0994936629039793</v>
      </c>
      <c r="K40" s="900">
        <f t="shared" si="11"/>
        <v>1.3182419519352662</v>
      </c>
      <c r="L40" s="900">
        <f t="shared" si="11"/>
        <v>1.4124109470413844</v>
      </c>
      <c r="M40" s="900">
        <f t="shared" si="11"/>
        <v>1.2418612945846601</v>
      </c>
      <c r="N40" s="900">
        <f t="shared" si="11"/>
        <v>0.98559743355489204</v>
      </c>
      <c r="O40" s="900"/>
      <c r="P40" s="900"/>
      <c r="Q40" s="900">
        <f>N40</f>
        <v>0.98559743355489204</v>
      </c>
    </row>
    <row r="41" spans="1:17" x14ac:dyDescent="0.6">
      <c r="A41" s="241" t="s">
        <v>330</v>
      </c>
      <c r="B41" s="322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</row>
    <row r="42" spans="1:17" x14ac:dyDescent="0.6">
      <c r="A42" s="241" t="s">
        <v>266</v>
      </c>
      <c r="B42" s="322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</row>
    <row r="45" spans="1:17" x14ac:dyDescent="0.6">
      <c r="A45" s="252" t="s">
        <v>152</v>
      </c>
      <c r="B45" s="252" t="s">
        <v>78</v>
      </c>
      <c r="C45" s="252" t="s">
        <v>151</v>
      </c>
      <c r="D45" s="252" t="s">
        <v>150</v>
      </c>
      <c r="E45" s="252" t="s">
        <v>72</v>
      </c>
      <c r="F45" s="252" t="s">
        <v>71</v>
      </c>
      <c r="G45" s="252" t="s">
        <v>149</v>
      </c>
      <c r="H45" s="252" t="s">
        <v>69</v>
      </c>
      <c r="I45" s="252" t="s">
        <v>68</v>
      </c>
      <c r="J45" s="252" t="s">
        <v>67</v>
      </c>
      <c r="K45" s="252" t="s">
        <v>66</v>
      </c>
      <c r="L45" s="612"/>
      <c r="M45" s="612"/>
      <c r="N45" s="187"/>
      <c r="O45" s="612"/>
      <c r="P45" s="612"/>
      <c r="Q45" s="612"/>
    </row>
    <row r="46" spans="1:17" x14ac:dyDescent="0.6">
      <c r="A46" s="611" t="s">
        <v>148</v>
      </c>
      <c r="B46" s="608">
        <f>4078649</f>
        <v>4078649</v>
      </c>
      <c r="C46" s="329">
        <v>6874439</v>
      </c>
      <c r="D46" s="608">
        <v>2350943</v>
      </c>
      <c r="E46" s="329">
        <v>5064872</v>
      </c>
      <c r="F46" s="329">
        <v>8984401</v>
      </c>
      <c r="G46" s="610">
        <v>13550767</v>
      </c>
      <c r="H46" s="608">
        <v>3365603</v>
      </c>
      <c r="I46" s="608"/>
      <c r="J46" s="608">
        <f>J93</f>
        <v>13468470.84957231</v>
      </c>
      <c r="K46" s="608"/>
      <c r="L46" s="609"/>
      <c r="N46" s="602"/>
      <c r="P46" s="609"/>
      <c r="Q46" s="609"/>
    </row>
    <row r="47" spans="1:17" x14ac:dyDescent="0.6">
      <c r="A47" s="611" t="s">
        <v>147</v>
      </c>
      <c r="B47" s="608">
        <v>170600</v>
      </c>
      <c r="C47" s="329">
        <v>254267</v>
      </c>
      <c r="D47" s="608">
        <v>70326</v>
      </c>
      <c r="E47" s="329">
        <v>129437</v>
      </c>
      <c r="F47" s="329">
        <v>224197</v>
      </c>
      <c r="G47" s="610">
        <v>325874</v>
      </c>
      <c r="H47" s="608">
        <v>94239</v>
      </c>
      <c r="I47" s="608"/>
      <c r="J47" s="608">
        <f>G47*1.4</f>
        <v>456223.6</v>
      </c>
      <c r="K47" s="608"/>
      <c r="L47" s="609"/>
      <c r="N47" s="602"/>
      <c r="P47" s="609"/>
      <c r="Q47" s="609"/>
    </row>
    <row r="48" spans="1:17" x14ac:dyDescent="0.6">
      <c r="A48" s="604" t="s">
        <v>146</v>
      </c>
      <c r="B48" s="608">
        <v>3057343</v>
      </c>
      <c r="C48" s="329">
        <v>3112769</v>
      </c>
      <c r="D48" s="608">
        <v>897820</v>
      </c>
      <c r="E48" s="329">
        <v>1992131</v>
      </c>
      <c r="F48" s="329">
        <v>3113189</v>
      </c>
      <c r="G48" s="607">
        <v>4649216</v>
      </c>
      <c r="H48" s="607">
        <v>1623754</v>
      </c>
      <c r="I48" s="607"/>
      <c r="J48" s="607">
        <f>J135</f>
        <v>6838924</v>
      </c>
      <c r="K48" s="607"/>
      <c r="L48" s="288"/>
      <c r="N48" s="602"/>
      <c r="P48" s="288"/>
      <c r="Q48" s="288"/>
    </row>
    <row r="49" spans="1:14" x14ac:dyDescent="0.6">
      <c r="A49" s="604" t="s">
        <v>100</v>
      </c>
      <c r="B49" s="329">
        <v>11668472</v>
      </c>
      <c r="C49" s="329">
        <v>10241475</v>
      </c>
      <c r="D49" s="329">
        <v>3319088</v>
      </c>
      <c r="E49" s="329">
        <v>7186440</v>
      </c>
      <c r="F49" s="329">
        <v>12321787</v>
      </c>
      <c r="G49" s="329">
        <v>18525857</v>
      </c>
      <c r="H49" s="329">
        <v>5083596</v>
      </c>
      <c r="I49" s="329"/>
      <c r="J49" s="329">
        <f>SUM(J46:J48)</f>
        <v>20763618.44957231</v>
      </c>
      <c r="K49" s="329"/>
      <c r="N49" s="602"/>
    </row>
    <row r="50" spans="1:14" x14ac:dyDescent="0.6">
      <c r="A50" s="604" t="s">
        <v>145</v>
      </c>
      <c r="B50" s="329">
        <v>0</v>
      </c>
      <c r="C50" s="329">
        <v>0</v>
      </c>
      <c r="D50" s="329">
        <v>0</v>
      </c>
      <c r="E50" s="329">
        <v>0</v>
      </c>
      <c r="F50" s="329">
        <v>0</v>
      </c>
      <c r="G50" s="329">
        <v>0</v>
      </c>
      <c r="H50" s="329">
        <v>-11120</v>
      </c>
      <c r="I50" s="329"/>
      <c r="J50" s="329"/>
      <c r="K50" s="329"/>
      <c r="N50" s="601"/>
    </row>
    <row r="51" spans="1:14" x14ac:dyDescent="0.6">
      <c r="A51" s="604" t="s">
        <v>144</v>
      </c>
      <c r="B51" s="329">
        <f>B49</f>
        <v>11668472</v>
      </c>
      <c r="C51" s="329">
        <v>10241475</v>
      </c>
      <c r="D51" s="329">
        <f>D49</f>
        <v>3319088</v>
      </c>
      <c r="E51" s="329">
        <v>7186440</v>
      </c>
      <c r="F51" s="329">
        <v>12321787</v>
      </c>
      <c r="G51" s="329">
        <v>18525857</v>
      </c>
      <c r="H51" s="329">
        <v>5072476</v>
      </c>
      <c r="I51" s="329"/>
      <c r="J51" s="329"/>
      <c r="K51" s="329"/>
      <c r="N51" s="602"/>
    </row>
    <row r="52" spans="1:14" x14ac:dyDescent="0.6">
      <c r="A52" s="604" t="s">
        <v>143</v>
      </c>
      <c r="B52" s="329">
        <v>0</v>
      </c>
      <c r="C52" s="329">
        <v>0</v>
      </c>
      <c r="D52" s="329">
        <v>0</v>
      </c>
      <c r="E52" s="329">
        <v>0</v>
      </c>
      <c r="F52" s="329">
        <v>0</v>
      </c>
      <c r="G52" s="329">
        <v>0</v>
      </c>
      <c r="H52" s="329">
        <v>0</v>
      </c>
      <c r="I52" s="329"/>
      <c r="J52" s="329"/>
      <c r="K52" s="329"/>
      <c r="N52" s="601"/>
    </row>
    <row r="53" spans="1:14" x14ac:dyDescent="0.6">
      <c r="A53" s="604" t="s">
        <v>142</v>
      </c>
      <c r="B53" s="329">
        <v>0</v>
      </c>
      <c r="C53" s="329">
        <v>0</v>
      </c>
      <c r="D53" s="329">
        <v>0</v>
      </c>
      <c r="E53" s="329">
        <v>-2218</v>
      </c>
      <c r="F53" s="329">
        <v>-2843</v>
      </c>
      <c r="G53" s="329">
        <v>0</v>
      </c>
      <c r="H53" s="329">
        <v>0</v>
      </c>
      <c r="I53" s="329"/>
      <c r="J53" s="329"/>
      <c r="K53" s="329"/>
      <c r="N53" s="601"/>
    </row>
    <row r="54" spans="1:14" x14ac:dyDescent="0.6">
      <c r="A54" s="604" t="s">
        <v>141</v>
      </c>
      <c r="B54" s="329">
        <v>0</v>
      </c>
      <c r="C54" s="329">
        <v>0</v>
      </c>
      <c r="D54" s="329">
        <v>0</v>
      </c>
      <c r="E54" s="329">
        <v>0</v>
      </c>
      <c r="F54" s="329">
        <v>0</v>
      </c>
      <c r="G54" s="329">
        <v>0</v>
      </c>
      <c r="H54" s="329">
        <v>0</v>
      </c>
      <c r="I54" s="329"/>
      <c r="J54" s="329"/>
      <c r="K54" s="329"/>
      <c r="N54" s="601"/>
    </row>
    <row r="55" spans="1:14" x14ac:dyDescent="0.6">
      <c r="A55" s="604" t="s">
        <v>140</v>
      </c>
      <c r="B55" s="329">
        <f>B51</f>
        <v>11668472</v>
      </c>
      <c r="C55" s="329">
        <v>10241475</v>
      </c>
      <c r="D55" s="329">
        <f>D51</f>
        <v>3319088</v>
      </c>
      <c r="E55" s="329">
        <v>7184222</v>
      </c>
      <c r="F55" s="329">
        <v>12318944</v>
      </c>
      <c r="G55" s="329">
        <v>18525857</v>
      </c>
      <c r="H55" s="329">
        <v>5072476</v>
      </c>
      <c r="I55" s="329"/>
      <c r="J55" s="329"/>
      <c r="K55" s="329"/>
      <c r="N55" s="602"/>
    </row>
    <row r="56" spans="1:14" x14ac:dyDescent="0.6">
      <c r="A56" s="604" t="s">
        <v>139</v>
      </c>
      <c r="B56" s="329">
        <v>535382</v>
      </c>
      <c r="C56" s="329">
        <v>612280</v>
      </c>
      <c r="D56" s="329">
        <v>934994</v>
      </c>
      <c r="E56" s="329">
        <v>934994</v>
      </c>
      <c r="F56" s="329">
        <v>934994</v>
      </c>
      <c r="G56" s="329">
        <v>934994</v>
      </c>
      <c r="H56" s="329">
        <v>1122646</v>
      </c>
      <c r="I56" s="329"/>
      <c r="J56" s="329"/>
      <c r="K56" s="329"/>
      <c r="N56" s="602"/>
    </row>
    <row r="57" spans="1:14" x14ac:dyDescent="0.6">
      <c r="A57" s="604" t="s">
        <v>138</v>
      </c>
      <c r="B57" s="329">
        <v>-612085</v>
      </c>
      <c r="C57" s="329">
        <v>-934994</v>
      </c>
      <c r="D57" s="329">
        <v>-1131762</v>
      </c>
      <c r="E57" s="329">
        <v>-1338096</v>
      </c>
      <c r="F57" s="329">
        <v>-1982356</v>
      </c>
      <c r="G57" s="329">
        <v>-1122646</v>
      </c>
      <c r="H57" s="329">
        <v>-1343414</v>
      </c>
      <c r="I57" s="329"/>
      <c r="J57" s="329"/>
      <c r="K57" s="329"/>
      <c r="N57" s="602"/>
    </row>
    <row r="58" spans="1:14" x14ac:dyDescent="0.6">
      <c r="A58" s="604" t="s">
        <v>137</v>
      </c>
      <c r="B58" s="329">
        <v>7345096</v>
      </c>
      <c r="C58" s="329">
        <v>9918761</v>
      </c>
      <c r="D58" s="329">
        <v>3122321</v>
      </c>
      <c r="E58" s="329">
        <v>6781120</v>
      </c>
      <c r="F58" s="329">
        <v>11271582</v>
      </c>
      <c r="G58" s="329">
        <v>18338205</v>
      </c>
      <c r="H58" s="329">
        <v>4851708</v>
      </c>
      <c r="I58" s="329"/>
      <c r="J58" s="329"/>
      <c r="K58" s="329"/>
      <c r="N58" s="602"/>
    </row>
    <row r="59" spans="1:14" x14ac:dyDescent="0.6">
      <c r="A59" s="604" t="s">
        <v>136</v>
      </c>
      <c r="B59" s="329">
        <v>115206</v>
      </c>
      <c r="C59" s="329">
        <v>237836</v>
      </c>
      <c r="D59" s="329">
        <v>83092</v>
      </c>
      <c r="E59" s="329">
        <v>125118</v>
      </c>
      <c r="F59" s="329">
        <v>139926</v>
      </c>
      <c r="G59" s="329">
        <v>174186</v>
      </c>
      <c r="H59" s="329">
        <v>72178</v>
      </c>
      <c r="I59" s="329"/>
      <c r="J59" s="329"/>
      <c r="K59" s="329"/>
      <c r="N59" s="602"/>
    </row>
    <row r="60" spans="1:14" x14ac:dyDescent="0.6">
      <c r="A60" s="604" t="s">
        <v>135</v>
      </c>
      <c r="B60" s="329">
        <v>7345096</v>
      </c>
      <c r="C60" s="329">
        <v>10156597</v>
      </c>
      <c r="D60" s="329">
        <v>3205413</v>
      </c>
      <c r="E60" s="329">
        <v>6906238</v>
      </c>
      <c r="F60" s="329">
        <v>11411508</v>
      </c>
      <c r="G60" s="329">
        <v>18512391</v>
      </c>
      <c r="H60" s="329">
        <v>4923886</v>
      </c>
      <c r="I60" s="329"/>
      <c r="J60" s="329">
        <f>J61*J49</f>
        <v>20114595.853640653</v>
      </c>
      <c r="K60" s="329"/>
      <c r="N60" s="602"/>
    </row>
    <row r="61" spans="1:14" x14ac:dyDescent="0.6">
      <c r="B61" s="894">
        <f>B60/B49</f>
        <v>0.62948224926108576</v>
      </c>
      <c r="C61" s="894">
        <f t="shared" ref="C61:H61" si="12">C60/C49</f>
        <v>0.99171232659358144</v>
      </c>
      <c r="D61" s="894">
        <f t="shared" si="12"/>
        <v>0.96575113404646096</v>
      </c>
      <c r="E61" s="894">
        <f t="shared" si="12"/>
        <v>0.96100962368015319</v>
      </c>
      <c r="F61" s="894">
        <f t="shared" si="12"/>
        <v>0.92612443308750592</v>
      </c>
      <c r="G61" s="894">
        <f t="shared" si="12"/>
        <v>0.99927312404494972</v>
      </c>
      <c r="H61" s="894">
        <f t="shared" si="12"/>
        <v>0.96858326271403161</v>
      </c>
      <c r="J61" s="985">
        <f>AVERAGE(C61:H61)</f>
        <v>0.96874231736111371</v>
      </c>
    </row>
    <row r="63" spans="1:14" x14ac:dyDescent="0.6">
      <c r="A63" s="604" t="s">
        <v>312</v>
      </c>
      <c r="B63" s="603" t="s">
        <v>78</v>
      </c>
      <c r="C63" s="603" t="s">
        <v>74</v>
      </c>
      <c r="D63" s="603" t="s">
        <v>73</v>
      </c>
      <c r="E63" s="603" t="s">
        <v>72</v>
      </c>
      <c r="F63" s="603" t="s">
        <v>71</v>
      </c>
      <c r="G63" s="603" t="s">
        <v>70</v>
      </c>
      <c r="H63" s="603" t="s">
        <v>69</v>
      </c>
      <c r="I63" s="603" t="s">
        <v>68</v>
      </c>
      <c r="J63" s="603" t="s">
        <v>67</v>
      </c>
      <c r="K63" s="603" t="s">
        <v>66</v>
      </c>
    </row>
    <row r="64" spans="1:14" x14ac:dyDescent="0.6">
      <c r="A64" s="604" t="s">
        <v>196</v>
      </c>
      <c r="B64" s="355">
        <v>0</v>
      </c>
      <c r="C64" s="355">
        <v>0</v>
      </c>
      <c r="D64" s="355">
        <v>0</v>
      </c>
      <c r="E64" s="355">
        <v>60459</v>
      </c>
      <c r="F64" s="355">
        <v>139511</v>
      </c>
      <c r="G64" s="355">
        <v>242593</v>
      </c>
      <c r="H64" s="355">
        <v>23219</v>
      </c>
      <c r="I64" s="355"/>
      <c r="J64" s="355">
        <f>$J$72*J75</f>
        <v>180803.48374240645</v>
      </c>
      <c r="K64" s="355"/>
    </row>
    <row r="65" spans="1:27" x14ac:dyDescent="0.6">
      <c r="A65" s="604" t="s">
        <v>120</v>
      </c>
      <c r="B65" s="355">
        <f>1163394+29745</f>
        <v>1193139</v>
      </c>
      <c r="C65" s="355">
        <v>4695259.8266629996</v>
      </c>
      <c r="D65" s="355">
        <v>317679</v>
      </c>
      <c r="E65" s="355">
        <v>642276</v>
      </c>
      <c r="F65" s="355">
        <v>923850</v>
      </c>
      <c r="G65" s="355">
        <v>1224096</v>
      </c>
      <c r="H65" s="355">
        <v>271838</v>
      </c>
      <c r="I65" s="355"/>
      <c r="J65" s="355">
        <f t="shared" ref="J65:J70" si="13">$J$72*J76</f>
        <v>912313.30349657568</v>
      </c>
      <c r="K65" s="355"/>
    </row>
    <row r="66" spans="1:27" x14ac:dyDescent="0.6">
      <c r="A66" s="604" t="s">
        <v>329</v>
      </c>
      <c r="B66" s="355">
        <f>3514+1998+1497</f>
        <v>7009</v>
      </c>
      <c r="C66" s="355">
        <v>423302.92064999999</v>
      </c>
      <c r="D66" s="355">
        <v>7184</v>
      </c>
      <c r="E66" s="355">
        <v>16264</v>
      </c>
      <c r="F66" s="355">
        <v>24418</v>
      </c>
      <c r="G66" s="355">
        <v>32286</v>
      </c>
      <c r="H66" s="355">
        <v>7448</v>
      </c>
      <c r="I66" s="355"/>
      <c r="J66" s="355">
        <f t="shared" si="13"/>
        <v>24062.612178040315</v>
      </c>
      <c r="K66" s="355"/>
    </row>
    <row r="67" spans="1:27" x14ac:dyDescent="0.6">
      <c r="A67" s="604" t="s">
        <v>328</v>
      </c>
      <c r="B67" s="355">
        <f>20000+1253+1001</f>
        <v>22254</v>
      </c>
      <c r="C67" s="355">
        <v>121079.15119999999</v>
      </c>
      <c r="D67" s="355">
        <v>581</v>
      </c>
      <c r="E67" s="355">
        <v>1272</v>
      </c>
      <c r="F67" s="355">
        <v>1987</v>
      </c>
      <c r="G67" s="355">
        <v>2732</v>
      </c>
      <c r="H67" s="355">
        <v>687</v>
      </c>
      <c r="I67" s="355"/>
      <c r="J67" s="355">
        <f t="shared" si="13"/>
        <v>2036.1474468935808</v>
      </c>
      <c r="K67" s="355"/>
      <c r="P67" s="601"/>
      <c r="Q67" s="606"/>
      <c r="R67" s="601"/>
      <c r="S67" s="602"/>
      <c r="T67" s="606"/>
      <c r="W67" s="602"/>
      <c r="X67" s="602"/>
      <c r="Y67" s="601"/>
      <c r="Z67" s="606"/>
      <c r="AA67" s="601"/>
    </row>
    <row r="68" spans="1:27" x14ac:dyDescent="0.6">
      <c r="A68" s="604" t="s">
        <v>327</v>
      </c>
      <c r="B68" s="355">
        <f>2009+2000+1028+500+686+451+399</f>
        <v>7073</v>
      </c>
      <c r="C68" s="355">
        <v>571081.14700899995</v>
      </c>
      <c r="D68" s="355">
        <v>2455</v>
      </c>
      <c r="E68" s="355">
        <v>7227</v>
      </c>
      <c r="F68" s="355">
        <v>8111</v>
      </c>
      <c r="G68" s="355">
        <v>10883</v>
      </c>
      <c r="H68" s="355">
        <v>2791</v>
      </c>
      <c r="I68" s="355"/>
      <c r="J68" s="355">
        <f t="shared" si="13"/>
        <v>8111.0514877536016</v>
      </c>
      <c r="K68" s="355"/>
      <c r="P68" s="602"/>
      <c r="Q68" s="606"/>
      <c r="R68" s="602"/>
      <c r="S68" s="602"/>
      <c r="T68" s="606"/>
      <c r="W68" s="602"/>
      <c r="X68" s="602"/>
      <c r="Y68" s="602"/>
      <c r="Z68" s="606"/>
      <c r="AA68" s="602"/>
    </row>
    <row r="69" spans="1:27" x14ac:dyDescent="0.6">
      <c r="A69" s="604" t="s">
        <v>302</v>
      </c>
      <c r="B69" s="355">
        <v>3302</v>
      </c>
      <c r="C69" s="355">
        <v>36501.629999999997</v>
      </c>
      <c r="D69" s="355">
        <v>887</v>
      </c>
      <c r="E69" s="355">
        <v>1844</v>
      </c>
      <c r="F69" s="355">
        <v>2874</v>
      </c>
      <c r="G69" s="355">
        <v>3806</v>
      </c>
      <c r="H69" s="355">
        <v>1214</v>
      </c>
      <c r="I69" s="355"/>
      <c r="J69" s="355">
        <f t="shared" si="13"/>
        <v>2836.5948692814673</v>
      </c>
      <c r="K69" s="355"/>
      <c r="P69" s="602"/>
      <c r="Q69" s="606"/>
      <c r="R69" s="602"/>
      <c r="S69" s="602"/>
      <c r="T69" s="606"/>
      <c r="W69" s="602"/>
      <c r="X69" s="602"/>
      <c r="Y69" s="602"/>
      <c r="Z69" s="606"/>
      <c r="AA69" s="602"/>
    </row>
    <row r="70" spans="1:27" x14ac:dyDescent="0.6">
      <c r="A70" s="604" t="s">
        <v>326</v>
      </c>
      <c r="B70" s="355">
        <f>10964+13927</f>
        <v>24891</v>
      </c>
      <c r="C70" s="355">
        <v>366485.66604400001</v>
      </c>
      <c r="D70" s="355">
        <v>27324</v>
      </c>
      <c r="E70" s="355">
        <v>56295</v>
      </c>
      <c r="F70" s="355">
        <v>83377</v>
      </c>
      <c r="G70" s="355">
        <v>111949</v>
      </c>
      <c r="H70" s="355">
        <v>27353</v>
      </c>
      <c r="I70" s="355"/>
      <c r="J70" s="355">
        <f t="shared" si="13"/>
        <v>83435.091702887788</v>
      </c>
      <c r="K70" s="355"/>
      <c r="P70" s="602"/>
      <c r="Q70" s="606"/>
      <c r="R70" s="602"/>
      <c r="S70" s="601"/>
      <c r="T70" s="606"/>
      <c r="W70" s="602"/>
      <c r="X70" s="602"/>
      <c r="Y70" s="601"/>
      <c r="Z70" s="606"/>
      <c r="AA70" s="602"/>
    </row>
    <row r="71" spans="1:27" x14ac:dyDescent="0.6">
      <c r="A71" s="604" t="s">
        <v>45</v>
      </c>
      <c r="B71" s="355">
        <f t="shared" ref="B71:K71" si="14">SUM(B64:B70)</f>
        <v>1257668</v>
      </c>
      <c r="C71" s="355">
        <f t="shared" si="14"/>
        <v>6213710.3415659992</v>
      </c>
      <c r="D71" s="355">
        <f t="shared" si="14"/>
        <v>356110</v>
      </c>
      <c r="E71" s="355">
        <f t="shared" si="14"/>
        <v>785637</v>
      </c>
      <c r="F71" s="355">
        <f t="shared" si="14"/>
        <v>1184128</v>
      </c>
      <c r="G71" s="355">
        <f t="shared" si="14"/>
        <v>1628345</v>
      </c>
      <c r="H71" s="355">
        <f t="shared" si="14"/>
        <v>334550</v>
      </c>
      <c r="I71" s="355">
        <f t="shared" si="14"/>
        <v>0</v>
      </c>
      <c r="J71" s="355">
        <f t="shared" si="14"/>
        <v>1213598.2849238387</v>
      </c>
      <c r="K71" s="355">
        <f t="shared" si="14"/>
        <v>0</v>
      </c>
      <c r="P71" s="602"/>
      <c r="Q71" s="606"/>
      <c r="R71" s="602"/>
      <c r="S71" s="602"/>
      <c r="T71" s="606"/>
      <c r="W71" s="602"/>
      <c r="X71" s="602"/>
      <c r="Y71" s="602"/>
      <c r="Z71" s="606"/>
      <c r="AA71" s="602"/>
    </row>
    <row r="72" spans="1:27" x14ac:dyDescent="0.6">
      <c r="A72" s="274" t="s">
        <v>510</v>
      </c>
      <c r="B72" s="987">
        <f>E3</f>
        <v>723081</v>
      </c>
      <c r="C72" s="987">
        <f>I3</f>
        <v>801900</v>
      </c>
      <c r="D72" s="987">
        <f t="shared" ref="D72:H72" si="15">J3</f>
        <v>197368</v>
      </c>
      <c r="E72" s="987">
        <f t="shared" si="15"/>
        <v>411736</v>
      </c>
      <c r="F72" s="987">
        <f t="shared" si="15"/>
        <v>635635</v>
      </c>
      <c r="G72" s="987">
        <f t="shared" si="15"/>
        <v>852863</v>
      </c>
      <c r="H72" s="987">
        <f t="shared" si="15"/>
        <v>219727</v>
      </c>
      <c r="I72" s="987"/>
      <c r="J72" s="987">
        <f>L3</f>
        <v>635635</v>
      </c>
      <c r="K72" s="447"/>
      <c r="P72" s="602"/>
      <c r="Q72" s="606"/>
      <c r="R72" s="602"/>
      <c r="S72" s="601"/>
      <c r="T72" s="606"/>
      <c r="W72" s="602"/>
      <c r="X72" s="602"/>
      <c r="Y72" s="601"/>
      <c r="Z72" s="606"/>
      <c r="AA72" s="602"/>
    </row>
    <row r="73" spans="1:27" x14ac:dyDescent="0.6">
      <c r="P73" s="602"/>
      <c r="Q73" s="606"/>
      <c r="R73" s="602"/>
      <c r="S73" s="601"/>
      <c r="T73" s="606"/>
      <c r="W73" s="602"/>
      <c r="X73" s="602"/>
      <c r="Y73" s="601"/>
      <c r="Z73" s="606"/>
      <c r="AA73" s="602"/>
    </row>
    <row r="74" spans="1:27" x14ac:dyDescent="0.6">
      <c r="A74" s="241" t="s">
        <v>312</v>
      </c>
      <c r="B74" s="322" t="s">
        <v>78</v>
      </c>
      <c r="C74" s="322" t="s">
        <v>74</v>
      </c>
      <c r="D74" s="322" t="s">
        <v>73</v>
      </c>
      <c r="E74" s="322" t="s">
        <v>72</v>
      </c>
      <c r="F74" s="322" t="s">
        <v>71</v>
      </c>
      <c r="G74" s="322" t="s">
        <v>70</v>
      </c>
      <c r="H74" s="322" t="s">
        <v>69</v>
      </c>
      <c r="I74" s="322" t="s">
        <v>68</v>
      </c>
      <c r="J74" s="322" t="s">
        <v>67</v>
      </c>
      <c r="K74" s="322" t="s">
        <v>66</v>
      </c>
      <c r="P74" s="602"/>
      <c r="Q74" s="606"/>
      <c r="R74" s="602"/>
      <c r="S74" s="601"/>
      <c r="T74" s="606"/>
      <c r="W74" s="602"/>
      <c r="X74" s="602"/>
      <c r="Y74" s="601"/>
      <c r="Z74" s="606"/>
      <c r="AA74" s="602"/>
    </row>
    <row r="75" spans="1:27" x14ac:dyDescent="0.6">
      <c r="A75" s="241" t="s">
        <v>196</v>
      </c>
      <c r="B75" s="988">
        <f>B64/$B$72</f>
        <v>0</v>
      </c>
      <c r="C75" s="988">
        <f>C64/$C$72</f>
        <v>0</v>
      </c>
      <c r="D75" s="988">
        <f>D64/$D$72</f>
        <v>0</v>
      </c>
      <c r="E75" s="988">
        <f>E64/$E$72</f>
        <v>0.14683923679250782</v>
      </c>
      <c r="F75" s="988">
        <f>F64/$F$72</f>
        <v>0.21948287932539901</v>
      </c>
      <c r="G75" s="988">
        <f>G64/$G$72</f>
        <v>0.28444545020712586</v>
      </c>
      <c r="H75" s="988">
        <f>H64/$H$72</f>
        <v>0.10567203848411894</v>
      </c>
      <c r="I75" s="986"/>
      <c r="J75" s="988">
        <f>G75</f>
        <v>0.28444545020712586</v>
      </c>
      <c r="K75" s="986"/>
      <c r="P75" s="602"/>
      <c r="Q75" s="606"/>
      <c r="R75" s="602"/>
      <c r="S75" s="601"/>
      <c r="T75" s="606"/>
      <c r="W75" s="602"/>
      <c r="X75" s="602"/>
      <c r="Y75" s="601"/>
      <c r="Z75" s="606"/>
      <c r="AA75" s="602"/>
    </row>
    <row r="76" spans="1:27" x14ac:dyDescent="0.6">
      <c r="A76" s="241" t="s">
        <v>120</v>
      </c>
      <c r="B76" s="988">
        <f t="shared" ref="B76:B81" si="16">B65/$B$72</f>
        <v>1.6500765474407431</v>
      </c>
      <c r="C76" s="988">
        <f t="shared" ref="C76:C81" si="17">C65/$C$72</f>
        <v>5.8551687575296167</v>
      </c>
      <c r="D76" s="988">
        <f t="shared" ref="D76:D81" si="18">D65/$D$72</f>
        <v>1.6095770337643387</v>
      </c>
      <c r="E76" s="988">
        <f t="shared" ref="E76:E81" si="19">E65/$E$72</f>
        <v>1.5599218916975925</v>
      </c>
      <c r="F76" s="988">
        <f t="shared" ref="F76:F81" si="20">F65/$F$72</f>
        <v>1.453428461302477</v>
      </c>
      <c r="G76" s="988">
        <f t="shared" ref="G76:G81" si="21">G65/$G$72</f>
        <v>1.435278585188946</v>
      </c>
      <c r="H76" s="988">
        <f t="shared" ref="H76:H81" si="22">H65/$H$72</f>
        <v>1.2371624788942643</v>
      </c>
      <c r="I76" s="986"/>
      <c r="J76" s="988">
        <f t="shared" ref="J76:J81" si="23">G76</f>
        <v>1.435278585188946</v>
      </c>
      <c r="K76" s="986"/>
      <c r="P76" s="602"/>
      <c r="Q76" s="606"/>
      <c r="R76" s="602"/>
      <c r="S76" s="601"/>
      <c r="T76" s="606"/>
      <c r="W76" s="602"/>
      <c r="X76" s="602"/>
      <c r="Y76" s="601"/>
      <c r="Z76" s="606"/>
      <c r="AA76" s="602"/>
    </row>
    <row r="77" spans="1:27" x14ac:dyDescent="0.6">
      <c r="A77" s="241" t="s">
        <v>329</v>
      </c>
      <c r="B77" s="988">
        <f t="shared" si="16"/>
        <v>9.6932432189478085E-3</v>
      </c>
      <c r="C77" s="988">
        <f t="shared" si="17"/>
        <v>0.52787494781144784</v>
      </c>
      <c r="D77" s="988">
        <f t="shared" si="18"/>
        <v>3.6399010984556765E-2</v>
      </c>
      <c r="E77" s="988">
        <f t="shared" si="19"/>
        <v>3.9501039501039503E-2</v>
      </c>
      <c r="F77" s="988">
        <f t="shared" si="20"/>
        <v>3.8415128178907708E-2</v>
      </c>
      <c r="G77" s="988">
        <f t="shared" si="21"/>
        <v>3.7856021424308474E-2</v>
      </c>
      <c r="H77" s="988">
        <f t="shared" si="22"/>
        <v>3.3896608063642614E-2</v>
      </c>
      <c r="I77" s="986"/>
      <c r="J77" s="988">
        <f t="shared" si="23"/>
        <v>3.7856021424308474E-2</v>
      </c>
      <c r="K77" s="986"/>
      <c r="P77" s="602"/>
      <c r="Q77" s="606"/>
      <c r="R77" s="602"/>
      <c r="S77" s="601"/>
      <c r="T77" s="606"/>
      <c r="W77" s="602"/>
      <c r="X77" s="602"/>
      <c r="Y77" s="601"/>
      <c r="Z77" s="606"/>
      <c r="AA77" s="602"/>
    </row>
    <row r="78" spans="1:27" x14ac:dyDescent="0.6">
      <c r="A78" s="241" t="s">
        <v>328</v>
      </c>
      <c r="B78" s="988">
        <f t="shared" si="16"/>
        <v>3.0776634982802756E-2</v>
      </c>
      <c r="C78" s="988">
        <f t="shared" si="17"/>
        <v>0.15099033694974434</v>
      </c>
      <c r="D78" s="988">
        <f t="shared" si="18"/>
        <v>2.9437396133111752E-3</v>
      </c>
      <c r="E78" s="988">
        <f t="shared" si="19"/>
        <v>3.0893582295451454E-3</v>
      </c>
      <c r="F78" s="988">
        <f t="shared" si="20"/>
        <v>3.1260078504172992E-3</v>
      </c>
      <c r="G78" s="988">
        <f t="shared" si="21"/>
        <v>3.2033280843464895E-3</v>
      </c>
      <c r="H78" s="988">
        <f t="shared" si="22"/>
        <v>3.1266071079111809E-3</v>
      </c>
      <c r="I78" s="986"/>
      <c r="J78" s="988">
        <f t="shared" si="23"/>
        <v>3.2033280843464895E-3</v>
      </c>
      <c r="K78" s="986"/>
      <c r="P78" s="602"/>
      <c r="Q78" s="606"/>
      <c r="R78" s="602"/>
      <c r="S78" s="601"/>
      <c r="T78" s="606"/>
      <c r="W78" s="602"/>
      <c r="X78" s="602"/>
      <c r="Y78" s="601"/>
      <c r="Z78" s="606"/>
      <c r="AA78" s="602"/>
    </row>
    <row r="79" spans="1:27" x14ac:dyDescent="0.6">
      <c r="A79" s="241" t="s">
        <v>327</v>
      </c>
      <c r="B79" s="988">
        <f t="shared" si="16"/>
        <v>9.7817533581991498E-3</v>
      </c>
      <c r="C79" s="988">
        <f t="shared" si="17"/>
        <v>0.71216005363386947</v>
      </c>
      <c r="D79" s="988">
        <f t="shared" si="18"/>
        <v>1.2438693202545498E-2</v>
      </c>
      <c r="E79" s="988">
        <f t="shared" si="19"/>
        <v>1.7552509374939282E-2</v>
      </c>
      <c r="F79" s="988">
        <f t="shared" si="20"/>
        <v>1.2760467878578114E-2</v>
      </c>
      <c r="G79" s="988">
        <f t="shared" si="21"/>
        <v>1.2760548880652579E-2</v>
      </c>
      <c r="H79" s="988">
        <f t="shared" si="22"/>
        <v>1.2702125819767257E-2</v>
      </c>
      <c r="I79" s="986"/>
      <c r="J79" s="988">
        <f t="shared" si="23"/>
        <v>1.2760548880652579E-2</v>
      </c>
      <c r="K79" s="986"/>
      <c r="P79" s="602"/>
      <c r="Q79" s="606"/>
      <c r="R79" s="602"/>
      <c r="S79" s="601"/>
      <c r="T79" s="606"/>
      <c r="W79" s="602"/>
      <c r="X79" s="602"/>
      <c r="Y79" s="601"/>
      <c r="Z79" s="606"/>
      <c r="AA79" s="602"/>
    </row>
    <row r="80" spans="1:27" x14ac:dyDescent="0.6">
      <c r="A80" s="241" t="s">
        <v>302</v>
      </c>
      <c r="B80" s="988">
        <f t="shared" si="16"/>
        <v>4.5665699969989534E-3</v>
      </c>
      <c r="C80" s="988">
        <f t="shared" si="17"/>
        <v>4.5518930041152261E-2</v>
      </c>
      <c r="D80" s="988">
        <f t="shared" si="18"/>
        <v>4.4941429208382308E-3</v>
      </c>
      <c r="E80" s="988">
        <f t="shared" si="19"/>
        <v>4.4785979365418614E-3</v>
      </c>
      <c r="F80" s="988">
        <f t="shared" si="20"/>
        <v>4.5214627891793247E-3</v>
      </c>
      <c r="G80" s="988">
        <f t="shared" si="21"/>
        <v>4.46261591838314E-3</v>
      </c>
      <c r="H80" s="988">
        <f t="shared" si="22"/>
        <v>5.5250378879245611E-3</v>
      </c>
      <c r="I80" s="986"/>
      <c r="J80" s="988">
        <f t="shared" si="23"/>
        <v>4.46261591838314E-3</v>
      </c>
      <c r="K80" s="986"/>
      <c r="P80" s="602"/>
      <c r="Q80" s="606"/>
      <c r="R80" s="602"/>
      <c r="S80" s="601"/>
      <c r="T80" s="606"/>
      <c r="W80" s="602"/>
      <c r="X80" s="602"/>
      <c r="Y80" s="601"/>
      <c r="Z80" s="606"/>
      <c r="AA80" s="602"/>
    </row>
    <row r="81" spans="1:27" x14ac:dyDescent="0.6">
      <c r="A81" s="241" t="s">
        <v>326</v>
      </c>
      <c r="B81" s="988">
        <f t="shared" si="16"/>
        <v>3.4423529314143227E-2</v>
      </c>
      <c r="C81" s="988">
        <f t="shared" si="17"/>
        <v>0.45702165612171097</v>
      </c>
      <c r="D81" s="988">
        <f t="shared" si="18"/>
        <v>0.13844189534271006</v>
      </c>
      <c r="E81" s="988">
        <f t="shared" si="19"/>
        <v>0.13672596032409118</v>
      </c>
      <c r="F81" s="988">
        <f t="shared" si="20"/>
        <v>0.13117119101371069</v>
      </c>
      <c r="G81" s="988">
        <f t="shared" si="21"/>
        <v>0.13126258261877932</v>
      </c>
      <c r="H81" s="988">
        <f t="shared" si="22"/>
        <v>0.12448629435617835</v>
      </c>
      <c r="I81" s="986"/>
      <c r="J81" s="988">
        <f t="shared" si="23"/>
        <v>0.13126258261877932</v>
      </c>
      <c r="K81" s="986"/>
      <c r="P81" s="602"/>
      <c r="Q81" s="606"/>
      <c r="R81" s="602"/>
      <c r="S81" s="601"/>
      <c r="T81" s="606"/>
      <c r="W81" s="602"/>
      <c r="X81" s="602"/>
      <c r="Y81" s="601"/>
      <c r="Z81" s="606"/>
      <c r="AA81" s="602"/>
    </row>
    <row r="82" spans="1:27" x14ac:dyDescent="0.6">
      <c r="A82" s="241" t="s">
        <v>45</v>
      </c>
      <c r="B82" s="986"/>
      <c r="C82" s="986"/>
      <c r="D82" s="986"/>
      <c r="E82" s="986"/>
      <c r="F82" s="986"/>
      <c r="G82" s="986"/>
      <c r="H82" s="986"/>
      <c r="I82" s="986"/>
      <c r="J82" s="986"/>
      <c r="K82" s="986"/>
      <c r="P82" s="602"/>
      <c r="Q82" s="606"/>
      <c r="R82" s="602"/>
      <c r="S82" s="601"/>
      <c r="T82" s="606"/>
      <c r="W82" s="602"/>
      <c r="X82" s="602"/>
      <c r="Y82" s="601"/>
      <c r="Z82" s="606"/>
      <c r="AA82" s="602"/>
    </row>
    <row r="83" spans="1:27" x14ac:dyDescent="0.6">
      <c r="P83" s="602"/>
      <c r="Q83" s="606"/>
      <c r="R83" s="602"/>
      <c r="S83" s="602"/>
      <c r="T83" s="606"/>
      <c r="W83" s="602"/>
      <c r="X83" s="602"/>
      <c r="Y83" s="602"/>
      <c r="Z83" s="606"/>
      <c r="AA83" s="602"/>
    </row>
    <row r="85" spans="1:27" x14ac:dyDescent="0.6">
      <c r="A85" s="604" t="s">
        <v>309</v>
      </c>
      <c r="B85" s="603" t="s">
        <v>78</v>
      </c>
      <c r="C85" s="603" t="s">
        <v>74</v>
      </c>
      <c r="D85" s="603" t="s">
        <v>73</v>
      </c>
      <c r="E85" s="603" t="s">
        <v>72</v>
      </c>
      <c r="F85" s="603" t="s">
        <v>71</v>
      </c>
      <c r="G85" s="603" t="s">
        <v>70</v>
      </c>
      <c r="H85" s="603" t="s">
        <v>69</v>
      </c>
      <c r="I85" s="603" t="s">
        <v>68</v>
      </c>
      <c r="J85" s="603" t="s">
        <v>67</v>
      </c>
      <c r="K85" s="603" t="s">
        <v>66</v>
      </c>
      <c r="P85" s="602"/>
      <c r="Q85" s="606"/>
      <c r="R85" s="602"/>
      <c r="S85" s="602"/>
      <c r="T85" s="606"/>
      <c r="U85" s="602"/>
      <c r="V85" s="602"/>
      <c r="W85" s="602"/>
      <c r="X85" s="602"/>
      <c r="Y85" s="602"/>
      <c r="Z85" s="606"/>
      <c r="AA85" s="602"/>
    </row>
    <row r="86" spans="1:27" x14ac:dyDescent="0.6">
      <c r="A86" s="604" t="s">
        <v>196</v>
      </c>
      <c r="B86" s="355">
        <v>0</v>
      </c>
      <c r="C86" s="355">
        <v>0</v>
      </c>
      <c r="D86" s="355">
        <v>0</v>
      </c>
      <c r="E86" s="355">
        <v>3721199</v>
      </c>
      <c r="F86" s="355">
        <v>15116241.73</v>
      </c>
      <c r="G86" s="355">
        <v>3620568</v>
      </c>
      <c r="H86" s="355">
        <v>372533</v>
      </c>
      <c r="I86" s="355"/>
      <c r="J86" s="355">
        <f>J64*J107/1000000</f>
        <v>3530188.0200704858</v>
      </c>
      <c r="K86" s="355"/>
    </row>
    <row r="87" spans="1:27" x14ac:dyDescent="0.6">
      <c r="A87" s="604" t="s">
        <v>120</v>
      </c>
      <c r="B87" s="355">
        <f>3307109+90425</f>
        <v>3397534</v>
      </c>
      <c r="C87" s="355">
        <v>1190633.05</v>
      </c>
      <c r="D87" s="355">
        <v>2288512</v>
      </c>
      <c r="E87" s="355">
        <v>361279</v>
      </c>
      <c r="F87" s="355">
        <v>6363662.1799999997</v>
      </c>
      <c r="G87" s="355">
        <v>8248613</v>
      </c>
      <c r="H87" s="355">
        <v>2546184</v>
      </c>
      <c r="I87" s="355"/>
      <c r="J87" s="355">
        <f t="shared" ref="J87:J92" si="24">J65*J108/1000000</f>
        <v>8193941.9353544945</v>
      </c>
      <c r="K87" s="355"/>
    </row>
    <row r="88" spans="1:27" x14ac:dyDescent="0.6">
      <c r="A88" s="604" t="s">
        <v>329</v>
      </c>
      <c r="B88" s="355">
        <f>35340+21575+16167</f>
        <v>73082</v>
      </c>
      <c r="C88" s="355">
        <v>33209.974000000002</v>
      </c>
      <c r="D88" s="355">
        <v>146363</v>
      </c>
      <c r="E88" s="355">
        <v>132766</v>
      </c>
      <c r="F88" s="355">
        <v>23564573.41</v>
      </c>
      <c r="G88" s="355">
        <v>895676</v>
      </c>
      <c r="H88" s="355">
        <v>193715</v>
      </c>
      <c r="I88" s="355"/>
      <c r="J88" s="355">
        <f t="shared" si="24"/>
        <v>600116.5587192399</v>
      </c>
      <c r="K88" s="355"/>
      <c r="P88" s="601"/>
      <c r="Q88" s="601"/>
      <c r="R88" s="601"/>
      <c r="S88" s="601"/>
      <c r="T88" s="601"/>
      <c r="U88" s="601"/>
      <c r="V88" s="601"/>
      <c r="W88" s="601"/>
      <c r="X88" s="601"/>
      <c r="Y88" s="601"/>
      <c r="Z88" s="601"/>
      <c r="AA88" s="601"/>
    </row>
    <row r="89" spans="1:27" x14ac:dyDescent="0.6">
      <c r="A89" s="604" t="s">
        <v>328</v>
      </c>
      <c r="B89" s="355">
        <f>50000+48573+41182</f>
        <v>139755</v>
      </c>
      <c r="C89" s="355">
        <v>2271.7734100000002</v>
      </c>
      <c r="D89" s="355">
        <v>77659</v>
      </c>
      <c r="E89" s="355">
        <v>321045</v>
      </c>
      <c r="F89" s="355">
        <v>57931792.350000001</v>
      </c>
      <c r="G89" s="355">
        <v>204540</v>
      </c>
      <c r="H89" s="355">
        <v>38292</v>
      </c>
      <c r="I89" s="355"/>
      <c r="J89" s="355">
        <f t="shared" si="24"/>
        <v>108825.27995059881</v>
      </c>
      <c r="K89" s="355"/>
      <c r="R89" s="602"/>
      <c r="U89" s="602"/>
      <c r="X89" s="602"/>
      <c r="AA89" s="602"/>
    </row>
    <row r="90" spans="1:27" x14ac:dyDescent="0.6">
      <c r="A90" s="604" t="s">
        <v>327</v>
      </c>
      <c r="B90" s="355">
        <f>63186+59274+41550+19243+17086+16205+13193</f>
        <v>229737</v>
      </c>
      <c r="C90" s="355">
        <v>10006.120339999999</v>
      </c>
      <c r="D90" s="355">
        <v>117368</v>
      </c>
      <c r="E90" s="355">
        <v>18465</v>
      </c>
      <c r="F90" s="355">
        <v>47706725.880000003</v>
      </c>
      <c r="G90" s="355">
        <v>801177</v>
      </c>
      <c r="H90" s="355">
        <v>260190</v>
      </c>
      <c r="I90" s="355"/>
      <c r="J90" s="355">
        <f t="shared" si="24"/>
        <v>725065.39580060355</v>
      </c>
      <c r="K90" s="355"/>
    </row>
    <row r="91" spans="1:27" x14ac:dyDescent="0.6">
      <c r="A91" s="604" t="s">
        <v>302</v>
      </c>
      <c r="B91" s="355">
        <v>23942</v>
      </c>
      <c r="C91" s="355">
        <v>4896.32179</v>
      </c>
      <c r="D91" s="355">
        <v>10156</v>
      </c>
      <c r="E91" s="355">
        <v>153984</v>
      </c>
      <c r="F91" s="355">
        <v>7842247.0199999996</v>
      </c>
      <c r="G91" s="355">
        <v>26487</v>
      </c>
      <c r="H91" s="355">
        <v>2115</v>
      </c>
      <c r="I91" s="355"/>
      <c r="J91" s="355">
        <f t="shared" si="24"/>
        <v>4738.6895114428835</v>
      </c>
      <c r="K91" s="355"/>
    </row>
    <row r="92" spans="1:27" x14ac:dyDescent="0.6">
      <c r="A92" s="604" t="s">
        <v>326</v>
      </c>
      <c r="B92" s="355">
        <f>18006+13641</f>
        <v>31647</v>
      </c>
      <c r="C92" s="355">
        <v>103927.01539300001</v>
      </c>
      <c r="D92" s="355">
        <v>88848</v>
      </c>
      <c r="E92" s="355">
        <v>868173</v>
      </c>
      <c r="F92" s="355">
        <v>2728149.32</v>
      </c>
      <c r="G92" s="355">
        <v>487338</v>
      </c>
      <c r="H92" s="355">
        <v>104480</v>
      </c>
      <c r="I92" s="355"/>
      <c r="J92" s="355">
        <f t="shared" si="24"/>
        <v>305594.97016544658</v>
      </c>
      <c r="K92" s="355"/>
    </row>
    <row r="93" spans="1:27" x14ac:dyDescent="0.6">
      <c r="A93" s="604" t="s">
        <v>45</v>
      </c>
      <c r="B93" s="355">
        <f t="shared" ref="B93:J93" si="25">SUM(B86:B92)</f>
        <v>3895697</v>
      </c>
      <c r="C93" s="355">
        <f t="shared" si="25"/>
        <v>1344944.2549329998</v>
      </c>
      <c r="D93" s="355">
        <f t="shared" si="25"/>
        <v>2728906</v>
      </c>
      <c r="E93" s="355">
        <f t="shared" si="25"/>
        <v>5576911</v>
      </c>
      <c r="F93" s="355">
        <f t="shared" si="25"/>
        <v>161253391.89000002</v>
      </c>
      <c r="G93" s="355">
        <f t="shared" si="25"/>
        <v>14284399</v>
      </c>
      <c r="H93" s="355">
        <f t="shared" si="25"/>
        <v>3517509</v>
      </c>
      <c r="I93" s="355">
        <f t="shared" si="25"/>
        <v>0</v>
      </c>
      <c r="J93" s="355">
        <f t="shared" si="25"/>
        <v>13468470.84957231</v>
      </c>
      <c r="K93" s="355">
        <f>J93+H93</f>
        <v>16985979.849572308</v>
      </c>
    </row>
    <row r="95" spans="1:27" x14ac:dyDescent="0.6">
      <c r="A95" s="241" t="s">
        <v>309</v>
      </c>
      <c r="B95" s="322" t="s">
        <v>78</v>
      </c>
      <c r="C95" s="322" t="s">
        <v>74</v>
      </c>
      <c r="D95" s="322" t="s">
        <v>73</v>
      </c>
      <c r="E95" s="322" t="s">
        <v>72</v>
      </c>
      <c r="F95" s="322" t="s">
        <v>71</v>
      </c>
      <c r="G95" s="322" t="s">
        <v>70</v>
      </c>
      <c r="H95" s="322" t="s">
        <v>69</v>
      </c>
      <c r="I95" s="322" t="s">
        <v>68</v>
      </c>
      <c r="J95" s="322" t="s">
        <v>67</v>
      </c>
      <c r="K95" s="322" t="s">
        <v>66</v>
      </c>
    </row>
    <row r="96" spans="1:27" x14ac:dyDescent="0.6">
      <c r="A96" s="241" t="s">
        <v>196</v>
      </c>
      <c r="B96" s="900">
        <f>B86/$B$93</f>
        <v>0</v>
      </c>
      <c r="C96" s="900">
        <f>C86/$C$93</f>
        <v>0</v>
      </c>
      <c r="D96" s="900">
        <f>D86/$D$93</f>
        <v>0</v>
      </c>
      <c r="E96" s="900">
        <f>E86/$E$93</f>
        <v>0.66725092080544235</v>
      </c>
      <c r="F96" s="900">
        <f>F86/$F$93</f>
        <v>9.3742162895473463E-2</v>
      </c>
      <c r="G96" s="900">
        <f>G86/$G$93</f>
        <v>0.2534630963472807</v>
      </c>
      <c r="H96" s="900">
        <f>H86/$H$93</f>
        <v>0.10590818673100766</v>
      </c>
      <c r="I96" s="986"/>
      <c r="J96" s="986"/>
      <c r="K96" s="986"/>
    </row>
    <row r="97" spans="1:11" x14ac:dyDescent="0.6">
      <c r="A97" s="241" t="s">
        <v>120</v>
      </c>
      <c r="B97" s="900">
        <f t="shared" ref="B97:B103" si="26">B87/$B$93</f>
        <v>0.87212480847458107</v>
      </c>
      <c r="C97" s="900">
        <f t="shared" ref="C97:C103" si="27">C87/$C$93</f>
        <v>0.8852657243101224</v>
      </c>
      <c r="D97" s="900">
        <f t="shared" ref="D97:D103" si="28">D87/$D$93</f>
        <v>0.83861884579388224</v>
      </c>
      <c r="E97" s="900">
        <f t="shared" ref="E97:E103" si="29">E87/$E$93</f>
        <v>6.4781202353776129E-2</v>
      </c>
      <c r="F97" s="900">
        <f t="shared" ref="F97:F103" si="30">F87/$F$93</f>
        <v>3.9463741540029192E-2</v>
      </c>
      <c r="G97" s="900">
        <f t="shared" ref="G97:G103" si="31">G87/$G$93</f>
        <v>0.57745607638095242</v>
      </c>
      <c r="H97" s="900">
        <f t="shared" ref="H97:H103" si="32">H87/$H$93</f>
        <v>0.72385998159492981</v>
      </c>
      <c r="I97" s="986"/>
      <c r="J97" s="986"/>
      <c r="K97" s="986"/>
    </row>
    <row r="98" spans="1:11" x14ac:dyDescent="0.6">
      <c r="A98" s="241" t="s">
        <v>329</v>
      </c>
      <c r="B98" s="900">
        <f t="shared" si="26"/>
        <v>1.8759672531000228E-2</v>
      </c>
      <c r="C98" s="900">
        <f t="shared" si="27"/>
        <v>2.4692453890331981E-2</v>
      </c>
      <c r="D98" s="900">
        <f t="shared" si="28"/>
        <v>5.3634313530770208E-2</v>
      </c>
      <c r="E98" s="900">
        <f t="shared" si="29"/>
        <v>2.3806368794481388E-2</v>
      </c>
      <c r="F98" s="900">
        <f t="shared" si="30"/>
        <v>0.14613381544293169</v>
      </c>
      <c r="G98" s="900">
        <f t="shared" si="31"/>
        <v>6.2703093073779304E-2</v>
      </c>
      <c r="H98" s="900">
        <f t="shared" si="32"/>
        <v>5.5071643029200493E-2</v>
      </c>
      <c r="I98" s="986"/>
      <c r="J98" s="986"/>
      <c r="K98" s="986"/>
    </row>
    <row r="99" spans="1:11" x14ac:dyDescent="0.6">
      <c r="A99" s="241" t="s">
        <v>328</v>
      </c>
      <c r="B99" s="900">
        <f t="shared" si="26"/>
        <v>3.5874196581510316E-2</v>
      </c>
      <c r="C99" s="900">
        <f t="shared" si="27"/>
        <v>1.689120870004513E-3</v>
      </c>
      <c r="D99" s="900">
        <f t="shared" si="28"/>
        <v>2.8457924164482031E-2</v>
      </c>
      <c r="E99" s="900">
        <f t="shared" si="29"/>
        <v>5.7566814317101346E-2</v>
      </c>
      <c r="F99" s="900">
        <f t="shared" si="30"/>
        <v>0.35925937228978433</v>
      </c>
      <c r="G99" s="900">
        <f t="shared" si="31"/>
        <v>1.4319118361227519E-2</v>
      </c>
      <c r="H99" s="900">
        <f t="shared" si="32"/>
        <v>1.0886112871352995E-2</v>
      </c>
      <c r="I99" s="986"/>
      <c r="J99" s="986"/>
      <c r="K99" s="986"/>
    </row>
    <row r="100" spans="1:11" x14ac:dyDescent="0.6">
      <c r="A100" s="241" t="s">
        <v>327</v>
      </c>
      <c r="B100" s="900">
        <f t="shared" si="26"/>
        <v>5.8971988837940942E-2</v>
      </c>
      <c r="C100" s="900">
        <f t="shared" si="27"/>
        <v>7.4398030277459098E-3</v>
      </c>
      <c r="D100" s="900">
        <f t="shared" si="28"/>
        <v>4.3009176571124109E-2</v>
      </c>
      <c r="E100" s="900">
        <f t="shared" si="29"/>
        <v>3.3109726872098191E-3</v>
      </c>
      <c r="F100" s="900">
        <f t="shared" si="30"/>
        <v>0.29584944118597789</v>
      </c>
      <c r="G100" s="900">
        <f t="shared" si="31"/>
        <v>5.6087553981095037E-2</v>
      </c>
      <c r="H100" s="900">
        <f t="shared" si="32"/>
        <v>7.3969959991573589E-2</v>
      </c>
      <c r="I100" s="986"/>
      <c r="J100" s="986"/>
      <c r="K100" s="986"/>
    </row>
    <row r="101" spans="1:11" x14ac:dyDescent="0.6">
      <c r="A101" s="241" t="s">
        <v>302</v>
      </c>
      <c r="B101" s="900">
        <f t="shared" si="26"/>
        <v>6.1457551755180135E-3</v>
      </c>
      <c r="C101" s="900">
        <f t="shared" si="27"/>
        <v>3.6405388342611394E-3</v>
      </c>
      <c r="D101" s="900">
        <f t="shared" si="28"/>
        <v>3.721637901781886E-3</v>
      </c>
      <c r="E101" s="900">
        <f t="shared" si="29"/>
        <v>2.7610983929992786E-2</v>
      </c>
      <c r="F101" s="900">
        <f t="shared" si="30"/>
        <v>4.86330670510772E-2</v>
      </c>
      <c r="G101" s="900">
        <f t="shared" si="31"/>
        <v>1.8542607217846548E-3</v>
      </c>
      <c r="H101" s="900">
        <f t="shared" si="32"/>
        <v>6.0127777924662024E-4</v>
      </c>
      <c r="I101" s="986"/>
      <c r="J101" s="986"/>
      <c r="K101" s="986"/>
    </row>
    <row r="102" spans="1:11" x14ac:dyDescent="0.6">
      <c r="A102" s="241" t="s">
        <v>326</v>
      </c>
      <c r="B102" s="900">
        <f t="shared" si="26"/>
        <v>8.1235783994494434E-3</v>
      </c>
      <c r="C102" s="900">
        <f t="shared" si="27"/>
        <v>7.7272359067534185E-2</v>
      </c>
      <c r="D102" s="900">
        <f t="shared" si="28"/>
        <v>3.2558102037959537E-2</v>
      </c>
      <c r="E102" s="900">
        <f t="shared" si="29"/>
        <v>0.15567273711199622</v>
      </c>
      <c r="F102" s="900">
        <f t="shared" si="30"/>
        <v>1.6918399594726189E-2</v>
      </c>
      <c r="G102" s="900">
        <f t="shared" si="31"/>
        <v>3.4116801133880395E-2</v>
      </c>
      <c r="H102" s="900">
        <f t="shared" si="32"/>
        <v>2.9702838002688834E-2</v>
      </c>
      <c r="I102" s="986"/>
      <c r="J102" s="986"/>
      <c r="K102" s="986"/>
    </row>
    <row r="103" spans="1:11" x14ac:dyDescent="0.6">
      <c r="A103" s="241" t="s">
        <v>45</v>
      </c>
      <c r="B103" s="900">
        <f t="shared" si="26"/>
        <v>1</v>
      </c>
      <c r="C103" s="900">
        <f t="shared" si="27"/>
        <v>1</v>
      </c>
      <c r="D103" s="900">
        <f t="shared" si="28"/>
        <v>1</v>
      </c>
      <c r="E103" s="900">
        <f t="shared" si="29"/>
        <v>1</v>
      </c>
      <c r="F103" s="900">
        <f t="shared" si="30"/>
        <v>1</v>
      </c>
      <c r="G103" s="900">
        <f t="shared" si="31"/>
        <v>1</v>
      </c>
      <c r="H103" s="900">
        <f t="shared" si="32"/>
        <v>1</v>
      </c>
      <c r="I103" s="986"/>
      <c r="J103" s="986"/>
      <c r="K103" s="986"/>
    </row>
    <row r="106" spans="1:11" x14ac:dyDescent="0.6">
      <c r="A106" s="604" t="s">
        <v>306</v>
      </c>
      <c r="B106" s="603" t="s">
        <v>78</v>
      </c>
      <c r="C106" s="603" t="s">
        <v>74</v>
      </c>
      <c r="D106" s="603" t="s">
        <v>73</v>
      </c>
      <c r="E106" s="603" t="s">
        <v>72</v>
      </c>
      <c r="F106" s="603" t="s">
        <v>71</v>
      </c>
      <c r="G106" s="603" t="s">
        <v>70</v>
      </c>
      <c r="H106" s="603" t="s">
        <v>69</v>
      </c>
      <c r="I106" s="603" t="s">
        <v>68</v>
      </c>
      <c r="J106" s="603" t="s">
        <v>67</v>
      </c>
      <c r="K106" s="603" t="s">
        <v>66</v>
      </c>
    </row>
    <row r="107" spans="1:11" x14ac:dyDescent="0.6">
      <c r="A107" s="604" t="s">
        <v>196</v>
      </c>
      <c r="B107" s="355">
        <v>0</v>
      </c>
      <c r="C107" s="355">
        <v>0</v>
      </c>
      <c r="D107" s="355">
        <v>0</v>
      </c>
      <c r="E107" s="355">
        <f t="shared" ref="E107:H113" si="33">E86*1000000/E64</f>
        <v>61549132.469938308</v>
      </c>
      <c r="F107" s="355">
        <f t="shared" si="33"/>
        <v>108351611.91590627</v>
      </c>
      <c r="G107" s="355">
        <f t="shared" si="33"/>
        <v>14924453.714657884</v>
      </c>
      <c r="H107" s="355">
        <f t="shared" si="33"/>
        <v>16044317.154054869</v>
      </c>
      <c r="I107" s="355"/>
      <c r="J107" s="355">
        <f>B199</f>
        <v>19525000</v>
      </c>
      <c r="K107" s="355"/>
    </row>
    <row r="108" spans="1:11" x14ac:dyDescent="0.6">
      <c r="A108" s="604" t="s">
        <v>120</v>
      </c>
      <c r="B108" s="355">
        <f t="shared" ref="B108:D113" si="34">B87*1000000/B65</f>
        <v>2847559.2533644447</v>
      </c>
      <c r="C108" s="355">
        <f t="shared" si="34"/>
        <v>253581.93027758444</v>
      </c>
      <c r="D108" s="355">
        <f t="shared" si="34"/>
        <v>7203850.4276329251</v>
      </c>
      <c r="E108" s="355">
        <f t="shared" si="33"/>
        <v>562498.05379618728</v>
      </c>
      <c r="F108" s="355">
        <f t="shared" si="33"/>
        <v>6888198.495426747</v>
      </c>
      <c r="G108" s="355">
        <f t="shared" si="33"/>
        <v>6738534.3959950851</v>
      </c>
      <c r="H108" s="355">
        <f t="shared" si="33"/>
        <v>9366549.1947409846</v>
      </c>
      <c r="I108" s="355"/>
      <c r="J108" s="355">
        <f>B198</f>
        <v>8981500</v>
      </c>
      <c r="K108" s="355"/>
    </row>
    <row r="109" spans="1:11" x14ac:dyDescent="0.6">
      <c r="A109" s="604" t="s">
        <v>329</v>
      </c>
      <c r="B109" s="355">
        <f t="shared" si="34"/>
        <v>10426879.726066485</v>
      </c>
      <c r="C109" s="355">
        <f t="shared" si="34"/>
        <v>78454.3937211788</v>
      </c>
      <c r="D109" s="355">
        <f t="shared" si="34"/>
        <v>20373468.819599111</v>
      </c>
      <c r="E109" s="355">
        <f t="shared" si="33"/>
        <v>8163182.4889326124</v>
      </c>
      <c r="F109" s="355">
        <f t="shared" si="33"/>
        <v>965049283.72512078</v>
      </c>
      <c r="G109" s="355">
        <f t="shared" si="33"/>
        <v>27741931.487331972</v>
      </c>
      <c r="H109" s="355">
        <f t="shared" si="33"/>
        <v>26008995.703544576</v>
      </c>
      <c r="I109" s="355"/>
      <c r="J109" s="355">
        <f>J118*$J$108</f>
        <v>24939792.665856529</v>
      </c>
      <c r="K109" s="355"/>
    </row>
    <row r="110" spans="1:11" x14ac:dyDescent="0.6">
      <c r="A110" s="604" t="s">
        <v>328</v>
      </c>
      <c r="B110" s="355">
        <f t="shared" si="34"/>
        <v>6279994.6077109734</v>
      </c>
      <c r="C110" s="355">
        <f t="shared" si="34"/>
        <v>18762.71337785857</v>
      </c>
      <c r="D110" s="355">
        <f t="shared" si="34"/>
        <v>133664371.77280551</v>
      </c>
      <c r="E110" s="355">
        <f t="shared" si="33"/>
        <v>252393867.9245283</v>
      </c>
      <c r="F110" s="355">
        <f t="shared" si="33"/>
        <v>29155406316.054352</v>
      </c>
      <c r="G110" s="355">
        <f t="shared" si="33"/>
        <v>74868228.404099554</v>
      </c>
      <c r="H110" s="355">
        <f t="shared" si="33"/>
        <v>55737991.266375549</v>
      </c>
      <c r="I110" s="355"/>
      <c r="J110" s="355">
        <f t="shared" ref="J110:J113" si="35">J119*$J$108</f>
        <v>53446659.826441616</v>
      </c>
      <c r="K110" s="355"/>
    </row>
    <row r="111" spans="1:11" x14ac:dyDescent="0.6">
      <c r="A111" s="604" t="s">
        <v>327</v>
      </c>
      <c r="B111" s="355">
        <f t="shared" si="34"/>
        <v>32480842.641029265</v>
      </c>
      <c r="C111" s="355">
        <f t="shared" si="34"/>
        <v>17521.363456675816</v>
      </c>
      <c r="D111" s="355">
        <f t="shared" si="34"/>
        <v>47807739.307535641</v>
      </c>
      <c r="E111" s="355">
        <f t="shared" si="33"/>
        <v>2555002.0755500207</v>
      </c>
      <c r="F111" s="355">
        <f t="shared" si="33"/>
        <v>5881731707.5576382</v>
      </c>
      <c r="G111" s="355">
        <f t="shared" si="33"/>
        <v>73617293.025820091</v>
      </c>
      <c r="H111" s="355">
        <f t="shared" si="33"/>
        <v>93224650.662844852</v>
      </c>
      <c r="I111" s="355"/>
      <c r="J111" s="355">
        <f t="shared" si="35"/>
        <v>89392281.246807143</v>
      </c>
      <c r="K111" s="355"/>
    </row>
    <row r="112" spans="1:11" x14ac:dyDescent="0.6">
      <c r="A112" s="604" t="s">
        <v>302</v>
      </c>
      <c r="B112" s="355">
        <f t="shared" si="34"/>
        <v>7250757.1168988496</v>
      </c>
      <c r="C112" s="355">
        <f t="shared" si="34"/>
        <v>134139.81211250019</v>
      </c>
      <c r="D112" s="355">
        <f t="shared" si="34"/>
        <v>11449830.890642615</v>
      </c>
      <c r="E112" s="355">
        <f t="shared" si="33"/>
        <v>83505422.99349241</v>
      </c>
      <c r="F112" s="355">
        <f t="shared" si="33"/>
        <v>2728687202.505219</v>
      </c>
      <c r="G112" s="355">
        <f t="shared" si="33"/>
        <v>6959274.829217026</v>
      </c>
      <c r="H112" s="355">
        <f t="shared" si="33"/>
        <v>1742174.629324547</v>
      </c>
      <c r="I112" s="355"/>
      <c r="J112" s="355">
        <f t="shared" si="35"/>
        <v>1670555.6238431863</v>
      </c>
      <c r="K112" s="355"/>
    </row>
    <row r="113" spans="1:22" x14ac:dyDescent="0.6">
      <c r="A113" s="604" t="s">
        <v>326</v>
      </c>
      <c r="B113" s="355">
        <f t="shared" si="34"/>
        <v>1271423.4060503796</v>
      </c>
      <c r="C113" s="355">
        <f t="shared" si="34"/>
        <v>283577.29925656249</v>
      </c>
      <c r="D113" s="355">
        <f t="shared" si="34"/>
        <v>3251646.9038208169</v>
      </c>
      <c r="E113" s="355">
        <f t="shared" si="33"/>
        <v>15421849.187316813</v>
      </c>
      <c r="F113" s="355">
        <f t="shared" si="33"/>
        <v>32720646.221379995</v>
      </c>
      <c r="G113" s="355">
        <f t="shared" si="33"/>
        <v>4353214.4101331858</v>
      </c>
      <c r="H113" s="355">
        <f t="shared" si="33"/>
        <v>3819690.7103425586</v>
      </c>
      <c r="I113" s="355"/>
      <c r="J113" s="355">
        <f t="shared" si="35"/>
        <v>3662667.1575273117</v>
      </c>
      <c r="K113" s="355"/>
    </row>
    <row r="114" spans="1:22" x14ac:dyDescent="0.6">
      <c r="A114" s="600"/>
    </row>
    <row r="115" spans="1:22" x14ac:dyDescent="0.6">
      <c r="A115" s="241" t="s">
        <v>306</v>
      </c>
      <c r="B115" s="322" t="s">
        <v>78</v>
      </c>
      <c r="C115" s="322" t="s">
        <v>74</v>
      </c>
      <c r="D115" s="322" t="s">
        <v>73</v>
      </c>
      <c r="E115" s="322" t="s">
        <v>72</v>
      </c>
      <c r="F115" s="322" t="s">
        <v>71</v>
      </c>
      <c r="G115" s="322" t="s">
        <v>70</v>
      </c>
      <c r="H115" s="322" t="s">
        <v>69</v>
      </c>
      <c r="I115" s="322" t="s">
        <v>68</v>
      </c>
      <c r="J115" s="322" t="s">
        <v>67</v>
      </c>
      <c r="K115" s="322" t="s">
        <v>66</v>
      </c>
    </row>
    <row r="116" spans="1:22" x14ac:dyDescent="0.6">
      <c r="A116" s="241" t="s">
        <v>196</v>
      </c>
      <c r="B116" s="900">
        <f>B107/$B$108</f>
        <v>0</v>
      </c>
      <c r="C116" s="900">
        <f>C107/$C$108</f>
        <v>0</v>
      </c>
      <c r="D116" s="900">
        <f>D107/$D$108</f>
        <v>0</v>
      </c>
      <c r="E116" s="900">
        <f>E107/$E$108</f>
        <v>109.42105853443488</v>
      </c>
      <c r="F116" s="900">
        <f>F107/$F$108</f>
        <v>15.730036233398863</v>
      </c>
      <c r="G116" s="900">
        <f>G107/$G$108</f>
        <v>2.2147922437745424</v>
      </c>
      <c r="H116" s="900">
        <f>H107/$H$108</f>
        <v>1.7129379049290892</v>
      </c>
      <c r="I116" s="986"/>
      <c r="J116" s="900">
        <f>H116</f>
        <v>1.7129379049290892</v>
      </c>
      <c r="K116" s="986"/>
    </row>
    <row r="117" spans="1:22" x14ac:dyDescent="0.6">
      <c r="A117" s="241" t="s">
        <v>120</v>
      </c>
      <c r="B117" s="900">
        <f t="shared" ref="B117:B122" si="36">B108/$B$108</f>
        <v>1</v>
      </c>
      <c r="C117" s="900">
        <f t="shared" ref="C117:C122" si="37">C108/$C$108</f>
        <v>1</v>
      </c>
      <c r="D117" s="900">
        <f t="shared" ref="D117:D122" si="38">D108/$D$108</f>
        <v>1</v>
      </c>
      <c r="E117" s="900">
        <f t="shared" ref="E117:E122" si="39">E108/$E$108</f>
        <v>1</v>
      </c>
      <c r="F117" s="900">
        <f t="shared" ref="F117:F122" si="40">F108/$F$108</f>
        <v>1</v>
      </c>
      <c r="G117" s="900">
        <f t="shared" ref="G117:G122" si="41">G108/$G$108</f>
        <v>1</v>
      </c>
      <c r="H117" s="900">
        <f t="shared" ref="H117:H122" si="42">H108/$H$108</f>
        <v>1</v>
      </c>
      <c r="I117" s="986"/>
      <c r="J117" s="900">
        <f t="shared" ref="J117:J122" si="43">H117</f>
        <v>1</v>
      </c>
      <c r="K117" s="986"/>
    </row>
    <row r="118" spans="1:22" x14ac:dyDescent="0.6">
      <c r="A118" s="241" t="s">
        <v>329</v>
      </c>
      <c r="B118" s="900">
        <f t="shared" si="36"/>
        <v>3.6616901698347211</v>
      </c>
      <c r="C118" s="900">
        <f t="shared" si="37"/>
        <v>0.30938479581450617</v>
      </c>
      <c r="D118" s="900">
        <f t="shared" si="38"/>
        <v>2.8281360120206607</v>
      </c>
      <c r="E118" s="900">
        <f t="shared" si="39"/>
        <v>14.512374636393709</v>
      </c>
      <c r="F118" s="900">
        <f t="shared" si="40"/>
        <v>140.10184003347783</v>
      </c>
      <c r="G118" s="900">
        <f t="shared" si="41"/>
        <v>4.1169087901101822</v>
      </c>
      <c r="H118" s="900">
        <f t="shared" si="42"/>
        <v>2.7767959322893203</v>
      </c>
      <c r="I118" s="986"/>
      <c r="J118" s="900">
        <f t="shared" si="43"/>
        <v>2.7767959322893203</v>
      </c>
      <c r="K118" s="986"/>
    </row>
    <row r="119" spans="1:22" x14ac:dyDescent="0.6">
      <c r="A119" s="241" t="s">
        <v>328</v>
      </c>
      <c r="B119" s="900">
        <f t="shared" si="36"/>
        <v>2.2053955858130228</v>
      </c>
      <c r="C119" s="900">
        <f t="shared" si="37"/>
        <v>7.3990734897079982E-2</v>
      </c>
      <c r="D119" s="900">
        <f t="shared" si="38"/>
        <v>18.554573434796531</v>
      </c>
      <c r="E119" s="900">
        <f t="shared" si="39"/>
        <v>448.70176211485955</v>
      </c>
      <c r="F119" s="900">
        <f t="shared" si="40"/>
        <v>4232.6605912142895</v>
      </c>
      <c r="G119" s="900">
        <f t="shared" si="41"/>
        <v>11.110461712356326</v>
      </c>
      <c r="H119" s="900">
        <f t="shared" si="42"/>
        <v>5.9507498554185396</v>
      </c>
      <c r="I119" s="986"/>
      <c r="J119" s="900">
        <f t="shared" si="43"/>
        <v>5.9507498554185396</v>
      </c>
      <c r="K119" s="986"/>
    </row>
    <row r="120" spans="1:22" x14ac:dyDescent="0.6">
      <c r="A120" s="241" t="s">
        <v>327</v>
      </c>
      <c r="B120" s="900">
        <f t="shared" si="36"/>
        <v>11.406555492270281</v>
      </c>
      <c r="C120" s="900">
        <f t="shared" si="37"/>
        <v>6.9095473157318371E-2</v>
      </c>
      <c r="D120" s="900">
        <f t="shared" si="38"/>
        <v>6.6364147601055246</v>
      </c>
      <c r="E120" s="900">
        <f t="shared" si="39"/>
        <v>4.5422416278719915</v>
      </c>
      <c r="F120" s="900">
        <f t="shared" si="40"/>
        <v>853.88533902771121</v>
      </c>
      <c r="G120" s="900">
        <f t="shared" si="41"/>
        <v>10.924822624571462</v>
      </c>
      <c r="H120" s="900">
        <f t="shared" si="42"/>
        <v>9.9529345039032613</v>
      </c>
      <c r="I120" s="986"/>
      <c r="J120" s="900">
        <f t="shared" si="43"/>
        <v>9.9529345039032613</v>
      </c>
      <c r="K120" s="986"/>
    </row>
    <row r="121" spans="1:22" x14ac:dyDescent="0.6">
      <c r="A121" s="241" t="s">
        <v>302</v>
      </c>
      <c r="B121" s="900">
        <f t="shared" si="36"/>
        <v>2.5463059665332493</v>
      </c>
      <c r="C121" s="900">
        <f t="shared" si="37"/>
        <v>0.52898016812816095</v>
      </c>
      <c r="D121" s="900">
        <f t="shared" si="38"/>
        <v>1.5894043061642043</v>
      </c>
      <c r="E121" s="900">
        <f t="shared" si="39"/>
        <v>148.45459896248698</v>
      </c>
      <c r="F121" s="900">
        <f t="shared" si="40"/>
        <v>396.13945566708986</v>
      </c>
      <c r="G121" s="900">
        <f t="shared" si="41"/>
        <v>1.0327579292840197</v>
      </c>
      <c r="H121" s="900">
        <f t="shared" si="42"/>
        <v>0.18599962409877929</v>
      </c>
      <c r="I121" s="986"/>
      <c r="J121" s="900">
        <f t="shared" si="43"/>
        <v>0.18599962409877929</v>
      </c>
      <c r="K121" s="986"/>
    </row>
    <row r="122" spans="1:22" x14ac:dyDescent="0.6">
      <c r="A122" s="241" t="s">
        <v>326</v>
      </c>
      <c r="B122" s="900">
        <f t="shared" si="36"/>
        <v>0.44649585589770224</v>
      </c>
      <c r="C122" s="900">
        <f t="shared" si="37"/>
        <v>1.118286697108676</v>
      </c>
      <c r="D122" s="900">
        <f t="shared" si="38"/>
        <v>0.45137623781692787</v>
      </c>
      <c r="E122" s="900">
        <f t="shared" si="39"/>
        <v>27.416715637037008</v>
      </c>
      <c r="F122" s="900">
        <f t="shared" si="40"/>
        <v>4.750247287894517</v>
      </c>
      <c r="G122" s="900">
        <f t="shared" si="41"/>
        <v>0.64601798467044003</v>
      </c>
      <c r="H122" s="900">
        <f t="shared" si="42"/>
        <v>0.40780127568082297</v>
      </c>
      <c r="I122" s="986"/>
      <c r="J122" s="900">
        <f t="shared" si="43"/>
        <v>0.40780127568082297</v>
      </c>
      <c r="K122" s="986"/>
    </row>
    <row r="124" spans="1:22" x14ac:dyDescent="0.6">
      <c r="A124" s="604" t="s">
        <v>114</v>
      </c>
      <c r="B124" s="603" t="s">
        <v>74</v>
      </c>
      <c r="C124" s="603" t="s">
        <v>73</v>
      </c>
      <c r="D124" s="603" t="s">
        <v>72</v>
      </c>
      <c r="E124" s="603" t="s">
        <v>71</v>
      </c>
      <c r="F124" s="603" t="s">
        <v>70</v>
      </c>
      <c r="G124" s="603" t="s">
        <v>69</v>
      </c>
      <c r="H124" s="603" t="s">
        <v>113</v>
      </c>
      <c r="I124" s="603" t="s">
        <v>68</v>
      </c>
      <c r="J124" s="603" t="s">
        <v>67</v>
      </c>
      <c r="K124" s="603" t="s">
        <v>66</v>
      </c>
    </row>
    <row r="125" spans="1:22" x14ac:dyDescent="0.6">
      <c r="A125" s="604" t="s">
        <v>110</v>
      </c>
      <c r="B125" s="355">
        <v>797694</v>
      </c>
      <c r="C125" s="355">
        <v>208806</v>
      </c>
      <c r="D125" s="355">
        <v>467160</v>
      </c>
      <c r="E125" s="355">
        <v>706664</v>
      </c>
      <c r="F125" s="355">
        <v>965873</v>
      </c>
      <c r="G125" s="355">
        <v>269714</v>
      </c>
      <c r="H125" s="355">
        <v>724551</v>
      </c>
      <c r="I125" s="355"/>
      <c r="J125" s="355">
        <f>H125</f>
        <v>724551</v>
      </c>
      <c r="K125" s="355"/>
    </row>
    <row r="126" spans="1:22" x14ac:dyDescent="0.6">
      <c r="A126" s="604" t="s">
        <v>109</v>
      </c>
      <c r="B126" s="355">
        <v>421745</v>
      </c>
      <c r="C126" s="355">
        <v>105507</v>
      </c>
      <c r="D126" s="355">
        <v>209687</v>
      </c>
      <c r="E126" s="355">
        <v>313535</v>
      </c>
      <c r="F126" s="355">
        <v>438569</v>
      </c>
      <c r="G126" s="355">
        <v>108394</v>
      </c>
      <c r="H126" s="355">
        <v>330174</v>
      </c>
      <c r="I126" s="355"/>
      <c r="J126" s="355">
        <f t="shared" ref="J126:J134" si="44">H126</f>
        <v>330174</v>
      </c>
      <c r="K126" s="355"/>
      <c r="Q126" s="602"/>
      <c r="R126" s="602"/>
      <c r="U126" s="602"/>
      <c r="V126" s="602"/>
    </row>
    <row r="127" spans="1:22" x14ac:dyDescent="0.6">
      <c r="A127" s="604" t="s">
        <v>108</v>
      </c>
      <c r="B127" s="355">
        <v>948760</v>
      </c>
      <c r="C127" s="355">
        <v>250519</v>
      </c>
      <c r="D127" s="355">
        <v>554685</v>
      </c>
      <c r="E127" s="355">
        <v>775828</v>
      </c>
      <c r="F127" s="355">
        <v>1239828</v>
      </c>
      <c r="G127" s="355">
        <v>360331</v>
      </c>
      <c r="H127" s="355">
        <v>1036775</v>
      </c>
      <c r="I127" s="355"/>
      <c r="J127" s="355">
        <f t="shared" si="44"/>
        <v>1036775</v>
      </c>
      <c r="K127" s="355"/>
      <c r="O127" s="602"/>
      <c r="Q127" s="602"/>
      <c r="R127" s="602"/>
      <c r="T127" s="602"/>
      <c r="U127" s="602"/>
      <c r="V127" s="602"/>
    </row>
    <row r="128" spans="1:22" x14ac:dyDescent="0.6">
      <c r="A128" s="604" t="s">
        <v>107</v>
      </c>
      <c r="B128" s="355">
        <v>582247</v>
      </c>
      <c r="C128" s="355">
        <v>230878</v>
      </c>
      <c r="D128" s="355">
        <v>505216</v>
      </c>
      <c r="E128" s="355">
        <v>886135</v>
      </c>
      <c r="F128" s="355">
        <v>1392360</v>
      </c>
      <c r="G128" s="355">
        <v>715252</v>
      </c>
      <c r="H128" s="355">
        <v>3842653</v>
      </c>
      <c r="I128" s="355"/>
      <c r="J128" s="355">
        <f t="shared" si="44"/>
        <v>3842653</v>
      </c>
      <c r="K128" s="355"/>
      <c r="O128" s="602"/>
      <c r="Q128" s="602"/>
      <c r="R128" s="602"/>
      <c r="T128" s="602"/>
      <c r="U128" s="601"/>
      <c r="V128" s="601"/>
    </row>
    <row r="129" spans="1:22" x14ac:dyDescent="0.6">
      <c r="A129" s="604" t="s">
        <v>106</v>
      </c>
      <c r="B129" s="355">
        <v>109</v>
      </c>
      <c r="C129" s="355">
        <v>27</v>
      </c>
      <c r="D129" s="355">
        <v>32</v>
      </c>
      <c r="E129" s="355">
        <v>93</v>
      </c>
      <c r="F129" s="355">
        <v>0</v>
      </c>
      <c r="G129" s="355">
        <v>1002</v>
      </c>
      <c r="H129" s="355">
        <v>3006</v>
      </c>
      <c r="I129" s="355"/>
      <c r="J129" s="355">
        <f t="shared" si="44"/>
        <v>3006</v>
      </c>
      <c r="K129" s="355"/>
      <c r="O129" s="602"/>
      <c r="Q129" s="602"/>
      <c r="R129" s="602"/>
      <c r="T129" s="601"/>
      <c r="U129" s="602"/>
      <c r="V129" s="602"/>
    </row>
    <row r="130" spans="1:22" x14ac:dyDescent="0.6">
      <c r="A130" s="604" t="s">
        <v>105</v>
      </c>
      <c r="B130" s="355">
        <v>0</v>
      </c>
      <c r="C130" s="355">
        <v>0</v>
      </c>
      <c r="D130" s="355">
        <v>0</v>
      </c>
      <c r="E130" s="355">
        <v>0</v>
      </c>
      <c r="F130" s="355">
        <v>0</v>
      </c>
      <c r="G130" s="355">
        <v>0</v>
      </c>
      <c r="H130" s="355">
        <v>0</v>
      </c>
      <c r="I130" s="355"/>
      <c r="J130" s="355">
        <f t="shared" si="44"/>
        <v>0</v>
      </c>
      <c r="K130" s="355"/>
      <c r="O130" s="602"/>
      <c r="Q130" s="601"/>
      <c r="R130" s="601"/>
      <c r="T130" s="602"/>
      <c r="U130" s="601"/>
      <c r="V130" s="601"/>
    </row>
    <row r="131" spans="1:22" x14ac:dyDescent="0.6">
      <c r="A131" s="604" t="s">
        <v>104</v>
      </c>
      <c r="B131" s="355">
        <v>0</v>
      </c>
      <c r="C131" s="355">
        <v>0</v>
      </c>
      <c r="D131" s="355">
        <v>0</v>
      </c>
      <c r="E131" s="355">
        <v>0</v>
      </c>
      <c r="F131" s="355">
        <v>0</v>
      </c>
      <c r="G131" s="355">
        <v>0</v>
      </c>
      <c r="H131" s="355">
        <v>0</v>
      </c>
      <c r="I131" s="355"/>
      <c r="J131" s="355">
        <f t="shared" si="44"/>
        <v>0</v>
      </c>
      <c r="K131" s="355"/>
      <c r="O131" s="601"/>
      <c r="Q131" s="601"/>
      <c r="R131" s="601"/>
      <c r="T131" s="602"/>
      <c r="U131" s="601"/>
      <c r="V131" s="601"/>
    </row>
    <row r="132" spans="1:22" x14ac:dyDescent="0.6">
      <c r="A132" s="604" t="s">
        <v>103</v>
      </c>
      <c r="B132" s="355">
        <v>0</v>
      </c>
      <c r="C132" s="355">
        <v>0</v>
      </c>
      <c r="D132" s="355">
        <v>0</v>
      </c>
      <c r="E132" s="355">
        <v>0</v>
      </c>
      <c r="F132" s="355">
        <v>0</v>
      </c>
      <c r="G132" s="355">
        <v>0</v>
      </c>
      <c r="H132" s="355">
        <v>0</v>
      </c>
      <c r="I132" s="355"/>
      <c r="J132" s="355">
        <f t="shared" si="44"/>
        <v>0</v>
      </c>
      <c r="K132" s="355"/>
      <c r="O132" s="601"/>
      <c r="Q132" s="601"/>
      <c r="R132" s="601"/>
      <c r="T132" s="601"/>
      <c r="U132" s="601"/>
      <c r="V132" s="601"/>
    </row>
    <row r="133" spans="1:22" x14ac:dyDescent="0.6">
      <c r="A133" s="604" t="s">
        <v>102</v>
      </c>
      <c r="B133" s="355">
        <v>106030</v>
      </c>
      <c r="C133" s="355">
        <v>28766</v>
      </c>
      <c r="D133" s="355">
        <v>95895</v>
      </c>
      <c r="E133" s="355">
        <v>191432</v>
      </c>
      <c r="F133" s="355">
        <v>307326</v>
      </c>
      <c r="G133" s="355">
        <v>80478</v>
      </c>
      <c r="H133" s="355">
        <v>288313</v>
      </c>
      <c r="I133" s="355"/>
      <c r="J133" s="355">
        <f t="shared" si="44"/>
        <v>288313</v>
      </c>
      <c r="K133" s="355"/>
      <c r="O133" s="601"/>
      <c r="Q133" s="601"/>
      <c r="R133" s="601"/>
      <c r="T133" s="601"/>
      <c r="U133" s="601"/>
      <c r="V133" s="601"/>
    </row>
    <row r="134" spans="1:22" x14ac:dyDescent="0.6">
      <c r="A134" s="604" t="s">
        <v>101</v>
      </c>
      <c r="B134" s="355">
        <v>256184</v>
      </c>
      <c r="C134" s="355">
        <v>73263</v>
      </c>
      <c r="D134" s="355">
        <v>159456</v>
      </c>
      <c r="E134" s="355">
        <v>239502</v>
      </c>
      <c r="F134" s="355">
        <v>305260</v>
      </c>
      <c r="G134" s="355">
        <v>88583</v>
      </c>
      <c r="H134" s="355">
        <v>613452</v>
      </c>
      <c r="I134" s="355"/>
      <c r="J134" s="355">
        <f t="shared" si="44"/>
        <v>613452</v>
      </c>
      <c r="K134" s="355"/>
      <c r="O134" s="601"/>
      <c r="Q134" s="602"/>
      <c r="R134" s="602"/>
      <c r="T134" s="601"/>
      <c r="U134" s="602"/>
      <c r="V134" s="602"/>
    </row>
    <row r="135" spans="1:22" x14ac:dyDescent="0.6">
      <c r="A135" s="604" t="s">
        <v>100</v>
      </c>
      <c r="B135" s="355">
        <v>3112769</v>
      </c>
      <c r="C135" s="355">
        <v>897820</v>
      </c>
      <c r="D135" s="355">
        <v>1992131</v>
      </c>
      <c r="E135" s="355">
        <v>3113189</v>
      </c>
      <c r="F135" s="355">
        <v>4649216</v>
      </c>
      <c r="G135" s="355">
        <v>1623754</v>
      </c>
      <c r="H135" s="355">
        <v>6838924</v>
      </c>
      <c r="I135" s="355"/>
      <c r="J135" s="355">
        <f>SUM(J125:J134)</f>
        <v>6838924</v>
      </c>
      <c r="K135" s="355">
        <f>J135+G135</f>
        <v>8462678</v>
      </c>
      <c r="O135" s="602"/>
      <c r="Q135" s="602"/>
      <c r="R135" s="602"/>
      <c r="T135" s="602"/>
      <c r="U135" s="602"/>
      <c r="V135" s="602"/>
    </row>
    <row r="136" spans="1:22" x14ac:dyDescent="0.6">
      <c r="O136" s="602"/>
      <c r="Q136" s="602"/>
      <c r="R136" s="602"/>
      <c r="T136" s="602"/>
      <c r="U136" s="602"/>
      <c r="V136" s="602"/>
    </row>
    <row r="137" spans="1:22" x14ac:dyDescent="0.6">
      <c r="O137" s="602"/>
      <c r="Q137" s="602"/>
      <c r="R137" s="602"/>
      <c r="T137" s="602"/>
    </row>
    <row r="138" spans="1:22" x14ac:dyDescent="0.6">
      <c r="A138" s="604" t="s">
        <v>112</v>
      </c>
      <c r="B138" s="603" t="s">
        <v>74</v>
      </c>
      <c r="C138" s="603" t="s">
        <v>73</v>
      </c>
      <c r="D138" s="603" t="s">
        <v>72</v>
      </c>
      <c r="E138" s="603" t="s">
        <v>71</v>
      </c>
      <c r="F138" s="603" t="s">
        <v>70</v>
      </c>
      <c r="G138" s="603" t="s">
        <v>69</v>
      </c>
      <c r="H138" s="603" t="s">
        <v>113</v>
      </c>
      <c r="I138" s="603" t="s">
        <v>68</v>
      </c>
      <c r="J138" s="603" t="s">
        <v>67</v>
      </c>
      <c r="K138" s="603" t="s">
        <v>66</v>
      </c>
    </row>
    <row r="139" spans="1:22" x14ac:dyDescent="0.6">
      <c r="A139" s="604" t="s">
        <v>110</v>
      </c>
      <c r="B139" s="355">
        <v>96939</v>
      </c>
      <c r="C139" s="355">
        <v>19763</v>
      </c>
      <c r="D139" s="355">
        <v>52857</v>
      </c>
      <c r="E139" s="355">
        <v>78968</v>
      </c>
      <c r="F139" s="355">
        <v>121363</v>
      </c>
      <c r="G139" s="355">
        <v>40578</v>
      </c>
      <c r="H139" s="355">
        <v>99887</v>
      </c>
      <c r="I139" s="355"/>
      <c r="J139" s="355">
        <f>H139</f>
        <v>99887</v>
      </c>
      <c r="K139" s="355"/>
    </row>
    <row r="140" spans="1:22" x14ac:dyDescent="0.6">
      <c r="A140" s="604" t="s">
        <v>109</v>
      </c>
      <c r="B140" s="355">
        <v>8273</v>
      </c>
      <c r="C140" s="355">
        <v>1212</v>
      </c>
      <c r="D140" s="355">
        <v>4330</v>
      </c>
      <c r="E140" s="355">
        <v>5607</v>
      </c>
      <c r="F140" s="355">
        <v>8643</v>
      </c>
      <c r="G140" s="355">
        <v>1185</v>
      </c>
      <c r="H140" s="355">
        <v>10050</v>
      </c>
      <c r="I140" s="355"/>
      <c r="J140" s="355">
        <f t="shared" ref="J140:J149" si="45">H140</f>
        <v>10050</v>
      </c>
      <c r="K140" s="355"/>
    </row>
    <row r="141" spans="1:22" x14ac:dyDescent="0.6">
      <c r="A141" s="604" t="s">
        <v>108</v>
      </c>
      <c r="B141" s="355">
        <v>539</v>
      </c>
      <c r="C141" s="355">
        <v>55</v>
      </c>
      <c r="D141" s="355">
        <v>394</v>
      </c>
      <c r="E141" s="355">
        <v>731</v>
      </c>
      <c r="F141" s="355">
        <v>724</v>
      </c>
      <c r="G141" s="355">
        <v>210</v>
      </c>
      <c r="H141" s="355">
        <v>731</v>
      </c>
      <c r="I141" s="355"/>
      <c r="J141" s="355">
        <f t="shared" si="45"/>
        <v>731</v>
      </c>
      <c r="K141" s="355"/>
    </row>
    <row r="142" spans="1:22" x14ac:dyDescent="0.6">
      <c r="A142" s="604" t="s">
        <v>107</v>
      </c>
      <c r="B142" s="355">
        <v>15472</v>
      </c>
      <c r="C142" s="355">
        <v>1003</v>
      </c>
      <c r="D142" s="355">
        <v>2352</v>
      </c>
      <c r="E142" s="355">
        <v>3705</v>
      </c>
      <c r="F142" s="355">
        <v>7280</v>
      </c>
      <c r="G142" s="355">
        <v>1485</v>
      </c>
      <c r="H142" s="355">
        <v>12676</v>
      </c>
      <c r="I142" s="355"/>
      <c r="J142" s="355">
        <f t="shared" si="45"/>
        <v>12676</v>
      </c>
      <c r="K142" s="355"/>
    </row>
    <row r="143" spans="1:22" x14ac:dyDescent="0.6">
      <c r="A143" s="604" t="s">
        <v>106</v>
      </c>
      <c r="B143" s="355">
        <v>956</v>
      </c>
      <c r="C143" s="355">
        <v>526</v>
      </c>
      <c r="D143" s="355">
        <v>955</v>
      </c>
      <c r="E143" s="355">
        <v>955</v>
      </c>
      <c r="F143" s="355">
        <v>1009</v>
      </c>
      <c r="G143" s="355">
        <v>354</v>
      </c>
      <c r="H143" s="355">
        <v>1062</v>
      </c>
      <c r="I143" s="355"/>
      <c r="J143" s="355">
        <f t="shared" si="45"/>
        <v>1062</v>
      </c>
      <c r="K143" s="355"/>
    </row>
    <row r="144" spans="1:22" x14ac:dyDescent="0.6">
      <c r="A144" s="604" t="s">
        <v>105</v>
      </c>
      <c r="B144" s="355">
        <v>0</v>
      </c>
      <c r="C144" s="355">
        <v>0</v>
      </c>
      <c r="D144" s="355">
        <v>0</v>
      </c>
      <c r="E144" s="355">
        <v>0</v>
      </c>
      <c r="F144" s="355">
        <v>0</v>
      </c>
      <c r="G144" s="355">
        <v>0</v>
      </c>
      <c r="H144" s="355">
        <v>0</v>
      </c>
      <c r="I144" s="355"/>
      <c r="J144" s="355">
        <f t="shared" si="45"/>
        <v>0</v>
      </c>
      <c r="K144" s="355"/>
    </row>
    <row r="145" spans="1:22" x14ac:dyDescent="0.6">
      <c r="A145" s="604" t="s">
        <v>104</v>
      </c>
      <c r="B145" s="355">
        <v>0</v>
      </c>
      <c r="C145" s="355">
        <v>0</v>
      </c>
      <c r="D145" s="355">
        <v>0</v>
      </c>
      <c r="E145" s="355">
        <v>0</v>
      </c>
      <c r="F145" s="355">
        <v>0</v>
      </c>
      <c r="G145" s="355">
        <v>0</v>
      </c>
      <c r="H145" s="355">
        <v>0</v>
      </c>
      <c r="I145" s="355"/>
      <c r="J145" s="355">
        <f t="shared" si="45"/>
        <v>0</v>
      </c>
      <c r="K145" s="355"/>
    </row>
    <row r="146" spans="1:22" x14ac:dyDescent="0.6">
      <c r="A146" s="604" t="s">
        <v>103</v>
      </c>
      <c r="B146" s="355">
        <v>907</v>
      </c>
      <c r="C146" s="355">
        <v>0</v>
      </c>
      <c r="D146" s="355">
        <v>0</v>
      </c>
      <c r="E146" s="355">
        <v>0</v>
      </c>
      <c r="F146" s="355">
        <v>0</v>
      </c>
      <c r="G146" s="355">
        <v>0</v>
      </c>
      <c r="H146" s="355">
        <v>0</v>
      </c>
      <c r="I146" s="355"/>
      <c r="J146" s="355">
        <f t="shared" si="45"/>
        <v>0</v>
      </c>
      <c r="K146" s="355"/>
    </row>
    <row r="147" spans="1:22" x14ac:dyDescent="0.6">
      <c r="A147" s="604" t="s">
        <v>102</v>
      </c>
      <c r="B147" s="355">
        <v>10144</v>
      </c>
      <c r="C147" s="355">
        <v>240</v>
      </c>
      <c r="D147" s="355">
        <v>362</v>
      </c>
      <c r="E147" s="355">
        <v>579</v>
      </c>
      <c r="F147" s="355">
        <v>865</v>
      </c>
      <c r="G147" s="355">
        <v>930</v>
      </c>
      <c r="H147" s="355">
        <v>195</v>
      </c>
      <c r="I147" s="355"/>
      <c r="J147" s="355">
        <f t="shared" si="45"/>
        <v>195</v>
      </c>
      <c r="K147" s="355"/>
    </row>
    <row r="148" spans="1:22" x14ac:dyDescent="0.6">
      <c r="A148" s="604" t="s">
        <v>101</v>
      </c>
      <c r="B148" s="355">
        <v>66878</v>
      </c>
      <c r="C148" s="355">
        <v>20878</v>
      </c>
      <c r="D148" s="355">
        <v>30882</v>
      </c>
      <c r="E148" s="355">
        <v>59077</v>
      </c>
      <c r="F148" s="355">
        <v>80590</v>
      </c>
      <c r="G148" s="355">
        <v>32056</v>
      </c>
      <c r="H148" s="355">
        <v>89565</v>
      </c>
      <c r="I148" s="355"/>
      <c r="J148" s="355">
        <f t="shared" si="45"/>
        <v>89565</v>
      </c>
      <c r="K148" s="355"/>
    </row>
    <row r="149" spans="1:22" x14ac:dyDescent="0.6">
      <c r="A149" s="604" t="s">
        <v>100</v>
      </c>
      <c r="B149" s="355">
        <v>200108</v>
      </c>
      <c r="C149" s="355">
        <v>43677</v>
      </c>
      <c r="D149" s="355">
        <v>92132</v>
      </c>
      <c r="E149" s="355">
        <v>149622</v>
      </c>
      <c r="F149" s="355">
        <v>220474</v>
      </c>
      <c r="G149" s="355">
        <v>76798</v>
      </c>
      <c r="H149" s="355">
        <v>214166</v>
      </c>
      <c r="I149" s="355"/>
      <c r="J149" s="355">
        <f t="shared" si="45"/>
        <v>214166</v>
      </c>
      <c r="K149" s="355">
        <f>J149+H149</f>
        <v>428332</v>
      </c>
    </row>
    <row r="152" spans="1:22" x14ac:dyDescent="0.6">
      <c r="A152" s="604" t="s">
        <v>99</v>
      </c>
      <c r="B152" s="603" t="s">
        <v>81</v>
      </c>
      <c r="C152" s="603" t="s">
        <v>80</v>
      </c>
      <c r="D152" s="603" t="s">
        <v>79</v>
      </c>
      <c r="E152" s="603" t="s">
        <v>78</v>
      </c>
      <c r="F152" s="603" t="s">
        <v>77</v>
      </c>
      <c r="G152" s="603" t="s">
        <v>76</v>
      </c>
      <c r="H152" s="603" t="s">
        <v>75</v>
      </c>
      <c r="I152" s="603" t="s">
        <v>74</v>
      </c>
      <c r="J152" s="603" t="s">
        <v>73</v>
      </c>
      <c r="K152" s="603" t="s">
        <v>72</v>
      </c>
      <c r="L152" s="603" t="s">
        <v>71</v>
      </c>
      <c r="M152" s="603" t="s">
        <v>70</v>
      </c>
      <c r="N152" s="603" t="s">
        <v>69</v>
      </c>
      <c r="O152" s="603" t="s">
        <v>68</v>
      </c>
      <c r="P152" s="603" t="s">
        <v>67</v>
      </c>
      <c r="Q152" s="603" t="s">
        <v>66</v>
      </c>
    </row>
    <row r="153" spans="1:22" x14ac:dyDescent="0.6">
      <c r="A153" s="604" t="s">
        <v>98</v>
      </c>
      <c r="B153" s="329">
        <v>6745399</v>
      </c>
      <c r="C153" s="329">
        <v>10367602</v>
      </c>
      <c r="D153" s="329">
        <v>7335684</v>
      </c>
      <c r="E153" s="329">
        <v>9023286</v>
      </c>
      <c r="F153" s="329">
        <v>2596756</v>
      </c>
      <c r="G153" s="329">
        <v>5211721</v>
      </c>
      <c r="H153" s="329">
        <v>7806262</v>
      </c>
      <c r="I153" s="329">
        <v>13399792</v>
      </c>
      <c r="J153" s="329">
        <v>4499027</v>
      </c>
      <c r="K153" s="329">
        <v>10618167</v>
      </c>
      <c r="L153" s="329">
        <v>17069432</v>
      </c>
      <c r="M153" s="329">
        <v>26226686</v>
      </c>
      <c r="N153" s="329">
        <v>7459144</v>
      </c>
      <c r="O153" s="329"/>
      <c r="P153" s="329">
        <f>P24</f>
        <v>25466325.062296815</v>
      </c>
      <c r="Q153" s="329">
        <f>P153+N153</f>
        <v>32925469.062296815</v>
      </c>
    </row>
    <row r="154" spans="1:22" x14ac:dyDescent="0.6">
      <c r="A154" s="604" t="s">
        <v>97</v>
      </c>
      <c r="B154" s="329">
        <v>-6145168</v>
      </c>
      <c r="C154" s="329">
        <v>-9609201</v>
      </c>
      <c r="D154" s="329">
        <v>-7247523</v>
      </c>
      <c r="E154" s="329">
        <v>-7347203</v>
      </c>
      <c r="F154" s="329">
        <v>-2172755</v>
      </c>
      <c r="G154" s="329">
        <v>-4304666</v>
      </c>
      <c r="H154" s="329">
        <v>-6374383</v>
      </c>
      <c r="I154" s="329">
        <v>-10156597</v>
      </c>
      <c r="J154" s="329">
        <v>-3205413</v>
      </c>
      <c r="K154" s="329">
        <v>-6906238</v>
      </c>
      <c r="L154" s="329">
        <v>-11411508</v>
      </c>
      <c r="M154" s="329">
        <v>-18512391</v>
      </c>
      <c r="N154" s="329">
        <v>-4923886</v>
      </c>
      <c r="O154" s="329"/>
      <c r="P154" s="329">
        <f>-J60</f>
        <v>-20114595.853640653</v>
      </c>
      <c r="Q154" s="329">
        <f>P154+N154</f>
        <v>-25038481.853640653</v>
      </c>
    </row>
    <row r="155" spans="1:22" x14ac:dyDescent="0.6">
      <c r="A155" s="604" t="s">
        <v>96</v>
      </c>
      <c r="B155" s="329">
        <v>600231</v>
      </c>
      <c r="C155" s="329">
        <v>758401</v>
      </c>
      <c r="D155" s="329">
        <v>88161</v>
      </c>
      <c r="E155" s="329">
        <v>1676083</v>
      </c>
      <c r="F155" s="329">
        <v>424001</v>
      </c>
      <c r="G155" s="329">
        <v>907055</v>
      </c>
      <c r="H155" s="329">
        <v>1431879</v>
      </c>
      <c r="I155" s="329">
        <v>3243195</v>
      </c>
      <c r="J155" s="329">
        <v>1293614</v>
      </c>
      <c r="K155" s="329">
        <v>3711929</v>
      </c>
      <c r="L155" s="329">
        <v>5657924</v>
      </c>
      <c r="M155" s="329">
        <v>7714295</v>
      </c>
      <c r="N155" s="329">
        <v>2535258</v>
      </c>
      <c r="O155" s="329"/>
      <c r="P155" s="329">
        <f>SUM(P153:P154)</f>
        <v>5351729.208656162</v>
      </c>
      <c r="Q155" s="329">
        <f>SUM(Q153:Q154)</f>
        <v>7886987.208656162</v>
      </c>
    </row>
    <row r="156" spans="1:22" x14ac:dyDescent="0.6">
      <c r="A156" s="604" t="s">
        <v>95</v>
      </c>
      <c r="B156" s="329">
        <v>-82180</v>
      </c>
      <c r="C156" s="329">
        <v>-101018</v>
      </c>
      <c r="D156" s="329">
        <v>-143102</v>
      </c>
      <c r="E156" s="329">
        <v>-136043</v>
      </c>
      <c r="F156" s="329">
        <v>-37474</v>
      </c>
      <c r="G156" s="329">
        <v>-75579</v>
      </c>
      <c r="H156" s="329">
        <v>-108982</v>
      </c>
      <c r="I156" s="329">
        <v>-200108</v>
      </c>
      <c r="J156" s="329">
        <v>-43677</v>
      </c>
      <c r="K156" s="329">
        <v>-92132</v>
      </c>
      <c r="L156" s="329">
        <v>-149622</v>
      </c>
      <c r="M156" s="329">
        <v>-230474</v>
      </c>
      <c r="N156" s="329">
        <v>-76917</v>
      </c>
      <c r="O156" s="329"/>
      <c r="P156" s="329">
        <f>-J149</f>
        <v>-214166</v>
      </c>
      <c r="Q156" s="329">
        <f>P156+N156</f>
        <v>-291083</v>
      </c>
    </row>
    <row r="157" spans="1:22" x14ac:dyDescent="0.6">
      <c r="A157" s="604" t="s">
        <v>94</v>
      </c>
      <c r="B157" s="329">
        <v>-61363</v>
      </c>
      <c r="C157" s="329">
        <v>-119749</v>
      </c>
      <c r="D157" s="329">
        <v>55863</v>
      </c>
      <c r="E157" s="329">
        <v>50582</v>
      </c>
      <c r="F157" s="329">
        <v>16508</v>
      </c>
      <c r="G157" s="329">
        <v>51507</v>
      </c>
      <c r="H157" s="329">
        <v>123121</v>
      </c>
      <c r="I157" s="329">
        <v>169028</v>
      </c>
      <c r="J157" s="329">
        <v>67238</v>
      </c>
      <c r="K157" s="329">
        <v>156266</v>
      </c>
      <c r="L157" s="329">
        <v>219113</v>
      </c>
      <c r="M157" s="329">
        <v>308241</v>
      </c>
      <c r="N157" s="329">
        <v>209590</v>
      </c>
      <c r="O157" s="329"/>
      <c r="P157" s="329">
        <f>Q157-N157</f>
        <v>98651</v>
      </c>
      <c r="Q157" s="329">
        <f>M157</f>
        <v>308241</v>
      </c>
    </row>
    <row r="158" spans="1:22" x14ac:dyDescent="0.6">
      <c r="A158" s="604" t="s">
        <v>93</v>
      </c>
      <c r="B158" s="329">
        <v>-143543</v>
      </c>
      <c r="C158" s="329">
        <v>-220767</v>
      </c>
      <c r="D158" s="329">
        <v>-87239</v>
      </c>
      <c r="E158" s="329">
        <v>-681</v>
      </c>
      <c r="F158" s="329">
        <v>0</v>
      </c>
      <c r="G158" s="329">
        <v>-41</v>
      </c>
      <c r="H158" s="329">
        <v>0</v>
      </c>
      <c r="I158" s="329">
        <v>-8515</v>
      </c>
      <c r="J158" s="329">
        <v>0</v>
      </c>
      <c r="K158" s="329">
        <v>-54509</v>
      </c>
      <c r="L158" s="329">
        <v>-59316</v>
      </c>
      <c r="M158" s="329">
        <v>0</v>
      </c>
      <c r="N158" s="329">
        <v>-9683</v>
      </c>
      <c r="O158" s="329"/>
      <c r="P158" s="329">
        <f>Q158-N158</f>
        <v>-49633</v>
      </c>
      <c r="Q158" s="329">
        <f>L158</f>
        <v>-59316</v>
      </c>
      <c r="U158" s="602"/>
      <c r="V158" s="601"/>
    </row>
    <row r="159" spans="1:22" x14ac:dyDescent="0.6">
      <c r="A159" s="604" t="s">
        <v>92</v>
      </c>
      <c r="B159" s="329">
        <v>456688</v>
      </c>
      <c r="C159" s="329">
        <v>537634</v>
      </c>
      <c r="D159" s="329">
        <v>922</v>
      </c>
      <c r="E159" s="329">
        <v>1589941</v>
      </c>
      <c r="F159" s="329">
        <v>403035</v>
      </c>
      <c r="G159" s="329">
        <v>882942</v>
      </c>
      <c r="H159" s="329">
        <v>1446018</v>
      </c>
      <c r="I159" s="329">
        <v>3203600</v>
      </c>
      <c r="J159" s="329">
        <v>1317175</v>
      </c>
      <c r="K159" s="329">
        <v>3721554</v>
      </c>
      <c r="L159" s="329">
        <v>5668099</v>
      </c>
      <c r="M159" s="329">
        <v>7792062</v>
      </c>
      <c r="N159" s="329">
        <v>2658248</v>
      </c>
      <c r="O159" s="329"/>
      <c r="P159" s="329">
        <f>SUM(P155:P158)</f>
        <v>5186581.208656162</v>
      </c>
      <c r="Q159" s="329">
        <f>SUM(Q155:Q158)</f>
        <v>7844829.208656162</v>
      </c>
      <c r="U159" s="602"/>
      <c r="V159" s="601"/>
    </row>
    <row r="160" spans="1:22" x14ac:dyDescent="0.6">
      <c r="A160" s="604" t="s">
        <v>91</v>
      </c>
      <c r="B160" s="329">
        <v>-200535</v>
      </c>
      <c r="C160" s="329">
        <v>-529579</v>
      </c>
      <c r="D160" s="329">
        <v>-387841</v>
      </c>
      <c r="E160" s="329">
        <v>-224302</v>
      </c>
      <c r="F160" s="329">
        <v>-42672</v>
      </c>
      <c r="G160" s="329">
        <v>-86262</v>
      </c>
      <c r="H160" s="329">
        <v>-125894</v>
      </c>
      <c r="I160" s="329">
        <v>-428340</v>
      </c>
      <c r="J160" s="329">
        <v>-56774</v>
      </c>
      <c r="K160" s="329">
        <v>-87918</v>
      </c>
      <c r="L160" s="329">
        <v>-112940</v>
      </c>
      <c r="M160" s="329">
        <v>-602758</v>
      </c>
      <c r="N160" s="329">
        <v>-74252</v>
      </c>
      <c r="O160" s="329"/>
      <c r="P160" s="329">
        <f>Q160-N160</f>
        <v>-528506</v>
      </c>
      <c r="Q160" s="329">
        <f>M160</f>
        <v>-602758</v>
      </c>
      <c r="U160" s="602"/>
      <c r="V160" s="601"/>
    </row>
    <row r="161" spans="1:26" x14ac:dyDescent="0.6">
      <c r="A161" s="604" t="s">
        <v>89</v>
      </c>
      <c r="B161" s="329">
        <v>0</v>
      </c>
      <c r="C161" s="329">
        <v>0</v>
      </c>
      <c r="D161" s="329">
        <v>0</v>
      </c>
      <c r="E161" s="329">
        <v>0</v>
      </c>
      <c r="F161" s="329">
        <v>0</v>
      </c>
      <c r="G161" s="329">
        <v>0</v>
      </c>
      <c r="H161" s="329">
        <v>0</v>
      </c>
      <c r="I161" s="329">
        <v>290789</v>
      </c>
      <c r="J161" s="329">
        <v>14595</v>
      </c>
      <c r="K161" s="329">
        <v>91458</v>
      </c>
      <c r="L161" s="329">
        <v>253051</v>
      </c>
      <c r="M161" s="329">
        <v>466403</v>
      </c>
      <c r="N161" s="329">
        <v>145193</v>
      </c>
      <c r="O161" s="329"/>
      <c r="P161" s="329">
        <f>Q161-N161</f>
        <v>321210</v>
      </c>
      <c r="Q161" s="329">
        <f>M161</f>
        <v>466403</v>
      </c>
      <c r="U161" s="602"/>
      <c r="V161" s="601"/>
    </row>
    <row r="162" spans="1:26" x14ac:dyDescent="0.6">
      <c r="A162" s="604" t="s">
        <v>88</v>
      </c>
      <c r="B162" s="329">
        <v>-437550</v>
      </c>
      <c r="C162" s="329">
        <v>996395</v>
      </c>
      <c r="D162" s="329">
        <v>-759620</v>
      </c>
      <c r="E162" s="329">
        <v>-424356</v>
      </c>
      <c r="F162" s="329">
        <v>-245221</v>
      </c>
      <c r="G162" s="329">
        <v>-920321</v>
      </c>
      <c r="H162" s="329">
        <v>-1437539</v>
      </c>
      <c r="I162" s="329">
        <v>-303251</v>
      </c>
      <c r="J162" s="329">
        <v>-32011</v>
      </c>
      <c r="K162" s="329">
        <v>33954</v>
      </c>
      <c r="L162" s="329">
        <v>62857</v>
      </c>
      <c r="M162" s="329">
        <v>-985983</v>
      </c>
      <c r="N162" s="329">
        <v>-699329</v>
      </c>
      <c r="O162" s="329"/>
      <c r="P162" s="329">
        <f>Q162-N162</f>
        <v>-286654</v>
      </c>
      <c r="Q162" s="329">
        <f>M162</f>
        <v>-985983</v>
      </c>
      <c r="U162" s="602"/>
    </row>
    <row r="163" spans="1:26" x14ac:dyDescent="0.6">
      <c r="A163" s="604" t="s">
        <v>87</v>
      </c>
      <c r="B163" s="329">
        <v>-181397</v>
      </c>
      <c r="C163" s="329">
        <v>1004450</v>
      </c>
      <c r="D163" s="329">
        <v>-1146539</v>
      </c>
      <c r="E163" s="329">
        <v>941283</v>
      </c>
      <c r="F163" s="329">
        <v>115142</v>
      </c>
      <c r="G163" s="329">
        <v>-123641</v>
      </c>
      <c r="H163" s="329">
        <v>-117415</v>
      </c>
      <c r="I163" s="329">
        <v>2762798</v>
      </c>
      <c r="J163" s="329">
        <v>1242985</v>
      </c>
      <c r="K163" s="329">
        <v>3759048</v>
      </c>
      <c r="L163" s="329">
        <v>5871067</v>
      </c>
      <c r="M163" s="329">
        <v>6669724</v>
      </c>
      <c r="N163" s="329">
        <v>2029860</v>
      </c>
      <c r="O163" s="329"/>
      <c r="P163" s="329">
        <f>SUM(P159:P162)</f>
        <v>4692631.208656162</v>
      </c>
      <c r="Q163" s="329">
        <f>SUM(Q159:Q162)</f>
        <v>6722491.208656162</v>
      </c>
      <c r="U163" s="602"/>
      <c r="V163" s="601"/>
    </row>
    <row r="164" spans="1:26" x14ac:dyDescent="0.6">
      <c r="A164" s="604" t="s">
        <v>83</v>
      </c>
      <c r="B164" s="329">
        <v>0</v>
      </c>
      <c r="C164" s="329">
        <v>0</v>
      </c>
      <c r="D164" s="329">
        <v>0</v>
      </c>
      <c r="E164" s="329">
        <v>0</v>
      </c>
      <c r="F164" s="329">
        <v>0</v>
      </c>
      <c r="G164" s="329">
        <v>0</v>
      </c>
      <c r="H164" s="329">
        <v>0</v>
      </c>
      <c r="I164" s="329">
        <v>-87310</v>
      </c>
      <c r="J164" s="329">
        <v>0</v>
      </c>
      <c r="K164" s="329">
        <v>0</v>
      </c>
      <c r="L164" s="329">
        <v>0</v>
      </c>
      <c r="M164" s="329">
        <v>-6958</v>
      </c>
      <c r="N164" s="329">
        <v>0</v>
      </c>
      <c r="O164" s="329"/>
      <c r="P164" s="329">
        <v>0</v>
      </c>
      <c r="Q164" s="329">
        <v>0</v>
      </c>
      <c r="U164" s="602"/>
      <c r="V164" s="601"/>
    </row>
    <row r="165" spans="1:26" x14ac:dyDescent="0.6">
      <c r="A165" s="604" t="s">
        <v>325</v>
      </c>
      <c r="B165" s="329">
        <v>-181397</v>
      </c>
      <c r="C165" s="329">
        <v>1004450</v>
      </c>
      <c r="D165" s="329">
        <v>-1146539</v>
      </c>
      <c r="E165" s="329">
        <v>941283</v>
      </c>
      <c r="F165" s="329">
        <v>115142</v>
      </c>
      <c r="G165" s="329">
        <v>-123641</v>
      </c>
      <c r="H165" s="329">
        <v>-117415</v>
      </c>
      <c r="I165" s="329">
        <v>2675488</v>
      </c>
      <c r="J165" s="329">
        <v>1242985</v>
      </c>
      <c r="K165" s="329">
        <v>3759048</v>
      </c>
      <c r="L165" s="329">
        <v>5871067</v>
      </c>
      <c r="M165" s="329">
        <v>6662766</v>
      </c>
      <c r="N165" s="329">
        <v>2029860</v>
      </c>
      <c r="O165" s="329"/>
      <c r="P165" s="329">
        <f>P163</f>
        <v>4692631.208656162</v>
      </c>
      <c r="Q165" s="329">
        <f>Q163</f>
        <v>6722491.208656162</v>
      </c>
      <c r="U165" s="602"/>
      <c r="V165" s="601"/>
    </row>
    <row r="166" spans="1:26" x14ac:dyDescent="0.6">
      <c r="A166" s="604" t="s">
        <v>85</v>
      </c>
      <c r="B166" s="329">
        <v>-91</v>
      </c>
      <c r="C166" s="329">
        <v>504</v>
      </c>
      <c r="D166" s="329">
        <v>-575</v>
      </c>
      <c r="E166" s="329">
        <v>314</v>
      </c>
      <c r="F166" s="329">
        <v>38</v>
      </c>
      <c r="G166" s="329">
        <v>-41</v>
      </c>
      <c r="H166" s="329">
        <v>-39</v>
      </c>
      <c r="I166" s="329">
        <v>893</v>
      </c>
      <c r="J166" s="329">
        <v>207</v>
      </c>
      <c r="K166" s="329">
        <v>940</v>
      </c>
      <c r="L166" s="329">
        <v>1468</v>
      </c>
      <c r="M166" s="329">
        <v>1110</v>
      </c>
      <c r="N166" s="329">
        <v>338</v>
      </c>
      <c r="O166" s="329"/>
      <c r="P166" s="329">
        <f>P165*1000/P167</f>
        <v>782.10520144269367</v>
      </c>
      <c r="Q166" s="329">
        <f>Q165*1000/Q167</f>
        <v>1120.4152014426936</v>
      </c>
      <c r="U166" s="602"/>
    </row>
    <row r="167" spans="1:26" x14ac:dyDescent="0.6">
      <c r="A167" s="604" t="s">
        <v>84</v>
      </c>
      <c r="B167" s="329">
        <v>1994865</v>
      </c>
      <c r="C167" s="329">
        <v>1994865</v>
      </c>
      <c r="D167" s="329">
        <v>1994865</v>
      </c>
      <c r="E167" s="329">
        <v>2994865</v>
      </c>
      <c r="F167" s="329">
        <v>2994865</v>
      </c>
      <c r="G167" s="329">
        <v>2994865</v>
      </c>
      <c r="H167" s="329">
        <v>2994865</v>
      </c>
      <c r="I167" s="329">
        <v>2994865</v>
      </c>
      <c r="J167" s="329">
        <v>6000000</v>
      </c>
      <c r="K167" s="329">
        <v>4000000</v>
      </c>
      <c r="L167" s="329">
        <v>4000000</v>
      </c>
      <c r="M167" s="329">
        <v>6000000</v>
      </c>
      <c r="N167" s="329">
        <v>6000000</v>
      </c>
      <c r="O167" s="329"/>
      <c r="P167" s="329">
        <v>6000000</v>
      </c>
      <c r="Q167" s="329">
        <v>6000000</v>
      </c>
      <c r="U167" s="601"/>
    </row>
    <row r="168" spans="1:26" x14ac:dyDescent="0.6">
      <c r="U168" s="602"/>
      <c r="V168" s="601"/>
    </row>
    <row r="169" spans="1:26" ht="40.5" x14ac:dyDescent="1.05">
      <c r="A169" s="95" t="s">
        <v>82</v>
      </c>
      <c r="B169" s="91" t="s">
        <v>81</v>
      </c>
      <c r="C169" s="91" t="s">
        <v>80</v>
      </c>
      <c r="D169" s="91" t="s">
        <v>79</v>
      </c>
      <c r="E169" s="91" t="s">
        <v>78</v>
      </c>
      <c r="F169" s="91" t="s">
        <v>77</v>
      </c>
      <c r="G169" s="91" t="s">
        <v>76</v>
      </c>
      <c r="H169" s="91" t="s">
        <v>75</v>
      </c>
      <c r="I169" s="91" t="s">
        <v>74</v>
      </c>
      <c r="J169" s="91" t="s">
        <v>73</v>
      </c>
      <c r="K169" s="91" t="s">
        <v>72</v>
      </c>
      <c r="L169" s="91" t="s">
        <v>71</v>
      </c>
      <c r="M169" s="91" t="s">
        <v>70</v>
      </c>
      <c r="N169" s="91" t="s">
        <v>69</v>
      </c>
      <c r="O169" s="91" t="s">
        <v>68</v>
      </c>
      <c r="P169" s="91" t="s">
        <v>67</v>
      </c>
      <c r="Q169" s="451" t="s">
        <v>66</v>
      </c>
      <c r="U169" s="602"/>
    </row>
    <row r="170" spans="1:26" x14ac:dyDescent="0.6">
      <c r="A170" s="93" t="s">
        <v>65</v>
      </c>
      <c r="B170" s="450">
        <f t="shared" ref="B170:N170" si="46">B155/B153</f>
        <v>8.8983765081946969E-2</v>
      </c>
      <c r="C170" s="450">
        <f t="shared" si="46"/>
        <v>7.3151052673511199E-2</v>
      </c>
      <c r="D170" s="450">
        <f t="shared" si="46"/>
        <v>1.2018102197422898E-2</v>
      </c>
      <c r="E170" s="450">
        <f t="shared" si="46"/>
        <v>0.18575084509124504</v>
      </c>
      <c r="F170" s="450">
        <f t="shared" si="46"/>
        <v>0.16328103218015091</v>
      </c>
      <c r="G170" s="450">
        <f t="shared" si="46"/>
        <v>0.1740413579314779</v>
      </c>
      <c r="H170" s="450">
        <f t="shared" si="46"/>
        <v>0.18342697183363818</v>
      </c>
      <c r="I170" s="450">
        <f t="shared" si="46"/>
        <v>0.24203323454573025</v>
      </c>
      <c r="J170" s="450">
        <f t="shared" si="46"/>
        <v>0.28753194857465847</v>
      </c>
      <c r="K170" s="450">
        <f t="shared" si="46"/>
        <v>0.34958284231167208</v>
      </c>
      <c r="L170" s="450">
        <f t="shared" si="46"/>
        <v>0.33146527664189412</v>
      </c>
      <c r="M170" s="450">
        <f t="shared" si="46"/>
        <v>0.29413914514399569</v>
      </c>
      <c r="N170" s="450">
        <f t="shared" si="46"/>
        <v>0.33988591720444061</v>
      </c>
      <c r="O170" s="450"/>
      <c r="P170" s="450">
        <f>P155/P153</f>
        <v>0.21014925379160648</v>
      </c>
      <c r="Q170" s="450">
        <f>Q155/Q153</f>
        <v>0.23954061804658103</v>
      </c>
      <c r="U170" s="601"/>
    </row>
    <row r="171" spans="1:26" x14ac:dyDescent="0.6">
      <c r="A171" s="91" t="s">
        <v>64</v>
      </c>
      <c r="B171" s="449">
        <f t="shared" ref="B171:N171" si="47">B159/B153</f>
        <v>6.7703630281915131E-2</v>
      </c>
      <c r="C171" s="449">
        <f t="shared" si="47"/>
        <v>5.1857121830101119E-2</v>
      </c>
      <c r="D171" s="449">
        <f t="shared" si="47"/>
        <v>1.2568698433574837E-4</v>
      </c>
      <c r="E171" s="449">
        <f t="shared" si="47"/>
        <v>0.1762042120797235</v>
      </c>
      <c r="F171" s="449">
        <f t="shared" si="47"/>
        <v>0.15520711225852563</v>
      </c>
      <c r="G171" s="449">
        <f t="shared" si="47"/>
        <v>0.16941467127653226</v>
      </c>
      <c r="H171" s="449">
        <f t="shared" si="47"/>
        <v>0.18523821004214308</v>
      </c>
      <c r="I171" s="449">
        <f t="shared" si="47"/>
        <v>0.23907833793240971</v>
      </c>
      <c r="J171" s="449">
        <f t="shared" si="47"/>
        <v>0.29276885868877872</v>
      </c>
      <c r="K171" s="449">
        <f t="shared" si="47"/>
        <v>0.35048930761778374</v>
      </c>
      <c r="L171" s="449">
        <f t="shared" si="47"/>
        <v>0.33206137146215525</v>
      </c>
      <c r="M171" s="449">
        <f t="shared" si="47"/>
        <v>0.297104331061881</v>
      </c>
      <c r="N171" s="449">
        <f t="shared" si="47"/>
        <v>0.35637440435524503</v>
      </c>
      <c r="O171" s="449"/>
      <c r="P171" s="449">
        <f>P159/P153</f>
        <v>0.20366429769385747</v>
      </c>
      <c r="Q171" s="449">
        <f>Q159/Q153</f>
        <v>0.23826021107894652</v>
      </c>
      <c r="U171" s="602"/>
    </row>
    <row r="172" spans="1:26" x14ac:dyDescent="0.6">
      <c r="A172" s="89" t="s">
        <v>63</v>
      </c>
      <c r="B172" s="448">
        <f t="shared" ref="B172:N172" si="48">B165/B153</f>
        <v>-2.6891959986355143E-2</v>
      </c>
      <c r="C172" s="448">
        <f t="shared" si="48"/>
        <v>9.688354163286747E-2</v>
      </c>
      <c r="D172" s="448">
        <f t="shared" si="48"/>
        <v>-0.15629612725957115</v>
      </c>
      <c r="E172" s="448">
        <f t="shared" si="48"/>
        <v>0.10431709689795934</v>
      </c>
      <c r="F172" s="448">
        <f t="shared" si="48"/>
        <v>4.4340708175893306E-2</v>
      </c>
      <c r="G172" s="448">
        <f t="shared" si="48"/>
        <v>-2.3723641384487005E-2</v>
      </c>
      <c r="H172" s="448">
        <f t="shared" si="48"/>
        <v>-1.5041129800665158E-2</v>
      </c>
      <c r="I172" s="448">
        <f t="shared" si="48"/>
        <v>0.19966638288116711</v>
      </c>
      <c r="J172" s="448">
        <f t="shared" si="48"/>
        <v>0.27627862646745621</v>
      </c>
      <c r="K172" s="448">
        <f t="shared" si="48"/>
        <v>0.35402042555932678</v>
      </c>
      <c r="L172" s="448">
        <f t="shared" si="48"/>
        <v>0.343952101042378</v>
      </c>
      <c r="M172" s="448">
        <f t="shared" si="48"/>
        <v>0.25404528807032656</v>
      </c>
      <c r="N172" s="448">
        <f t="shared" si="48"/>
        <v>0.27213042139956006</v>
      </c>
      <c r="O172" s="448"/>
      <c r="P172" s="448">
        <f>P165/P153</f>
        <v>0.18426809510900558</v>
      </c>
      <c r="Q172" s="448">
        <f>Q165/Q153</f>
        <v>0.20417298219614838</v>
      </c>
      <c r="U172" s="602"/>
      <c r="V172" s="601"/>
    </row>
    <row r="173" spans="1:26" x14ac:dyDescent="0.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601"/>
      <c r="S173" s="602"/>
      <c r="T173" s="601"/>
      <c r="U173" s="601"/>
      <c r="V173" s="601"/>
      <c r="W173" s="602"/>
      <c r="X173" s="601"/>
      <c r="Y173" s="601"/>
      <c r="Z173" s="601"/>
    </row>
    <row r="174" spans="1:26" x14ac:dyDescent="0.6">
      <c r="A174" s="81"/>
      <c r="B174" s="81" t="s">
        <v>81</v>
      </c>
      <c r="C174" s="81" t="s">
        <v>80</v>
      </c>
      <c r="D174" s="81" t="s">
        <v>79</v>
      </c>
      <c r="E174" s="81" t="s">
        <v>78</v>
      </c>
      <c r="F174" s="81" t="s">
        <v>74</v>
      </c>
      <c r="G174" s="81" t="s">
        <v>70</v>
      </c>
      <c r="H174" s="81" t="s">
        <v>69</v>
      </c>
      <c r="I174" s="81" t="s">
        <v>66</v>
      </c>
      <c r="J174" s="2"/>
      <c r="K174" s="2"/>
      <c r="L174" s="2"/>
      <c r="M174" s="2"/>
      <c r="N174" s="2"/>
      <c r="O174" s="2"/>
      <c r="P174" s="2"/>
      <c r="Q174" s="2"/>
      <c r="R174" s="601"/>
      <c r="S174" s="601"/>
      <c r="T174" s="601"/>
      <c r="U174" s="601"/>
      <c r="V174" s="601"/>
      <c r="W174" s="602"/>
      <c r="X174" s="601"/>
      <c r="Y174" s="601"/>
      <c r="Z174" s="601"/>
    </row>
    <row r="175" spans="1:26" ht="25.5" x14ac:dyDescent="0.7">
      <c r="A175" s="637" t="s">
        <v>441</v>
      </c>
      <c r="B175" s="639">
        <f>B153*1000/B167</f>
        <v>3381.3811962212981</v>
      </c>
      <c r="C175" s="639">
        <f t="shared" ref="C175:E175" si="49">C153*1000/C167</f>
        <v>5197.144668937497</v>
      </c>
      <c r="D175" s="639">
        <f t="shared" si="49"/>
        <v>3677.2834251941863</v>
      </c>
      <c r="E175" s="639">
        <f t="shared" si="49"/>
        <v>3012.9191132154538</v>
      </c>
      <c r="F175" s="639">
        <f>I153*1000/I167</f>
        <v>4474.2557677891991</v>
      </c>
      <c r="G175" s="639">
        <f>M153*1000/M167</f>
        <v>4371.114333333333</v>
      </c>
      <c r="H175" s="639">
        <f>N153*1000/N167</f>
        <v>1243.1906666666666</v>
      </c>
      <c r="I175" s="639">
        <f>Q153*1000/Q167</f>
        <v>5487.5781770494686</v>
      </c>
      <c r="J175" s="2"/>
      <c r="K175" s="2"/>
      <c r="L175" s="2"/>
      <c r="M175" s="2"/>
      <c r="N175" s="2"/>
      <c r="O175" s="2"/>
      <c r="P175" s="2"/>
      <c r="Q175" s="2"/>
      <c r="R175" s="602"/>
      <c r="S175" s="601"/>
      <c r="T175" s="602"/>
      <c r="U175" s="602"/>
      <c r="V175" s="602"/>
      <c r="W175" s="601"/>
      <c r="X175" s="602"/>
      <c r="Y175" s="602"/>
      <c r="Z175" s="602"/>
    </row>
    <row r="176" spans="1:26" ht="25.5" x14ac:dyDescent="0.7">
      <c r="A176" s="638" t="s">
        <v>442</v>
      </c>
      <c r="B176" s="647">
        <f>B264*1000/B167</f>
        <v>902.20039952578247</v>
      </c>
      <c r="C176" s="647">
        <f t="shared" ref="C176:E176" si="50">C264*1000/C167</f>
        <v>1405.7181814308237</v>
      </c>
      <c r="D176" s="647">
        <f t="shared" si="50"/>
        <v>630.97302323716144</v>
      </c>
      <c r="E176" s="647">
        <f t="shared" si="50"/>
        <v>1237.5162152551118</v>
      </c>
      <c r="F176" s="647">
        <f>F264*1000/I167</f>
        <v>2085.8746554519153</v>
      </c>
      <c r="G176" s="647">
        <f>G264*1000/M167</f>
        <v>2203.2391666666667</v>
      </c>
      <c r="H176" s="647">
        <f>H264*1000/N167</f>
        <v>1541.5491666666667</v>
      </c>
      <c r="I176" s="647"/>
      <c r="J176" s="2"/>
      <c r="K176" s="2"/>
      <c r="L176" s="2"/>
      <c r="M176" s="2"/>
      <c r="N176" s="2"/>
      <c r="O176" s="2"/>
      <c r="P176" s="2"/>
      <c r="Q176" s="2"/>
      <c r="R176" s="602"/>
      <c r="S176" s="601"/>
      <c r="T176" s="602"/>
      <c r="U176" s="602"/>
      <c r="V176" s="602"/>
      <c r="W176" s="601"/>
      <c r="X176" s="602"/>
      <c r="Y176" s="602"/>
      <c r="Z176" s="602"/>
    </row>
    <row r="177" spans="1:26" x14ac:dyDescent="0.6">
      <c r="K177" s="602"/>
      <c r="N177" s="602"/>
      <c r="R177" s="602"/>
      <c r="V177" s="602"/>
      <c r="Z177" s="602"/>
    </row>
    <row r="178" spans="1:26" x14ac:dyDescent="0.6">
      <c r="A178" s="87" t="s">
        <v>60</v>
      </c>
    </row>
    <row r="179" spans="1:26" x14ac:dyDescent="0.6">
      <c r="A179" s="241" t="s">
        <v>59</v>
      </c>
      <c r="B179" s="322"/>
      <c r="C179" s="322" t="s">
        <v>57</v>
      </c>
      <c r="D179" s="322"/>
      <c r="E179" s="322"/>
      <c r="F179" s="322"/>
      <c r="G179" s="322" t="s">
        <v>58</v>
      </c>
      <c r="H179" s="322"/>
      <c r="I179" s="322"/>
      <c r="J179" s="322" t="s">
        <v>467</v>
      </c>
      <c r="K179" s="322"/>
      <c r="L179" s="322"/>
      <c r="M179" s="322"/>
      <c r="N179" s="322" t="s">
        <v>468</v>
      </c>
      <c r="O179" s="322"/>
      <c r="P179" s="322"/>
      <c r="Q179" s="322"/>
      <c r="R179" s="322" t="s">
        <v>469</v>
      </c>
      <c r="S179" s="322"/>
      <c r="T179" s="322"/>
      <c r="U179" s="322"/>
    </row>
    <row r="180" spans="1:26" x14ac:dyDescent="0.6">
      <c r="A180" s="241" t="s">
        <v>51</v>
      </c>
      <c r="B180" s="322" t="s">
        <v>56</v>
      </c>
      <c r="C180" s="322" t="s">
        <v>55</v>
      </c>
      <c r="D180" s="322" t="s">
        <v>54</v>
      </c>
      <c r="E180" s="322" t="s">
        <v>53</v>
      </c>
      <c r="F180" s="322" t="s">
        <v>52</v>
      </c>
      <c r="G180" s="322" t="s">
        <v>55</v>
      </c>
      <c r="H180" s="322" t="s">
        <v>54</v>
      </c>
      <c r="I180" s="322" t="s">
        <v>52</v>
      </c>
      <c r="J180" s="322" t="s">
        <v>55</v>
      </c>
      <c r="K180" s="322" t="s">
        <v>54</v>
      </c>
      <c r="L180" s="322" t="s">
        <v>53</v>
      </c>
      <c r="M180" s="322" t="s">
        <v>52</v>
      </c>
      <c r="N180" s="322" t="s">
        <v>55</v>
      </c>
      <c r="O180" s="322" t="s">
        <v>54</v>
      </c>
      <c r="P180" s="322" t="s">
        <v>53</v>
      </c>
      <c r="Q180" s="322" t="s">
        <v>52</v>
      </c>
      <c r="R180" s="322" t="s">
        <v>55</v>
      </c>
      <c r="S180" s="322" t="s">
        <v>54</v>
      </c>
      <c r="T180" s="322" t="s">
        <v>53</v>
      </c>
      <c r="U180" s="322" t="s">
        <v>52</v>
      </c>
    </row>
    <row r="181" spans="1:26" x14ac:dyDescent="0.6">
      <c r="A181" s="241" t="s">
        <v>333</v>
      </c>
      <c r="B181" s="322" t="s">
        <v>188</v>
      </c>
      <c r="C181" s="321">
        <v>325833</v>
      </c>
      <c r="D181" s="323">
        <v>0</v>
      </c>
      <c r="E181" s="323">
        <v>0</v>
      </c>
      <c r="F181" s="323">
        <v>0</v>
      </c>
      <c r="G181" s="323">
        <v>0</v>
      </c>
      <c r="H181" s="323">
        <v>0</v>
      </c>
      <c r="I181" s="323">
        <v>0</v>
      </c>
      <c r="J181" s="321">
        <v>325833</v>
      </c>
      <c r="K181" s="323">
        <v>0</v>
      </c>
      <c r="L181" s="323">
        <v>0</v>
      </c>
      <c r="M181" s="323">
        <v>0</v>
      </c>
      <c r="N181" s="321">
        <v>55859</v>
      </c>
      <c r="O181" s="323">
        <v>0</v>
      </c>
      <c r="P181" s="323">
        <v>0</v>
      </c>
      <c r="Q181" s="323">
        <v>0</v>
      </c>
      <c r="R181" s="321">
        <v>381692</v>
      </c>
      <c r="S181" s="323">
        <v>0</v>
      </c>
      <c r="T181" s="323">
        <v>0</v>
      </c>
      <c r="U181" s="323">
        <v>0</v>
      </c>
    </row>
    <row r="182" spans="1:26" x14ac:dyDescent="0.6">
      <c r="A182" s="241" t="s">
        <v>332</v>
      </c>
      <c r="B182" s="322" t="s">
        <v>188</v>
      </c>
      <c r="C182" s="321">
        <v>367094</v>
      </c>
      <c r="D182" s="323">
        <v>0</v>
      </c>
      <c r="E182" s="323">
        <v>0</v>
      </c>
      <c r="F182" s="323">
        <v>0</v>
      </c>
      <c r="G182" s="323">
        <v>0</v>
      </c>
      <c r="H182" s="323">
        <v>0</v>
      </c>
      <c r="I182" s="323">
        <v>0</v>
      </c>
      <c r="J182" s="321">
        <v>367094</v>
      </c>
      <c r="K182" s="323">
        <v>0</v>
      </c>
      <c r="L182" s="323">
        <v>0</v>
      </c>
      <c r="M182" s="323">
        <v>0</v>
      </c>
      <c r="N182" s="321">
        <v>79940</v>
      </c>
      <c r="O182" s="323">
        <v>0</v>
      </c>
      <c r="P182" s="323">
        <v>0</v>
      </c>
      <c r="Q182" s="323">
        <v>0</v>
      </c>
      <c r="R182" s="321">
        <v>447034</v>
      </c>
      <c r="S182" s="323">
        <v>0</v>
      </c>
      <c r="T182" s="323">
        <v>0</v>
      </c>
      <c r="U182" s="323">
        <v>0</v>
      </c>
    </row>
    <row r="183" spans="1:26" x14ac:dyDescent="0.6">
      <c r="A183" s="241" t="s">
        <v>330</v>
      </c>
      <c r="B183" s="322" t="s">
        <v>188</v>
      </c>
      <c r="C183" s="323">
        <v>0</v>
      </c>
      <c r="D183" s="321">
        <v>86069</v>
      </c>
      <c r="E183" s="321">
        <v>41760367</v>
      </c>
      <c r="F183" s="321">
        <v>3594273</v>
      </c>
      <c r="G183" s="323">
        <v>0</v>
      </c>
      <c r="H183" s="323">
        <v>0</v>
      </c>
      <c r="I183" s="323">
        <v>0</v>
      </c>
      <c r="J183" s="323">
        <v>0</v>
      </c>
      <c r="K183" s="321">
        <v>86069</v>
      </c>
      <c r="L183" s="321">
        <v>41760367</v>
      </c>
      <c r="M183" s="321">
        <v>3594273</v>
      </c>
      <c r="N183" s="323">
        <v>0</v>
      </c>
      <c r="O183" s="321">
        <v>15306</v>
      </c>
      <c r="P183" s="321">
        <v>41797204</v>
      </c>
      <c r="Q183" s="321">
        <v>639748</v>
      </c>
      <c r="R183" s="323">
        <v>0</v>
      </c>
      <c r="S183" s="321">
        <v>101375</v>
      </c>
      <c r="T183" s="321">
        <v>41765928</v>
      </c>
      <c r="U183" s="321">
        <v>4234021</v>
      </c>
    </row>
    <row r="184" spans="1:26" x14ac:dyDescent="0.6">
      <c r="A184" s="241" t="s">
        <v>474</v>
      </c>
      <c r="B184" s="322" t="s">
        <v>188</v>
      </c>
      <c r="C184" s="323">
        <v>0</v>
      </c>
      <c r="D184" s="321">
        <v>246260</v>
      </c>
      <c r="E184" s="321">
        <v>37433497</v>
      </c>
      <c r="F184" s="321">
        <v>9218373</v>
      </c>
      <c r="G184" s="323">
        <v>0</v>
      </c>
      <c r="H184" s="323">
        <v>0</v>
      </c>
      <c r="I184" s="321">
        <v>-14999</v>
      </c>
      <c r="J184" s="323">
        <v>0</v>
      </c>
      <c r="K184" s="321">
        <v>246260</v>
      </c>
      <c r="L184" s="321">
        <v>37372590</v>
      </c>
      <c r="M184" s="321">
        <v>9203374</v>
      </c>
      <c r="N184" s="323">
        <v>0</v>
      </c>
      <c r="O184" s="321">
        <v>30305</v>
      </c>
      <c r="P184" s="321">
        <v>33369873</v>
      </c>
      <c r="Q184" s="321">
        <v>1011274</v>
      </c>
      <c r="R184" s="323">
        <v>0</v>
      </c>
      <c r="S184" s="321">
        <v>276565</v>
      </c>
      <c r="T184" s="321">
        <v>36933987</v>
      </c>
      <c r="U184" s="321">
        <v>10214648</v>
      </c>
    </row>
    <row r="185" spans="1:26" x14ac:dyDescent="0.6">
      <c r="A185" s="241" t="s">
        <v>45</v>
      </c>
      <c r="B185" s="322"/>
      <c r="C185" s="322"/>
      <c r="D185" s="322"/>
      <c r="E185" s="322"/>
      <c r="F185" s="321">
        <v>12812646</v>
      </c>
      <c r="G185" s="322"/>
      <c r="H185" s="322"/>
      <c r="I185" s="321">
        <v>-14999</v>
      </c>
      <c r="J185" s="322"/>
      <c r="K185" s="322"/>
      <c r="L185" s="322"/>
      <c r="M185" s="321">
        <v>12797647</v>
      </c>
      <c r="N185" s="322"/>
      <c r="O185" s="322"/>
      <c r="P185" s="322"/>
      <c r="Q185" s="321">
        <v>1651022</v>
      </c>
      <c r="R185" s="322"/>
      <c r="S185" s="322"/>
      <c r="T185" s="322"/>
      <c r="U185" s="321">
        <v>14448669</v>
      </c>
    </row>
    <row r="188" spans="1:26" x14ac:dyDescent="0.6">
      <c r="A188" s="1036" t="s">
        <v>44</v>
      </c>
      <c r="B188" s="286"/>
      <c r="C188" s="286"/>
      <c r="D188" s="286"/>
      <c r="E188" s="286"/>
      <c r="F188" s="286"/>
      <c r="G188" s="286"/>
      <c r="H188" s="286"/>
      <c r="I188" s="286"/>
      <c r="J188" s="3"/>
      <c r="K188" s="2"/>
      <c r="L188" s="2"/>
    </row>
    <row r="189" spans="1:26" x14ac:dyDescent="0.6">
      <c r="A189" s="1036"/>
      <c r="B189" s="286"/>
      <c r="C189" s="2"/>
      <c r="D189" s="286"/>
      <c r="E189" s="286"/>
      <c r="F189" s="286"/>
      <c r="G189" s="286"/>
      <c r="H189" s="286"/>
      <c r="I189" s="286"/>
      <c r="J189" s="3"/>
      <c r="K189" s="2"/>
      <c r="L189" s="2"/>
    </row>
    <row r="190" spans="1:26" ht="23.25" thickBot="1" x14ac:dyDescent="0.65">
      <c r="A190" s="1036"/>
      <c r="B190" s="200"/>
      <c r="C190" s="200" t="s">
        <v>43</v>
      </c>
      <c r="D190" s="200" t="s">
        <v>42</v>
      </c>
      <c r="E190" s="200" t="s">
        <v>41</v>
      </c>
      <c r="F190" s="200" t="s">
        <v>223</v>
      </c>
      <c r="G190" s="200" t="s">
        <v>499</v>
      </c>
      <c r="H190" s="200" t="s">
        <v>38</v>
      </c>
      <c r="I190" s="200" t="s">
        <v>37</v>
      </c>
      <c r="J190" s="200" t="s">
        <v>36</v>
      </c>
      <c r="K190" s="200" t="s">
        <v>35</v>
      </c>
      <c r="L190" s="200" t="s">
        <v>34</v>
      </c>
    </row>
    <row r="191" spans="1:26" ht="24" thickTop="1" thickBot="1" x14ac:dyDescent="0.65">
      <c r="A191" s="989" t="s">
        <v>509</v>
      </c>
      <c r="B191" s="911">
        <f>D191</f>
        <v>854173.6</v>
      </c>
      <c r="C191" s="912"/>
      <c r="D191" s="912">
        <f>AVERAGE(M2,I2,E2,B2:C2)</f>
        <v>854173.6</v>
      </c>
      <c r="E191" s="912">
        <f>N182</f>
        <v>79940</v>
      </c>
      <c r="F191" s="912">
        <f>R182</f>
        <v>447034</v>
      </c>
      <c r="G191" s="912">
        <f>N3</f>
        <v>219727</v>
      </c>
      <c r="H191" s="912">
        <f>MAX(M2,I2,B2:E2)</f>
        <v>865974</v>
      </c>
      <c r="I191" s="912">
        <f>MIN(M2,I2,B2:E2)</f>
        <v>635314</v>
      </c>
      <c r="J191" s="912"/>
      <c r="K191" s="912"/>
      <c r="L191" s="912"/>
    </row>
    <row r="192" spans="1:26" ht="24" thickTop="1" thickBot="1" x14ac:dyDescent="0.65">
      <c r="A192" s="751" t="s">
        <v>193</v>
      </c>
      <c r="B192" s="400">
        <f>C192+25</f>
        <v>380</v>
      </c>
      <c r="C192" s="916">
        <f>پنل!B2</f>
        <v>355</v>
      </c>
      <c r="D192" s="398"/>
      <c r="E192" s="916"/>
      <c r="F192" s="398"/>
      <c r="G192" s="398"/>
      <c r="H192" s="398"/>
      <c r="I192" s="398"/>
      <c r="J192" s="398"/>
      <c r="K192" s="398"/>
      <c r="L192" s="398"/>
    </row>
    <row r="193" spans="1:20" ht="24" thickTop="1" thickBot="1" x14ac:dyDescent="0.65">
      <c r="A193" s="990" t="s">
        <v>192</v>
      </c>
      <c r="B193" s="914">
        <f>B192*B194</f>
        <v>41800000</v>
      </c>
      <c r="C193" s="1004">
        <f>C192*B194</f>
        <v>39050000</v>
      </c>
      <c r="D193" s="1004"/>
      <c r="E193" s="915">
        <f>P183</f>
        <v>41797204</v>
      </c>
      <c r="F193" s="915">
        <f>T183</f>
        <v>41765928</v>
      </c>
      <c r="G193" s="915">
        <f>N36</f>
        <v>39773758.530000001</v>
      </c>
      <c r="H193" s="915"/>
      <c r="I193" s="915"/>
      <c r="J193" s="915"/>
      <c r="K193" s="915"/>
      <c r="L193" s="1004"/>
    </row>
    <row r="194" spans="1:20" ht="24" thickTop="1" thickBot="1" x14ac:dyDescent="0.65">
      <c r="A194" s="991" t="s">
        <v>26</v>
      </c>
      <c r="B194" s="396">
        <f>C194</f>
        <v>110000</v>
      </c>
      <c r="C194" s="1005">
        <f>پنل!B1</f>
        <v>110000</v>
      </c>
      <c r="D194" s="395"/>
      <c r="E194" s="395"/>
      <c r="F194" s="395"/>
      <c r="G194" s="395"/>
      <c r="H194" s="395"/>
      <c r="I194" s="395"/>
      <c r="J194" s="395"/>
      <c r="K194" s="658"/>
      <c r="L194" s="1005"/>
    </row>
    <row r="195" spans="1:20" ht="24" thickTop="1" thickBot="1" x14ac:dyDescent="0.65">
      <c r="A195" s="997" t="s">
        <v>511</v>
      </c>
      <c r="B195" s="1000">
        <f>F195</f>
        <v>36933987</v>
      </c>
      <c r="C195" s="998"/>
      <c r="D195" s="998"/>
      <c r="E195" s="998">
        <f>P184</f>
        <v>33369873</v>
      </c>
      <c r="F195" s="998">
        <f>T184</f>
        <v>36933987</v>
      </c>
      <c r="G195" s="998">
        <f>N35</f>
        <v>39200914.329999998</v>
      </c>
      <c r="H195" s="998"/>
      <c r="I195" s="998"/>
      <c r="J195" s="998"/>
      <c r="K195" s="998"/>
      <c r="L195" s="998">
        <v>34486625</v>
      </c>
    </row>
    <row r="196" spans="1:20" ht="24" thickTop="1" thickBot="1" x14ac:dyDescent="0.65">
      <c r="A196" s="600"/>
    </row>
    <row r="197" spans="1:20" ht="24" thickTop="1" thickBot="1" x14ac:dyDescent="0.65">
      <c r="A197" s="764" t="s">
        <v>31</v>
      </c>
      <c r="B197" s="1002">
        <f>C197</f>
        <v>39050000</v>
      </c>
      <c r="C197" s="1001">
        <f>پنل!B6</f>
        <v>39050000</v>
      </c>
      <c r="D197" s="1001"/>
      <c r="E197" s="1001"/>
      <c r="F197" s="1001"/>
      <c r="G197" s="1001"/>
      <c r="H197" s="1001"/>
      <c r="I197" s="1001"/>
      <c r="J197" s="1001"/>
      <c r="K197" s="1001"/>
      <c r="L197" s="1001"/>
    </row>
    <row r="198" spans="1:20" ht="24" thickTop="1" thickBot="1" x14ac:dyDescent="0.65">
      <c r="A198" s="992" t="s">
        <v>29</v>
      </c>
      <c r="B198" s="995">
        <f>C198</f>
        <v>8981500</v>
      </c>
      <c r="C198" s="993">
        <f>پنل!B8</f>
        <v>8981500</v>
      </c>
      <c r="D198" s="993"/>
      <c r="E198" s="993"/>
      <c r="F198" s="993"/>
      <c r="G198" s="993">
        <f>H108</f>
        <v>9366549.1947409846</v>
      </c>
      <c r="H198" s="993"/>
      <c r="I198" s="993"/>
      <c r="J198" s="993"/>
      <c r="K198" s="993"/>
      <c r="L198" s="993"/>
    </row>
    <row r="199" spans="1:20" ht="24" thickTop="1" thickBot="1" x14ac:dyDescent="0.65">
      <c r="A199" s="989" t="s">
        <v>187</v>
      </c>
      <c r="B199" s="911">
        <f>C199</f>
        <v>19525000</v>
      </c>
      <c r="C199" s="994">
        <f>پنل!B9</f>
        <v>19525000</v>
      </c>
      <c r="D199" s="994"/>
      <c r="E199" s="994"/>
      <c r="F199" s="994"/>
      <c r="G199" s="994">
        <f>H107</f>
        <v>16044317.154054869</v>
      </c>
      <c r="H199" s="994"/>
      <c r="I199" s="994"/>
      <c r="J199" s="994"/>
      <c r="K199" s="994"/>
      <c r="L199" s="994"/>
    </row>
    <row r="200" spans="1:20" ht="24" thickTop="1" thickBot="1" x14ac:dyDescent="0.65"/>
    <row r="201" spans="1:20" ht="37.5" thickTop="1" thickBot="1" x14ac:dyDescent="1">
      <c r="A201" s="435" t="s">
        <v>22</v>
      </c>
      <c r="B201" s="434">
        <f>Q166</f>
        <v>1120.4152014426936</v>
      </c>
    </row>
    <row r="202" spans="1:20" ht="24" thickTop="1" thickBot="1" x14ac:dyDescent="0.65"/>
    <row r="203" spans="1:20" ht="41.25" thickBot="1" x14ac:dyDescent="1.1000000000000001">
      <c r="A203" s="858" t="s">
        <v>436</v>
      </c>
      <c r="B203" s="862">
        <f>F259*1000/P167</f>
        <v>454.053</v>
      </c>
      <c r="G203" s="1037" t="s">
        <v>26</v>
      </c>
      <c r="H203" s="1040" t="s">
        <v>218</v>
      </c>
      <c r="I203" s="1041"/>
      <c r="J203" s="1041"/>
      <c r="K203" s="1041"/>
      <c r="L203" s="1041"/>
      <c r="M203" s="1041"/>
      <c r="N203" s="1041"/>
      <c r="O203" s="1041"/>
      <c r="P203" s="1041"/>
      <c r="Q203" s="1041"/>
      <c r="R203" s="1041"/>
      <c r="S203" s="1041"/>
      <c r="T203" s="1042"/>
    </row>
    <row r="204" spans="1:20" ht="45" thickBot="1" x14ac:dyDescent="1.2">
      <c r="A204" s="674" t="s">
        <v>21</v>
      </c>
      <c r="B204" s="864">
        <f>VLOOKUP(D204,'دیده بان بازار'!A:W,8,0)</f>
        <v>4618</v>
      </c>
      <c r="C204" s="1003">
        <f>B225</f>
        <v>5939.6958133617554</v>
      </c>
      <c r="D204" s="1030" t="s">
        <v>345</v>
      </c>
      <c r="G204" s="1038"/>
      <c r="H204" s="1016">
        <f>B201</f>
        <v>1120.4152014426936</v>
      </c>
      <c r="I204" s="1017">
        <v>320</v>
      </c>
      <c r="J204" s="1017">
        <v>330</v>
      </c>
      <c r="K204" s="1017">
        <v>340</v>
      </c>
      <c r="L204" s="1017">
        <v>350</v>
      </c>
      <c r="M204" s="1017">
        <v>360</v>
      </c>
      <c r="N204" s="1017">
        <v>370</v>
      </c>
      <c r="O204" s="1017">
        <v>380</v>
      </c>
      <c r="P204" s="1017">
        <v>390</v>
      </c>
      <c r="Q204" s="1017">
        <v>400</v>
      </c>
      <c r="R204" s="1017">
        <v>410</v>
      </c>
      <c r="S204" s="1017">
        <v>420</v>
      </c>
      <c r="T204" s="1018">
        <v>430</v>
      </c>
    </row>
    <row r="205" spans="1:20" ht="32.25" x14ac:dyDescent="0.85">
      <c r="A205" s="856" t="s">
        <v>478</v>
      </c>
      <c r="B205" s="865">
        <f>B204-B203</f>
        <v>4163.9470000000001</v>
      </c>
      <c r="G205" s="1038"/>
      <c r="H205" s="1013">
        <v>90000</v>
      </c>
      <c r="I205" s="1019">
        <f t="dataTable" ref="I205:T214" dt2D="1" dtr="1" r1="C192" r2="B194"/>
        <v>782.08819866796705</v>
      </c>
      <c r="J205" s="1020">
        <v>810.41325006306045</v>
      </c>
      <c r="K205" s="1020">
        <v>838.73830145815384</v>
      </c>
      <c r="L205" s="1020">
        <v>867.06335285324735</v>
      </c>
      <c r="M205" s="1020">
        <v>895.38840424834063</v>
      </c>
      <c r="N205" s="1020">
        <v>923.71345564343403</v>
      </c>
      <c r="O205" s="1020">
        <v>952.03850703852754</v>
      </c>
      <c r="P205" s="1020">
        <v>980.36355843362094</v>
      </c>
      <c r="Q205" s="1020">
        <v>1008.6886098287142</v>
      </c>
      <c r="R205" s="1020">
        <v>1037.0136612238077</v>
      </c>
      <c r="S205" s="1020">
        <v>1065.3387126189011</v>
      </c>
      <c r="T205" s="1021">
        <v>1093.6637640139945</v>
      </c>
    </row>
    <row r="206" spans="1:20" ht="25.5" x14ac:dyDescent="0.7">
      <c r="A206" s="47">
        <v>3</v>
      </c>
      <c r="B206" s="860">
        <f>$B$205/A206</f>
        <v>1387.9823333333334</v>
      </c>
      <c r="G206" s="1038"/>
      <c r="H206" s="1013">
        <v>100000</v>
      </c>
      <c r="I206" s="1022">
        <v>890.66756234915863</v>
      </c>
      <c r="J206" s="605">
        <v>922.13984167703973</v>
      </c>
      <c r="K206" s="605">
        <v>953.61212100492173</v>
      </c>
      <c r="L206" s="605">
        <v>985.08440033280351</v>
      </c>
      <c r="M206" s="605">
        <v>1016.5566796606847</v>
      </c>
      <c r="N206" s="605">
        <v>1048.0289589885658</v>
      </c>
      <c r="O206" s="605">
        <v>1079.5012383164478</v>
      </c>
      <c r="P206" s="605">
        <v>1110.9735176443296</v>
      </c>
      <c r="Q206" s="605">
        <v>1142.4457969722109</v>
      </c>
      <c r="R206" s="605">
        <v>1173.918076300092</v>
      </c>
      <c r="S206" s="605">
        <v>1205.3903556279738</v>
      </c>
      <c r="T206" s="1023">
        <v>1236.8626349558556</v>
      </c>
    </row>
    <row r="207" spans="1:20" ht="25.5" x14ac:dyDescent="0.7">
      <c r="A207" s="47">
        <v>5</v>
      </c>
      <c r="B207" s="860">
        <f t="shared" ref="B207:B208" si="51">$B$205/A207</f>
        <v>832.7894</v>
      </c>
      <c r="G207" s="1038"/>
      <c r="H207" s="1013">
        <v>110000</v>
      </c>
      <c r="I207" s="1022">
        <v>999.24692603035021</v>
      </c>
      <c r="J207" s="605">
        <v>1033.8664332910193</v>
      </c>
      <c r="K207" s="605">
        <v>1068.4859405516895</v>
      </c>
      <c r="L207" s="605">
        <v>1103.1054478123592</v>
      </c>
      <c r="M207" s="605">
        <v>1137.7249550730289</v>
      </c>
      <c r="N207" s="605">
        <v>1172.3444623336984</v>
      </c>
      <c r="O207" s="605">
        <v>1206.9639695943681</v>
      </c>
      <c r="P207" s="605">
        <v>1241.5834768550383</v>
      </c>
      <c r="Q207" s="605">
        <v>1276.2029841157073</v>
      </c>
      <c r="R207" s="605">
        <v>1310.8224913763777</v>
      </c>
      <c r="S207" s="605">
        <v>1345.4419986370467</v>
      </c>
      <c r="T207" s="1023">
        <v>1380.0615058977171</v>
      </c>
    </row>
    <row r="208" spans="1:20" ht="26.25" thickBot="1" x14ac:dyDescent="0.75">
      <c r="A208" s="42">
        <v>7</v>
      </c>
      <c r="B208" s="861">
        <f t="shared" si="51"/>
        <v>594.84957142857149</v>
      </c>
      <c r="G208" s="1038"/>
      <c r="H208" s="1013">
        <v>120000</v>
      </c>
      <c r="I208" s="1022">
        <v>1107.8262897115412</v>
      </c>
      <c r="J208" s="605">
        <v>1145.5930249049986</v>
      </c>
      <c r="K208" s="605">
        <v>1183.3597600984574</v>
      </c>
      <c r="L208" s="605">
        <v>1221.1264952919148</v>
      </c>
      <c r="M208" s="605">
        <v>1258.8932304853722</v>
      </c>
      <c r="N208" s="605">
        <v>1296.659965678831</v>
      </c>
      <c r="O208" s="605">
        <v>1334.4267008722884</v>
      </c>
      <c r="P208" s="605">
        <v>1372.1934360657472</v>
      </c>
      <c r="Q208" s="605">
        <v>1409.9601712592032</v>
      </c>
      <c r="R208" s="605">
        <v>1447.7269064526622</v>
      </c>
      <c r="S208" s="605">
        <v>1485.4936416461194</v>
      </c>
      <c r="T208" s="1023">
        <v>1523.2603768395779</v>
      </c>
    </row>
    <row r="209" spans="1:20" ht="23.25" thickBot="1" x14ac:dyDescent="0.65">
      <c r="G209" s="1038"/>
      <c r="H209" s="1013">
        <v>130000</v>
      </c>
      <c r="I209" s="1022">
        <v>1216.4056533927321</v>
      </c>
      <c r="J209" s="605">
        <v>1257.3196165189779</v>
      </c>
      <c r="K209" s="605">
        <v>1298.2335796452253</v>
      </c>
      <c r="L209" s="605">
        <v>1339.1475427714711</v>
      </c>
      <c r="M209" s="605">
        <v>1380.0615058977171</v>
      </c>
      <c r="N209" s="605">
        <v>1420.9754690239629</v>
      </c>
      <c r="O209" s="605">
        <v>1461.8894321502089</v>
      </c>
      <c r="P209" s="605">
        <v>1502.8033952764547</v>
      </c>
      <c r="Q209" s="605">
        <v>1543.7173584027005</v>
      </c>
      <c r="R209" s="605">
        <v>1584.6313215289474</v>
      </c>
      <c r="S209" s="605">
        <v>1625.5452846551923</v>
      </c>
      <c r="T209" s="1023">
        <v>1666.4592477814394</v>
      </c>
    </row>
    <row r="210" spans="1:20" ht="28.5" x14ac:dyDescent="0.6">
      <c r="A210" s="21" t="s">
        <v>20</v>
      </c>
      <c r="B210" s="37">
        <v>1</v>
      </c>
      <c r="G210" s="1038"/>
      <c r="H210" s="1013">
        <v>140000</v>
      </c>
      <c r="I210" s="1022">
        <v>1324.985017073923</v>
      </c>
      <c r="J210" s="605">
        <v>1369.0462081329588</v>
      </c>
      <c r="K210" s="605">
        <v>1413.1073991919918</v>
      </c>
      <c r="L210" s="605">
        <v>1457.1685902510262</v>
      </c>
      <c r="M210" s="605">
        <v>1501.2297813100604</v>
      </c>
      <c r="N210" s="605">
        <v>1545.2909723690948</v>
      </c>
      <c r="O210" s="605">
        <v>1589.352163428129</v>
      </c>
      <c r="P210" s="605">
        <v>1633.4133544871631</v>
      </c>
      <c r="Q210" s="605">
        <v>1677.4745455461975</v>
      </c>
      <c r="R210" s="605">
        <v>1721.5357366052306</v>
      </c>
      <c r="S210" s="605">
        <v>1765.5969276642663</v>
      </c>
      <c r="T210" s="1023">
        <v>1809.6581187232994</v>
      </c>
    </row>
    <row r="211" spans="1:20" ht="29.25" thickBot="1" x14ac:dyDescent="0.65">
      <c r="A211" s="34" t="s">
        <v>19</v>
      </c>
      <c r="B211" s="859">
        <f>B210*B201</f>
        <v>1120.4152014426936</v>
      </c>
      <c r="G211" s="1038"/>
      <c r="H211" s="1013">
        <v>150000</v>
      </c>
      <c r="I211" s="1022">
        <v>1433.5643807551153</v>
      </c>
      <c r="J211" s="605">
        <v>1480.7727997469381</v>
      </c>
      <c r="K211" s="605">
        <v>1527.9812187387608</v>
      </c>
      <c r="L211" s="605">
        <v>1575.1896377305823</v>
      </c>
      <c r="M211" s="605">
        <v>1622.3980567224039</v>
      </c>
      <c r="N211" s="605">
        <v>1669.6064757142265</v>
      </c>
      <c r="O211" s="605">
        <v>1716.8148947060492</v>
      </c>
      <c r="P211" s="605">
        <v>1764.0233136978723</v>
      </c>
      <c r="Q211" s="605">
        <v>1811.2317326896934</v>
      </c>
      <c r="R211" s="605">
        <v>1858.4401516815162</v>
      </c>
      <c r="S211" s="605">
        <v>1905.6485706733379</v>
      </c>
      <c r="T211" s="1023">
        <v>1952.8569896651618</v>
      </c>
    </row>
    <row r="212" spans="1:20" ht="29.25" thickBot="1" x14ac:dyDescent="0.8">
      <c r="A212" s="216"/>
      <c r="B212" s="216"/>
      <c r="F212" s="894"/>
      <c r="G212" s="1038"/>
      <c r="H212" s="1014">
        <v>160000</v>
      </c>
      <c r="I212" s="1022">
        <v>1542.1437444363064</v>
      </c>
      <c r="J212" s="605">
        <v>1592.4993913609173</v>
      </c>
      <c r="K212" s="605">
        <v>1642.8550382855271</v>
      </c>
      <c r="L212" s="605">
        <v>1693.2106852101374</v>
      </c>
      <c r="M212" s="605">
        <v>1743.5663321347486</v>
      </c>
      <c r="N212" s="605">
        <v>1793.9219790593595</v>
      </c>
      <c r="O212" s="605">
        <v>1844.2776259839698</v>
      </c>
      <c r="P212" s="605">
        <v>1894.6332729085796</v>
      </c>
      <c r="Q212" s="605">
        <v>1944.9889198331905</v>
      </c>
      <c r="R212" s="605">
        <v>1995.3445667578007</v>
      </c>
      <c r="S212" s="605">
        <v>2045.7002136824119</v>
      </c>
      <c r="T212" s="1023">
        <v>2096.0558606070217</v>
      </c>
    </row>
    <row r="213" spans="1:20" ht="28.5" x14ac:dyDescent="0.6">
      <c r="A213" s="21" t="s">
        <v>18</v>
      </c>
      <c r="B213" s="20" t="s">
        <v>351</v>
      </c>
      <c r="G213" s="1038"/>
      <c r="H213" s="1013">
        <v>170000</v>
      </c>
      <c r="I213" s="1022">
        <v>1650.7231081174971</v>
      </c>
      <c r="J213" s="605">
        <v>1704.2259829748969</v>
      </c>
      <c r="K213" s="605">
        <v>1757.728857832295</v>
      </c>
      <c r="L213" s="605">
        <v>1811.2317326896934</v>
      </c>
      <c r="M213" s="605">
        <v>1864.734607547093</v>
      </c>
      <c r="N213" s="605">
        <v>1918.2374824044914</v>
      </c>
      <c r="O213" s="605">
        <v>1971.7403572618898</v>
      </c>
      <c r="P213" s="605">
        <v>2025.2432321192885</v>
      </c>
      <c r="Q213" s="605">
        <v>2078.7461069766869</v>
      </c>
      <c r="R213" s="605">
        <v>2132.2489818340864</v>
      </c>
      <c r="S213" s="605">
        <v>2185.7518566914846</v>
      </c>
      <c r="T213" s="1023">
        <v>2239.2547315488832</v>
      </c>
    </row>
    <row r="214" spans="1:20" ht="29.25" thickBot="1" x14ac:dyDescent="0.65">
      <c r="A214" s="34" t="s">
        <v>16</v>
      </c>
      <c r="B214" s="33" t="s">
        <v>512</v>
      </c>
      <c r="G214" s="1039"/>
      <c r="H214" s="1015">
        <v>180000</v>
      </c>
      <c r="I214" s="1024">
        <v>1759.3024717986896</v>
      </c>
      <c r="J214" s="1025">
        <v>1815.9525745888761</v>
      </c>
      <c r="K214" s="1025">
        <v>1872.6026773790629</v>
      </c>
      <c r="L214" s="1025">
        <v>1929.2527801692499</v>
      </c>
      <c r="M214" s="1025">
        <v>1985.9028829594367</v>
      </c>
      <c r="N214" s="1025">
        <v>2042.5529857496233</v>
      </c>
      <c r="O214" s="1025">
        <v>2099.2030885398103</v>
      </c>
      <c r="P214" s="1025">
        <v>2155.8531913299971</v>
      </c>
      <c r="Q214" s="1025">
        <v>2212.5032941201839</v>
      </c>
      <c r="R214" s="1025">
        <v>2269.1533969103707</v>
      </c>
      <c r="S214" s="1025">
        <v>2325.8034997005575</v>
      </c>
      <c r="T214" s="1026">
        <v>2382.4536024907443</v>
      </c>
    </row>
    <row r="215" spans="1:20" ht="29.25" thickBot="1" x14ac:dyDescent="0.8">
      <c r="A215" s="216"/>
      <c r="B215" s="216"/>
    </row>
    <row r="216" spans="1:20" ht="28.5" x14ac:dyDescent="0.6">
      <c r="A216" s="21" t="s">
        <v>14</v>
      </c>
      <c r="B216" s="20">
        <v>7</v>
      </c>
    </row>
    <row r="217" spans="1:20" ht="29.25" thickBot="1" x14ac:dyDescent="0.65">
      <c r="A217" s="34" t="s">
        <v>13</v>
      </c>
      <c r="B217" s="33">
        <v>10</v>
      </c>
    </row>
    <row r="218" spans="1:20" ht="29.25" thickBot="1" x14ac:dyDescent="0.8">
      <c r="A218" s="216"/>
      <c r="B218" s="216"/>
    </row>
    <row r="219" spans="1:20" ht="29.25" thickBot="1" x14ac:dyDescent="0.8">
      <c r="A219" s="215">
        <v>0.2</v>
      </c>
      <c r="B219" s="214" t="s">
        <v>7</v>
      </c>
    </row>
    <row r="220" spans="1:20" ht="28.5" x14ac:dyDescent="0.6">
      <c r="A220" s="21" t="s">
        <v>6</v>
      </c>
      <c r="B220" s="20" t="s">
        <v>5</v>
      </c>
    </row>
    <row r="221" spans="1:20" ht="29.25" thickBot="1" x14ac:dyDescent="0.8">
      <c r="A221" s="19">
        <f>A219/12</f>
        <v>1.6666666666666666E-2</v>
      </c>
      <c r="B221" s="18">
        <v>5</v>
      </c>
    </row>
    <row r="222" spans="1:20" ht="28.5" x14ac:dyDescent="0.75">
      <c r="A222" s="213" t="s">
        <v>4</v>
      </c>
      <c r="B222" s="212">
        <f>B201*B221</f>
        <v>5602.0760072134681</v>
      </c>
    </row>
    <row r="223" spans="1:20" ht="28.5" x14ac:dyDescent="0.75">
      <c r="A223" s="211" t="s">
        <v>3</v>
      </c>
      <c r="B223" s="210">
        <f>B222/(1+A221)^B216</f>
        <v>4989.9811437986555</v>
      </c>
    </row>
    <row r="224" spans="1:20" ht="29.25" thickBot="1" x14ac:dyDescent="0.8">
      <c r="A224" s="209" t="s">
        <v>2</v>
      </c>
      <c r="B224" s="208">
        <f>B211/(1+A221)^B217</f>
        <v>949.71466956309962</v>
      </c>
    </row>
    <row r="225" spans="1:8" ht="29.25" thickBot="1" x14ac:dyDescent="0.8">
      <c r="A225" s="207" t="s">
        <v>1</v>
      </c>
      <c r="B225" s="206">
        <f>SUM(B223:B224)</f>
        <v>5939.6958133617554</v>
      </c>
    </row>
    <row r="227" spans="1:8" x14ac:dyDescent="0.6">
      <c r="A227" s="82" t="s">
        <v>440</v>
      </c>
    </row>
    <row r="228" spans="1:8" x14ac:dyDescent="0.6">
      <c r="A228" s="241" t="s">
        <v>59</v>
      </c>
      <c r="B228" s="322" t="s">
        <v>384</v>
      </c>
      <c r="C228" s="322" t="s">
        <v>386</v>
      </c>
      <c r="D228" s="322" t="s">
        <v>159</v>
      </c>
      <c r="E228" s="322" t="s">
        <v>59</v>
      </c>
      <c r="F228" s="322" t="s">
        <v>384</v>
      </c>
      <c r="G228" s="322" t="s">
        <v>386</v>
      </c>
      <c r="H228" s="322" t="s">
        <v>159</v>
      </c>
    </row>
    <row r="229" spans="1:8" x14ac:dyDescent="0.6">
      <c r="A229" s="241"/>
      <c r="B229" s="322" t="s">
        <v>385</v>
      </c>
      <c r="C229" s="322" t="s">
        <v>387</v>
      </c>
      <c r="D229" s="322" t="s">
        <v>388</v>
      </c>
      <c r="E229" s="322"/>
      <c r="F229" s="322" t="s">
        <v>385</v>
      </c>
      <c r="G229" s="322" t="s">
        <v>387</v>
      </c>
      <c r="H229" s="322" t="s">
        <v>388</v>
      </c>
    </row>
    <row r="230" spans="1:8" x14ac:dyDescent="0.6">
      <c r="A230" s="241" t="s">
        <v>389</v>
      </c>
      <c r="B230" s="322"/>
      <c r="C230" s="322"/>
      <c r="D230" s="322"/>
      <c r="E230" s="322" t="s">
        <v>390</v>
      </c>
      <c r="F230" s="322"/>
      <c r="G230" s="322"/>
      <c r="H230" s="322"/>
    </row>
    <row r="231" spans="1:8" x14ac:dyDescent="0.6">
      <c r="A231" s="241" t="s">
        <v>391</v>
      </c>
      <c r="B231" s="322"/>
      <c r="C231" s="322"/>
      <c r="D231" s="322"/>
      <c r="E231" s="322" t="s">
        <v>392</v>
      </c>
      <c r="F231" s="322"/>
      <c r="G231" s="322"/>
      <c r="H231" s="322"/>
    </row>
    <row r="232" spans="1:8" x14ac:dyDescent="0.6">
      <c r="A232" s="241" t="s">
        <v>393</v>
      </c>
      <c r="B232" s="321">
        <v>4344200</v>
      </c>
      <c r="C232" s="321">
        <v>4771820</v>
      </c>
      <c r="D232" s="323">
        <v>-9</v>
      </c>
      <c r="E232" s="322" t="s">
        <v>394</v>
      </c>
      <c r="F232" s="321">
        <v>4162377</v>
      </c>
      <c r="G232" s="321">
        <v>1602512</v>
      </c>
      <c r="H232" s="323">
        <v>160</v>
      </c>
    </row>
    <row r="233" spans="1:8" x14ac:dyDescent="0.6">
      <c r="A233" s="241" t="s">
        <v>395</v>
      </c>
      <c r="B233" s="323">
        <v>0</v>
      </c>
      <c r="C233" s="323">
        <v>0</v>
      </c>
      <c r="D233" s="322" t="s">
        <v>405</v>
      </c>
      <c r="E233" s="322" t="s">
        <v>396</v>
      </c>
      <c r="F233" s="323">
        <v>0</v>
      </c>
      <c r="G233" s="321">
        <v>685032</v>
      </c>
      <c r="H233" s="322" t="s">
        <v>405</v>
      </c>
    </row>
    <row r="234" spans="1:8" x14ac:dyDescent="0.6">
      <c r="A234" s="241" t="s">
        <v>397</v>
      </c>
      <c r="B234" s="321">
        <v>4184080</v>
      </c>
      <c r="C234" s="321">
        <v>284717</v>
      </c>
      <c r="D234" s="321">
        <v>1370</v>
      </c>
      <c r="E234" s="322" t="s">
        <v>398</v>
      </c>
      <c r="F234" s="323">
        <v>0</v>
      </c>
      <c r="G234" s="323">
        <v>0</v>
      </c>
      <c r="H234" s="322" t="s">
        <v>405</v>
      </c>
    </row>
    <row r="235" spans="1:8" x14ac:dyDescent="0.6">
      <c r="A235" s="241" t="s">
        <v>399</v>
      </c>
      <c r="B235" s="323">
        <v>0</v>
      </c>
      <c r="C235" s="321">
        <v>1844442</v>
      </c>
      <c r="D235" s="322" t="s">
        <v>405</v>
      </c>
      <c r="E235" s="322" t="s">
        <v>400</v>
      </c>
      <c r="F235" s="321">
        <v>6026937</v>
      </c>
      <c r="G235" s="321">
        <v>47413</v>
      </c>
      <c r="H235" s="321">
        <v>12612</v>
      </c>
    </row>
    <row r="236" spans="1:8" x14ac:dyDescent="0.6">
      <c r="A236" s="241" t="s">
        <v>401</v>
      </c>
      <c r="B236" s="321">
        <v>6663350</v>
      </c>
      <c r="C236" s="321">
        <v>5081370</v>
      </c>
      <c r="D236" s="323">
        <v>31</v>
      </c>
      <c r="E236" s="322" t="s">
        <v>402</v>
      </c>
      <c r="F236" s="321">
        <v>4192338</v>
      </c>
      <c r="G236" s="321">
        <v>3820116</v>
      </c>
      <c r="H236" s="323">
        <v>10</v>
      </c>
    </row>
    <row r="237" spans="1:8" x14ac:dyDescent="0.6">
      <c r="A237" s="241" t="s">
        <v>403</v>
      </c>
      <c r="B237" s="321">
        <v>4480897</v>
      </c>
      <c r="C237" s="321">
        <v>3782759</v>
      </c>
      <c r="D237" s="323">
        <v>18</v>
      </c>
      <c r="E237" s="322" t="s">
        <v>404</v>
      </c>
      <c r="F237" s="321">
        <v>310620</v>
      </c>
      <c r="G237" s="321">
        <v>177261</v>
      </c>
      <c r="H237" s="323">
        <v>75</v>
      </c>
    </row>
    <row r="238" spans="1:8" x14ac:dyDescent="0.6">
      <c r="A238" s="241" t="s">
        <v>406</v>
      </c>
      <c r="B238" s="323">
        <v>0</v>
      </c>
      <c r="C238" s="323">
        <v>0</v>
      </c>
      <c r="D238" s="322" t="s">
        <v>405</v>
      </c>
      <c r="E238" s="322" t="s">
        <v>407</v>
      </c>
      <c r="F238" s="321">
        <v>155690</v>
      </c>
      <c r="G238" s="321">
        <v>677984</v>
      </c>
      <c r="H238" s="323">
        <v>-77</v>
      </c>
    </row>
    <row r="239" spans="1:8" x14ac:dyDescent="0.6">
      <c r="A239" s="241" t="s">
        <v>408</v>
      </c>
      <c r="B239" s="321">
        <v>19672527</v>
      </c>
      <c r="C239" s="321">
        <v>15765108</v>
      </c>
      <c r="D239" s="323">
        <v>25</v>
      </c>
      <c r="E239" s="322" t="s">
        <v>409</v>
      </c>
      <c r="F239" s="323">
        <v>0</v>
      </c>
      <c r="G239" s="323">
        <v>0</v>
      </c>
      <c r="H239" s="322" t="s">
        <v>405</v>
      </c>
    </row>
    <row r="240" spans="1:8" x14ac:dyDescent="0.6">
      <c r="A240" s="241" t="s">
        <v>410</v>
      </c>
      <c r="B240" s="322"/>
      <c r="C240" s="322"/>
      <c r="D240" s="322"/>
      <c r="E240" s="322" t="s">
        <v>411</v>
      </c>
      <c r="F240" s="321">
        <v>14847962</v>
      </c>
      <c r="G240" s="321">
        <v>7010318</v>
      </c>
      <c r="H240" s="323">
        <v>112</v>
      </c>
    </row>
    <row r="241" spans="1:8" x14ac:dyDescent="0.6">
      <c r="A241" s="241" t="s">
        <v>412</v>
      </c>
      <c r="B241" s="321">
        <v>6529</v>
      </c>
      <c r="C241" s="321">
        <v>3552</v>
      </c>
      <c r="D241" s="323">
        <v>84</v>
      </c>
      <c r="E241" s="322" t="s">
        <v>413</v>
      </c>
      <c r="F241" s="322"/>
      <c r="G241" s="322"/>
      <c r="H241" s="322"/>
    </row>
    <row r="242" spans="1:8" x14ac:dyDescent="0.6">
      <c r="A242" s="241" t="s">
        <v>414</v>
      </c>
      <c r="B242" s="321">
        <v>11844</v>
      </c>
      <c r="C242" s="321">
        <v>7294</v>
      </c>
      <c r="D242" s="323">
        <v>62</v>
      </c>
      <c r="E242" s="322" t="s">
        <v>415</v>
      </c>
      <c r="F242" s="323">
        <v>0</v>
      </c>
      <c r="G242" s="323">
        <v>0</v>
      </c>
      <c r="H242" s="322" t="s">
        <v>405</v>
      </c>
    </row>
    <row r="243" spans="1:8" x14ac:dyDescent="0.6">
      <c r="A243" s="241" t="s">
        <v>416</v>
      </c>
      <c r="B243" s="323">
        <v>0</v>
      </c>
      <c r="C243" s="323">
        <v>0</v>
      </c>
      <c r="D243" s="322" t="s">
        <v>405</v>
      </c>
      <c r="E243" s="322" t="s">
        <v>417</v>
      </c>
      <c r="F243" s="323">
        <v>0</v>
      </c>
      <c r="G243" s="323">
        <v>0</v>
      </c>
      <c r="H243" s="322" t="s">
        <v>405</v>
      </c>
    </row>
    <row r="244" spans="1:8" x14ac:dyDescent="0.6">
      <c r="A244" s="241" t="s">
        <v>418</v>
      </c>
      <c r="B244" s="321">
        <v>199614</v>
      </c>
      <c r="C244" s="321">
        <v>199614</v>
      </c>
      <c r="D244" s="323">
        <v>0</v>
      </c>
      <c r="E244" s="322" t="s">
        <v>419</v>
      </c>
      <c r="F244" s="323">
        <v>0</v>
      </c>
      <c r="G244" s="323">
        <v>0</v>
      </c>
      <c r="H244" s="322" t="s">
        <v>405</v>
      </c>
    </row>
    <row r="245" spans="1:8" x14ac:dyDescent="0.6">
      <c r="A245" s="241" t="s">
        <v>420</v>
      </c>
      <c r="B245" s="321">
        <v>4226995</v>
      </c>
      <c r="C245" s="321">
        <v>4268267</v>
      </c>
      <c r="D245" s="323">
        <v>-1</v>
      </c>
      <c r="E245" s="322" t="s">
        <v>421</v>
      </c>
      <c r="F245" s="321">
        <v>20252</v>
      </c>
      <c r="G245" s="321">
        <v>14082</v>
      </c>
      <c r="H245" s="323">
        <v>44</v>
      </c>
    </row>
    <row r="246" spans="1:8" x14ac:dyDescent="0.6">
      <c r="A246" s="241" t="s">
        <v>422</v>
      </c>
      <c r="B246" s="323">
        <v>0</v>
      </c>
      <c r="C246" s="323">
        <v>0</v>
      </c>
      <c r="D246" s="322" t="s">
        <v>405</v>
      </c>
      <c r="E246" s="322" t="s">
        <v>423</v>
      </c>
      <c r="F246" s="321">
        <v>20252</v>
      </c>
      <c r="G246" s="321">
        <v>14082</v>
      </c>
      <c r="H246" s="323">
        <v>44</v>
      </c>
    </row>
    <row r="247" spans="1:8" x14ac:dyDescent="0.6">
      <c r="A247" s="241" t="s">
        <v>424</v>
      </c>
      <c r="B247" s="321">
        <v>4444982</v>
      </c>
      <c r="C247" s="321">
        <v>4478727</v>
      </c>
      <c r="D247" s="323">
        <v>-1</v>
      </c>
      <c r="E247" s="322" t="s">
        <v>425</v>
      </c>
      <c r="F247" s="321">
        <v>14868214</v>
      </c>
      <c r="G247" s="321">
        <v>7024400</v>
      </c>
      <c r="H247" s="323">
        <v>112</v>
      </c>
    </row>
    <row r="248" spans="1:8" x14ac:dyDescent="0.6">
      <c r="A248" s="241"/>
      <c r="B248" s="322"/>
      <c r="C248" s="322"/>
      <c r="D248" s="322"/>
      <c r="E248" s="322" t="s">
        <v>426</v>
      </c>
      <c r="F248" s="322"/>
      <c r="G248" s="322"/>
      <c r="H248" s="322"/>
    </row>
    <row r="249" spans="1:8" x14ac:dyDescent="0.6">
      <c r="A249" s="241"/>
      <c r="B249" s="322"/>
      <c r="C249" s="322"/>
      <c r="D249" s="322"/>
      <c r="E249" s="322" t="s">
        <v>84</v>
      </c>
      <c r="F249" s="321">
        <v>6000000</v>
      </c>
      <c r="G249" s="321">
        <v>6000000</v>
      </c>
      <c r="H249" s="323">
        <v>0</v>
      </c>
    </row>
    <row r="250" spans="1:8" x14ac:dyDescent="0.6">
      <c r="A250" s="241"/>
      <c r="B250" s="322"/>
      <c r="C250" s="322"/>
      <c r="D250" s="322"/>
      <c r="E250" s="322" t="s">
        <v>427</v>
      </c>
      <c r="F250" s="323">
        <v>0</v>
      </c>
      <c r="G250" s="323">
        <v>0</v>
      </c>
      <c r="H250" s="322" t="s">
        <v>405</v>
      </c>
    </row>
    <row r="251" spans="1:8" x14ac:dyDescent="0.6">
      <c r="A251" s="241"/>
      <c r="B251" s="322"/>
      <c r="C251" s="322"/>
      <c r="D251" s="322"/>
      <c r="E251" s="322" t="s">
        <v>428</v>
      </c>
      <c r="F251" s="323">
        <v>0</v>
      </c>
      <c r="G251" s="323">
        <v>0</v>
      </c>
      <c r="H251" s="322" t="s">
        <v>405</v>
      </c>
    </row>
    <row r="252" spans="1:8" x14ac:dyDescent="0.6">
      <c r="A252" s="241"/>
      <c r="B252" s="322"/>
      <c r="C252" s="322"/>
      <c r="D252" s="322"/>
      <c r="E252" s="322" t="s">
        <v>429</v>
      </c>
      <c r="F252" s="323">
        <v>0</v>
      </c>
      <c r="G252" s="323">
        <v>0</v>
      </c>
      <c r="H252" s="322" t="s">
        <v>405</v>
      </c>
    </row>
    <row r="253" spans="1:8" x14ac:dyDescent="0.6">
      <c r="A253" s="241"/>
      <c r="B253" s="322"/>
      <c r="C253" s="322"/>
      <c r="D253" s="322"/>
      <c r="E253" s="322" t="s">
        <v>430</v>
      </c>
      <c r="F253" s="321">
        <v>524977</v>
      </c>
      <c r="G253" s="321">
        <v>524977</v>
      </c>
      <c r="H253" s="323">
        <v>0</v>
      </c>
    </row>
    <row r="254" spans="1:8" x14ac:dyDescent="0.6">
      <c r="A254" s="241"/>
      <c r="B254" s="322"/>
      <c r="C254" s="322"/>
      <c r="D254" s="322"/>
      <c r="E254" s="322" t="s">
        <v>431</v>
      </c>
      <c r="F254" s="323">
        <v>0</v>
      </c>
      <c r="G254" s="323">
        <v>0</v>
      </c>
      <c r="H254" s="322" t="s">
        <v>405</v>
      </c>
    </row>
    <row r="255" spans="1:8" x14ac:dyDescent="0.6">
      <c r="A255" s="241"/>
      <c r="B255" s="322"/>
      <c r="C255" s="322"/>
      <c r="D255" s="322"/>
      <c r="E255" s="322" t="s">
        <v>432</v>
      </c>
      <c r="F255" s="323">
        <v>0</v>
      </c>
      <c r="G255" s="323">
        <v>0</v>
      </c>
      <c r="H255" s="322" t="s">
        <v>405</v>
      </c>
    </row>
    <row r="256" spans="1:8" x14ac:dyDescent="0.6">
      <c r="A256" s="241"/>
      <c r="B256" s="322"/>
      <c r="C256" s="322"/>
      <c r="D256" s="322"/>
      <c r="E256" s="322" t="s">
        <v>433</v>
      </c>
      <c r="F256" s="323">
        <v>0</v>
      </c>
      <c r="G256" s="323">
        <v>0</v>
      </c>
      <c r="H256" s="322" t="s">
        <v>405</v>
      </c>
    </row>
    <row r="257" spans="1:30" x14ac:dyDescent="0.6">
      <c r="A257" s="241"/>
      <c r="B257" s="322"/>
      <c r="C257" s="322"/>
      <c r="D257" s="322"/>
      <c r="E257" s="322" t="s">
        <v>434</v>
      </c>
      <c r="F257" s="323">
        <v>0</v>
      </c>
      <c r="G257" s="323">
        <v>0</v>
      </c>
      <c r="H257" s="322" t="s">
        <v>405</v>
      </c>
    </row>
    <row r="258" spans="1:30" x14ac:dyDescent="0.6">
      <c r="A258" s="241"/>
      <c r="B258" s="322"/>
      <c r="C258" s="322"/>
      <c r="D258" s="322"/>
      <c r="E258" s="322" t="s">
        <v>435</v>
      </c>
      <c r="F258" s="323">
        <v>0</v>
      </c>
      <c r="G258" s="323">
        <v>0</v>
      </c>
      <c r="H258" s="322" t="s">
        <v>405</v>
      </c>
    </row>
    <row r="259" spans="1:30" x14ac:dyDescent="0.6">
      <c r="A259" s="241"/>
      <c r="B259" s="322"/>
      <c r="C259" s="322"/>
      <c r="D259" s="322"/>
      <c r="E259" s="322" t="s">
        <v>436</v>
      </c>
      <c r="F259" s="321">
        <v>2724318</v>
      </c>
      <c r="G259" s="321">
        <v>6694458</v>
      </c>
      <c r="H259" s="323">
        <v>-59</v>
      </c>
    </row>
    <row r="260" spans="1:30" x14ac:dyDescent="0.6">
      <c r="A260" s="241"/>
      <c r="B260" s="322"/>
      <c r="C260" s="322"/>
      <c r="D260" s="322"/>
      <c r="E260" s="322" t="s">
        <v>437</v>
      </c>
      <c r="F260" s="321">
        <v>9249295</v>
      </c>
      <c r="G260" s="321">
        <v>13219435</v>
      </c>
      <c r="H260" s="323">
        <v>-30</v>
      </c>
    </row>
    <row r="261" spans="1:30" x14ac:dyDescent="0.6">
      <c r="A261" s="241" t="s">
        <v>438</v>
      </c>
      <c r="B261" s="321">
        <v>24117509</v>
      </c>
      <c r="C261" s="321">
        <v>20243835</v>
      </c>
      <c r="D261" s="323">
        <v>19</v>
      </c>
      <c r="E261" s="322" t="s">
        <v>439</v>
      </c>
      <c r="F261" s="321">
        <v>24117509</v>
      </c>
      <c r="G261" s="321">
        <v>20243835</v>
      </c>
      <c r="H261" s="323">
        <v>19</v>
      </c>
    </row>
    <row r="262" spans="1:30" ht="23.25" thickBot="1" x14ac:dyDescent="0.65"/>
    <row r="263" spans="1:30" ht="25.5" x14ac:dyDescent="0.7">
      <c r="A263" s="640" t="s">
        <v>59</v>
      </c>
      <c r="B263" s="641" t="s">
        <v>81</v>
      </c>
      <c r="C263" s="641" t="s">
        <v>80</v>
      </c>
      <c r="D263" s="641" t="s">
        <v>79</v>
      </c>
      <c r="E263" s="641" t="s">
        <v>78</v>
      </c>
      <c r="F263" s="641" t="s">
        <v>74</v>
      </c>
      <c r="G263" s="641" t="s">
        <v>70</v>
      </c>
      <c r="H263" s="642" t="s">
        <v>69</v>
      </c>
    </row>
    <row r="264" spans="1:30" ht="26.25" thickBot="1" x14ac:dyDescent="0.75">
      <c r="A264" s="643" t="s">
        <v>437</v>
      </c>
      <c r="B264" s="644">
        <v>1799768</v>
      </c>
      <c r="C264" s="644">
        <v>2804218</v>
      </c>
      <c r="D264" s="645">
        <v>1258706</v>
      </c>
      <c r="E264" s="645">
        <v>3706194</v>
      </c>
      <c r="F264" s="645">
        <v>6246913</v>
      </c>
      <c r="G264" s="645">
        <v>13219435</v>
      </c>
      <c r="H264" s="646">
        <v>9249295</v>
      </c>
    </row>
    <row r="266" spans="1:30" x14ac:dyDescent="0.6">
      <c r="A266" s="630" t="s">
        <v>349</v>
      </c>
      <c r="B266" s="630" t="s">
        <v>350</v>
      </c>
      <c r="C266" s="630" t="s">
        <v>351</v>
      </c>
      <c r="D266" s="630" t="s">
        <v>473</v>
      </c>
      <c r="E266" s="630" t="s">
        <v>352</v>
      </c>
      <c r="F266" s="630" t="s">
        <v>353</v>
      </c>
      <c r="G266" s="630" t="s">
        <v>354</v>
      </c>
      <c r="H266" s="630" t="s">
        <v>355</v>
      </c>
      <c r="I266" s="630" t="s">
        <v>356</v>
      </c>
      <c r="J266" s="630" t="s">
        <v>357</v>
      </c>
      <c r="K266" s="630" t="s">
        <v>358</v>
      </c>
      <c r="L266" s="630" t="s">
        <v>359</v>
      </c>
      <c r="M266" s="630" t="s">
        <v>360</v>
      </c>
      <c r="N266" s="630" t="s">
        <v>361</v>
      </c>
      <c r="O266" s="635" t="s">
        <v>453</v>
      </c>
      <c r="Q266" s="630" t="s">
        <v>368</v>
      </c>
      <c r="R266" s="630" t="s">
        <v>369</v>
      </c>
      <c r="S266" s="630" t="s">
        <v>370</v>
      </c>
      <c r="T266" s="630" t="s">
        <v>371</v>
      </c>
      <c r="U266" s="630" t="s">
        <v>372</v>
      </c>
      <c r="V266" s="630" t="s">
        <v>373</v>
      </c>
      <c r="W266" s="630" t="s">
        <v>374</v>
      </c>
      <c r="X266" s="630" t="s">
        <v>375</v>
      </c>
      <c r="Y266" s="630" t="s">
        <v>376</v>
      </c>
      <c r="Z266" s="630" t="s">
        <v>377</v>
      </c>
      <c r="AA266" s="630" t="s">
        <v>378</v>
      </c>
      <c r="AB266" s="630" t="s">
        <v>379</v>
      </c>
      <c r="AC266" s="630" t="s">
        <v>380</v>
      </c>
      <c r="AD266" s="630" t="s">
        <v>361</v>
      </c>
    </row>
    <row r="267" spans="1:30" x14ac:dyDescent="0.6">
      <c r="A267" s="630" t="s">
        <v>333</v>
      </c>
      <c r="B267" s="630">
        <v>77592</v>
      </c>
      <c r="C267" s="630">
        <v>70735</v>
      </c>
      <c r="D267" s="630">
        <v>46261</v>
      </c>
      <c r="E267" s="630">
        <v>70055</v>
      </c>
      <c r="F267" s="630">
        <v>61190</v>
      </c>
      <c r="G267" s="630">
        <v>55859</v>
      </c>
      <c r="H267" s="630">
        <v>0</v>
      </c>
      <c r="I267" s="630">
        <v>0</v>
      </c>
      <c r="J267" s="630">
        <v>0</v>
      </c>
      <c r="K267" s="630">
        <v>0</v>
      </c>
      <c r="L267" s="630">
        <v>0</v>
      </c>
      <c r="M267" s="630">
        <v>0</v>
      </c>
      <c r="N267" s="630">
        <f>SUM(B267:M267)</f>
        <v>381692</v>
      </c>
      <c r="O267" s="999">
        <f>SUM(R267:W267)</f>
        <v>452936</v>
      </c>
      <c r="Q267" s="630" t="s">
        <v>333</v>
      </c>
      <c r="R267" s="630">
        <v>74676</v>
      </c>
      <c r="S267" s="630">
        <v>73170</v>
      </c>
      <c r="T267" s="630">
        <v>76440</v>
      </c>
      <c r="U267" s="630">
        <v>73272</v>
      </c>
      <c r="V267" s="630">
        <v>76779</v>
      </c>
      <c r="W267" s="630">
        <v>78599</v>
      </c>
      <c r="X267" s="630">
        <v>71612</v>
      </c>
      <c r="Y267" s="630">
        <v>51956</v>
      </c>
      <c r="Z267" s="630">
        <v>75727</v>
      </c>
      <c r="AA267" s="630">
        <v>74807</v>
      </c>
      <c r="AB267" s="630">
        <v>70421</v>
      </c>
      <c r="AC267" s="630">
        <v>68515</v>
      </c>
      <c r="AD267" s="630">
        <v>865974</v>
      </c>
    </row>
    <row r="268" spans="1:30" x14ac:dyDescent="0.6">
      <c r="A268" s="630" t="s">
        <v>332</v>
      </c>
      <c r="B268" s="630">
        <v>73183</v>
      </c>
      <c r="C268" s="630">
        <v>73263</v>
      </c>
      <c r="D268" s="630">
        <v>73821</v>
      </c>
      <c r="E268" s="630">
        <v>75189</v>
      </c>
      <c r="F268" s="630">
        <v>71638</v>
      </c>
      <c r="G268" s="630">
        <v>79940</v>
      </c>
      <c r="H268" s="630"/>
      <c r="I268" s="630"/>
      <c r="J268" s="630"/>
      <c r="K268" s="630"/>
      <c r="L268" s="630"/>
      <c r="M268" s="630"/>
      <c r="N268" s="630">
        <f>SUM(B268:M268)</f>
        <v>447034</v>
      </c>
      <c r="O268" s="999">
        <f>SUM(R268:W268)</f>
        <v>411891</v>
      </c>
      <c r="Q268" s="630" t="s">
        <v>332</v>
      </c>
      <c r="R268" s="630">
        <v>59098</v>
      </c>
      <c r="S268" s="630">
        <v>61820</v>
      </c>
      <c r="T268" s="630">
        <v>76584</v>
      </c>
      <c r="U268" s="630">
        <v>73156</v>
      </c>
      <c r="V268" s="630">
        <v>66378</v>
      </c>
      <c r="W268" s="630">
        <v>74855</v>
      </c>
      <c r="X268" s="630">
        <v>66848</v>
      </c>
      <c r="Y268" s="630">
        <v>76579</v>
      </c>
      <c r="Z268" s="630">
        <v>80472</v>
      </c>
      <c r="AA268" s="630">
        <v>77743</v>
      </c>
      <c r="AB268" s="630">
        <v>73387</v>
      </c>
      <c r="AC268" s="630">
        <v>66098</v>
      </c>
      <c r="AD268" s="630">
        <v>853018</v>
      </c>
    </row>
    <row r="269" spans="1:30" x14ac:dyDescent="0.6">
      <c r="A269" s="668"/>
      <c r="B269" s="668"/>
      <c r="C269" s="668"/>
      <c r="D269" s="668"/>
      <c r="E269" s="668"/>
      <c r="F269" s="668"/>
      <c r="G269" s="668"/>
      <c r="H269" s="668"/>
      <c r="I269" s="668"/>
      <c r="J269" s="668"/>
      <c r="K269" s="668"/>
      <c r="L269" s="668"/>
      <c r="M269" s="668"/>
      <c r="N269" s="668"/>
      <c r="Q269" s="668"/>
      <c r="R269" s="668"/>
      <c r="S269" s="668"/>
      <c r="T269" s="668"/>
      <c r="U269" s="668"/>
      <c r="V269" s="668"/>
      <c r="W269" s="668"/>
      <c r="X269" s="668"/>
      <c r="Y269" s="668"/>
      <c r="Z269" s="668"/>
      <c r="AA269" s="668"/>
      <c r="AB269" s="668"/>
      <c r="AC269" s="668"/>
      <c r="AD269" s="669"/>
    </row>
    <row r="270" spans="1:30" x14ac:dyDescent="0.6">
      <c r="A270" s="668"/>
      <c r="B270" s="668"/>
      <c r="C270" s="668"/>
      <c r="D270" s="668"/>
      <c r="E270" s="668"/>
      <c r="F270" s="668"/>
      <c r="G270" s="668"/>
      <c r="H270" s="668"/>
      <c r="I270" s="668"/>
      <c r="J270" s="668"/>
      <c r="K270" s="668"/>
      <c r="L270" s="668"/>
      <c r="M270" s="668"/>
      <c r="N270" s="668"/>
      <c r="Q270" s="668"/>
      <c r="R270" s="668"/>
      <c r="S270" s="668"/>
      <c r="T270" s="668"/>
      <c r="U270" s="668"/>
      <c r="V270" s="668"/>
      <c r="W270" s="668"/>
      <c r="X270" s="668"/>
      <c r="Y270" s="668"/>
      <c r="Z270" s="668"/>
      <c r="AA270" s="668"/>
      <c r="AB270" s="668"/>
      <c r="AC270" s="668"/>
      <c r="AD270" s="669"/>
    </row>
    <row r="271" spans="1:30" x14ac:dyDescent="0.6">
      <c r="A271" s="668"/>
      <c r="B271" s="668"/>
      <c r="C271" s="668"/>
      <c r="D271" s="668"/>
      <c r="E271" s="668"/>
      <c r="F271" s="668"/>
      <c r="G271" s="668"/>
      <c r="H271" s="668"/>
      <c r="I271" s="668"/>
      <c r="J271" s="668"/>
      <c r="K271" s="668"/>
      <c r="L271" s="668"/>
      <c r="M271" s="668"/>
      <c r="N271" s="668"/>
      <c r="Q271" s="668"/>
      <c r="R271" s="668"/>
      <c r="S271" s="668"/>
      <c r="T271" s="668"/>
      <c r="U271" s="668"/>
      <c r="V271" s="668"/>
      <c r="W271" s="668"/>
      <c r="X271" s="668"/>
      <c r="Y271" s="668"/>
      <c r="Z271" s="668"/>
      <c r="AA271" s="668"/>
      <c r="AB271" s="668"/>
      <c r="AC271" s="668"/>
      <c r="AD271" s="669"/>
    </row>
    <row r="272" spans="1:30" x14ac:dyDescent="0.6">
      <c r="A272" s="631" t="s">
        <v>362</v>
      </c>
      <c r="B272" s="631" t="s">
        <v>350</v>
      </c>
      <c r="C272" s="631" t="s">
        <v>351</v>
      </c>
      <c r="D272" s="631" t="s">
        <v>473</v>
      </c>
      <c r="E272" s="631" t="s">
        <v>352</v>
      </c>
      <c r="F272" s="631" t="s">
        <v>353</v>
      </c>
      <c r="G272" s="631" t="s">
        <v>354</v>
      </c>
      <c r="H272" s="631" t="s">
        <v>355</v>
      </c>
      <c r="I272" s="631" t="s">
        <v>356</v>
      </c>
      <c r="J272" s="631" t="s">
        <v>357</v>
      </c>
      <c r="K272" s="631" t="s">
        <v>358</v>
      </c>
      <c r="L272" s="631" t="s">
        <v>359</v>
      </c>
      <c r="M272" s="631" t="s">
        <v>360</v>
      </c>
      <c r="N272" s="631" t="s">
        <v>361</v>
      </c>
      <c r="O272" s="635" t="s">
        <v>453</v>
      </c>
      <c r="Q272" s="631" t="s">
        <v>381</v>
      </c>
      <c r="R272" s="631" t="s">
        <v>369</v>
      </c>
      <c r="S272" s="631" t="s">
        <v>370</v>
      </c>
      <c r="T272" s="631" t="s">
        <v>371</v>
      </c>
      <c r="U272" s="631" t="s">
        <v>372</v>
      </c>
      <c r="V272" s="631" t="s">
        <v>373</v>
      </c>
      <c r="W272" s="631" t="s">
        <v>374</v>
      </c>
      <c r="X272" s="631" t="s">
        <v>375</v>
      </c>
      <c r="Y272" s="631" t="s">
        <v>376</v>
      </c>
      <c r="Z272" s="631" t="s">
        <v>377</v>
      </c>
      <c r="AA272" s="631" t="s">
        <v>378</v>
      </c>
      <c r="AB272" s="631" t="s">
        <v>379</v>
      </c>
      <c r="AC272" s="631" t="s">
        <v>380</v>
      </c>
      <c r="AD272" s="631" t="s">
        <v>361</v>
      </c>
    </row>
    <row r="273" spans="1:30" x14ac:dyDescent="0.6">
      <c r="A273" s="631" t="s">
        <v>330</v>
      </c>
      <c r="B273" s="631">
        <v>0</v>
      </c>
      <c r="C273" s="631">
        <v>21759</v>
      </c>
      <c r="D273" s="631">
        <v>28665</v>
      </c>
      <c r="E273" s="631">
        <v>15429</v>
      </c>
      <c r="F273" s="631">
        <v>20216</v>
      </c>
      <c r="G273" s="631">
        <v>15306</v>
      </c>
      <c r="H273" s="631">
        <v>0</v>
      </c>
      <c r="I273" s="631">
        <v>0</v>
      </c>
      <c r="J273" s="631">
        <v>0</v>
      </c>
      <c r="K273" s="631">
        <v>0</v>
      </c>
      <c r="L273" s="631">
        <v>0</v>
      </c>
      <c r="M273" s="631">
        <v>0</v>
      </c>
      <c r="N273" s="631">
        <f>SUM(B273:M273)</f>
        <v>101375</v>
      </c>
      <c r="O273" s="999">
        <f>SUM(R273:W273)</f>
        <v>124343</v>
      </c>
      <c r="Q273" s="631" t="s">
        <v>330</v>
      </c>
      <c r="R273" s="631">
        <v>29281</v>
      </c>
      <c r="S273" s="631">
        <v>34688</v>
      </c>
      <c r="T273" s="631">
        <v>29846</v>
      </c>
      <c r="U273" s="631">
        <v>30528</v>
      </c>
      <c r="V273" s="631">
        <v>0</v>
      </c>
      <c r="W273" s="631">
        <v>0</v>
      </c>
      <c r="X273" s="631">
        <v>0</v>
      </c>
      <c r="Y273" s="631">
        <v>0</v>
      </c>
      <c r="Z273" s="631">
        <v>0</v>
      </c>
      <c r="AA273" s="631">
        <v>0</v>
      </c>
      <c r="AB273" s="631">
        <v>10207</v>
      </c>
      <c r="AC273" s="631">
        <v>39107</v>
      </c>
      <c r="AD273" s="631">
        <v>173657</v>
      </c>
    </row>
    <row r="274" spans="1:30" x14ac:dyDescent="0.6">
      <c r="A274" s="631" t="s">
        <v>474</v>
      </c>
      <c r="B274" s="631">
        <v>43573</v>
      </c>
      <c r="C274" s="631">
        <v>49796</v>
      </c>
      <c r="D274" s="631">
        <v>45750</v>
      </c>
      <c r="E274" s="631">
        <v>49725</v>
      </c>
      <c r="F274" s="631">
        <v>57416</v>
      </c>
      <c r="G274" s="631">
        <v>30305</v>
      </c>
      <c r="H274" s="631">
        <v>0</v>
      </c>
      <c r="I274" s="631">
        <v>0</v>
      </c>
      <c r="J274" s="631">
        <v>0</v>
      </c>
      <c r="K274" s="631">
        <v>0</v>
      </c>
      <c r="L274" s="631">
        <v>0</v>
      </c>
      <c r="M274" s="631">
        <v>0</v>
      </c>
      <c r="N274" s="631">
        <f>SUM(B274:M274)</f>
        <v>276565</v>
      </c>
      <c r="O274" s="999">
        <f>SUM(R274:W274)</f>
        <v>289646</v>
      </c>
      <c r="Q274" s="631" t="s">
        <v>474</v>
      </c>
      <c r="R274" s="631">
        <v>6986</v>
      </c>
      <c r="S274" s="631">
        <v>32886</v>
      </c>
      <c r="T274" s="631">
        <v>71325</v>
      </c>
      <c r="U274" s="631">
        <v>70168</v>
      </c>
      <c r="V274" s="631">
        <v>62531</v>
      </c>
      <c r="W274" s="631">
        <v>45750</v>
      </c>
      <c r="X274" s="631">
        <v>54831</v>
      </c>
      <c r="Y274" s="631">
        <v>80262</v>
      </c>
      <c r="Z274" s="631">
        <v>63332</v>
      </c>
      <c r="AA274" s="631">
        <v>132648</v>
      </c>
      <c r="AB274" s="631">
        <v>52293</v>
      </c>
      <c r="AC274" s="631">
        <v>62332</v>
      </c>
      <c r="AD274" s="631">
        <v>735344</v>
      </c>
    </row>
    <row r="275" spans="1:30" x14ac:dyDescent="0.6">
      <c r="A275" s="668"/>
      <c r="B275" s="670">
        <f>SUM(B273:B274)</f>
        <v>43573</v>
      </c>
      <c r="C275" s="670">
        <f t="shared" ref="C275:G275" si="52">SUM(C273:C274)</f>
        <v>71555</v>
      </c>
      <c r="D275" s="670">
        <f t="shared" si="52"/>
        <v>74415</v>
      </c>
      <c r="E275" s="670">
        <f t="shared" si="52"/>
        <v>65154</v>
      </c>
      <c r="F275" s="670">
        <f t="shared" si="52"/>
        <v>77632</v>
      </c>
      <c r="G275" s="670">
        <f t="shared" si="52"/>
        <v>45611</v>
      </c>
      <c r="H275" s="668"/>
      <c r="I275" s="668"/>
      <c r="J275" s="668"/>
      <c r="K275" s="668"/>
      <c r="L275" s="668"/>
      <c r="M275" s="668"/>
      <c r="N275" s="669">
        <f>SUM(N273:N274)</f>
        <v>377940</v>
      </c>
      <c r="O275" s="999">
        <f>SUM(O273:O274)</f>
        <v>413989</v>
      </c>
      <c r="Q275" s="668"/>
      <c r="R275" s="670">
        <f>SUM(R273:R274)</f>
        <v>36267</v>
      </c>
      <c r="S275" s="670">
        <f t="shared" ref="S275:AC275" si="53">SUM(S273:S274)</f>
        <v>67574</v>
      </c>
      <c r="T275" s="670">
        <f t="shared" si="53"/>
        <v>101171</v>
      </c>
      <c r="U275" s="670">
        <f t="shared" si="53"/>
        <v>100696</v>
      </c>
      <c r="V275" s="670">
        <f t="shared" si="53"/>
        <v>62531</v>
      </c>
      <c r="W275" s="670">
        <f t="shared" si="53"/>
        <v>45750</v>
      </c>
      <c r="X275" s="670">
        <f t="shared" si="53"/>
        <v>54831</v>
      </c>
      <c r="Y275" s="670">
        <f t="shared" si="53"/>
        <v>80262</v>
      </c>
      <c r="Z275" s="670">
        <f t="shared" si="53"/>
        <v>63332</v>
      </c>
      <c r="AA275" s="670">
        <f t="shared" si="53"/>
        <v>132648</v>
      </c>
      <c r="AB275" s="670">
        <f t="shared" si="53"/>
        <v>62500</v>
      </c>
      <c r="AC275" s="670">
        <f t="shared" si="53"/>
        <v>101439</v>
      </c>
      <c r="AD275" s="669"/>
    </row>
    <row r="276" spans="1:30" x14ac:dyDescent="0.6">
      <c r="A276" s="668"/>
      <c r="B276" s="668"/>
      <c r="C276" s="668"/>
      <c r="D276" s="668"/>
      <c r="E276" s="668"/>
      <c r="F276" s="668"/>
      <c r="G276" s="668"/>
      <c r="H276" s="668"/>
      <c r="I276" s="668"/>
      <c r="J276" s="668"/>
      <c r="K276" s="668"/>
      <c r="L276" s="668"/>
      <c r="M276" s="668"/>
      <c r="N276" s="669"/>
      <c r="Q276" s="668"/>
      <c r="R276" s="668"/>
      <c r="S276" s="668"/>
      <c r="T276" s="668"/>
      <c r="U276" s="668"/>
      <c r="V276" s="668"/>
      <c r="W276" s="668"/>
      <c r="X276" s="668"/>
      <c r="Y276" s="668"/>
      <c r="Z276" s="668"/>
      <c r="AA276" s="668"/>
      <c r="AB276" s="668"/>
      <c r="AC276" s="668"/>
      <c r="AD276" s="669"/>
    </row>
    <row r="277" spans="1:30" x14ac:dyDescent="0.6">
      <c r="A277" s="632" t="s">
        <v>363</v>
      </c>
      <c r="B277" s="632" t="s">
        <v>350</v>
      </c>
      <c r="C277" s="632" t="s">
        <v>351</v>
      </c>
      <c r="D277" s="632" t="s">
        <v>473</v>
      </c>
      <c r="E277" s="632" t="s">
        <v>352</v>
      </c>
      <c r="F277" s="632" t="s">
        <v>353</v>
      </c>
      <c r="G277" s="632" t="s">
        <v>354</v>
      </c>
      <c r="H277" s="632" t="s">
        <v>355</v>
      </c>
      <c r="I277" s="632" t="s">
        <v>356</v>
      </c>
      <c r="J277" s="632" t="s">
        <v>357</v>
      </c>
      <c r="K277" s="632" t="s">
        <v>358</v>
      </c>
      <c r="L277" s="632" t="s">
        <v>359</v>
      </c>
      <c r="M277" s="632" t="s">
        <v>360</v>
      </c>
      <c r="N277" s="632" t="s">
        <v>361</v>
      </c>
      <c r="O277" s="635" t="s">
        <v>453</v>
      </c>
      <c r="Q277" s="632" t="s">
        <v>382</v>
      </c>
      <c r="R277" s="632" t="s">
        <v>369</v>
      </c>
      <c r="S277" s="632" t="s">
        <v>370</v>
      </c>
      <c r="T277" s="632" t="s">
        <v>371</v>
      </c>
      <c r="U277" s="632" t="s">
        <v>372</v>
      </c>
      <c r="V277" s="632" t="s">
        <v>373</v>
      </c>
      <c r="W277" s="632" t="s">
        <v>374</v>
      </c>
      <c r="X277" s="632" t="s">
        <v>375</v>
      </c>
      <c r="Y277" s="632" t="s">
        <v>376</v>
      </c>
      <c r="Z277" s="632" t="s">
        <v>377</v>
      </c>
      <c r="AA277" s="632" t="s">
        <v>378</v>
      </c>
      <c r="AB277" s="632" t="s">
        <v>379</v>
      </c>
      <c r="AC277" s="632" t="s">
        <v>380</v>
      </c>
      <c r="AD277" s="632" t="s">
        <v>361</v>
      </c>
    </row>
    <row r="278" spans="1:30" x14ac:dyDescent="0.6">
      <c r="A278" s="632" t="s">
        <v>330</v>
      </c>
      <c r="B278" s="632"/>
      <c r="C278" s="632">
        <v>37532423</v>
      </c>
      <c r="D278" s="632">
        <v>41475109</v>
      </c>
      <c r="E278" s="632">
        <v>45419859</v>
      </c>
      <c r="F278" s="632">
        <v>43922537</v>
      </c>
      <c r="G278" s="632">
        <v>41797204</v>
      </c>
      <c r="H278" s="632"/>
      <c r="I278" s="632"/>
      <c r="J278" s="632"/>
      <c r="K278" s="632"/>
      <c r="L278" s="632"/>
      <c r="M278" s="632"/>
      <c r="N278" s="632">
        <f>AVERAGE(B278:M278)</f>
        <v>42029426.399999999</v>
      </c>
      <c r="O278" s="999">
        <f>AVERAGE(R278:W278)</f>
        <v>20980548</v>
      </c>
      <c r="Q278" s="632" t="s">
        <v>330</v>
      </c>
      <c r="R278" s="632">
        <v>20579762</v>
      </c>
      <c r="S278" s="632">
        <v>20789697</v>
      </c>
      <c r="T278" s="632">
        <v>21095088</v>
      </c>
      <c r="U278" s="632">
        <v>21457645</v>
      </c>
      <c r="V278" s="632"/>
      <c r="W278" s="632"/>
      <c r="X278" s="632"/>
      <c r="Y278" s="632"/>
      <c r="Z278" s="632"/>
      <c r="AA278" s="632"/>
      <c r="AB278" s="632">
        <v>30830802</v>
      </c>
      <c r="AC278" s="632">
        <v>32408188</v>
      </c>
      <c r="AD278" s="632">
        <v>13987032</v>
      </c>
    </row>
    <row r="279" spans="1:30" x14ac:dyDescent="0.6">
      <c r="A279" s="632" t="s">
        <v>474</v>
      </c>
      <c r="B279" s="632">
        <v>36793771</v>
      </c>
      <c r="C279" s="632">
        <v>39929653</v>
      </c>
      <c r="D279" s="632">
        <v>40700328</v>
      </c>
      <c r="E279" s="632">
        <v>34943650</v>
      </c>
      <c r="F279" s="632">
        <v>35307371</v>
      </c>
      <c r="G279" s="632">
        <v>33369873</v>
      </c>
      <c r="H279" s="632"/>
      <c r="I279" s="632"/>
      <c r="J279" s="632"/>
      <c r="K279" s="632"/>
      <c r="L279" s="632"/>
      <c r="M279" s="632"/>
      <c r="N279" s="632">
        <f>AVERAGE(B279:M279)</f>
        <v>36840774.333333336</v>
      </c>
      <c r="O279" s="999">
        <f>AVERAGE(R279:W279)</f>
        <v>26786275</v>
      </c>
      <c r="Q279" s="632" t="s">
        <v>474</v>
      </c>
      <c r="R279" s="632">
        <v>22174349</v>
      </c>
      <c r="S279" s="632">
        <v>21570334</v>
      </c>
      <c r="T279" s="632">
        <v>23573824</v>
      </c>
      <c r="U279" s="632">
        <v>26792655</v>
      </c>
      <c r="V279" s="632">
        <v>31996674</v>
      </c>
      <c r="W279" s="632">
        <v>34609814</v>
      </c>
      <c r="X279" s="632">
        <v>35079462</v>
      </c>
      <c r="Y279" s="632">
        <v>34931886</v>
      </c>
      <c r="Z279" s="632">
        <v>27223520</v>
      </c>
      <c r="AA279" s="632">
        <v>27309752</v>
      </c>
      <c r="AB279" s="632">
        <v>30775687</v>
      </c>
      <c r="AC279" s="632">
        <v>37592890</v>
      </c>
      <c r="AD279" s="632">
        <v>26786275</v>
      </c>
    </row>
    <row r="280" spans="1:30" x14ac:dyDescent="0.6">
      <c r="A280" s="668"/>
      <c r="B280" s="670"/>
      <c r="C280" s="670"/>
      <c r="D280" s="670"/>
      <c r="E280" s="670"/>
      <c r="F280" s="670"/>
      <c r="G280" s="670"/>
      <c r="H280" s="670"/>
      <c r="I280" s="670"/>
      <c r="J280" s="670"/>
      <c r="K280" s="670"/>
      <c r="L280" s="670"/>
      <c r="M280" s="670"/>
      <c r="N280" s="671"/>
      <c r="Q280" s="668"/>
      <c r="R280" s="670"/>
      <c r="S280" s="670"/>
      <c r="T280" s="670"/>
      <c r="U280" s="670"/>
      <c r="V280" s="670"/>
      <c r="W280" s="670"/>
      <c r="X280" s="670"/>
      <c r="Y280" s="670"/>
      <c r="Z280" s="670"/>
      <c r="AA280" s="670"/>
      <c r="AB280" s="670"/>
      <c r="AC280" s="670"/>
      <c r="AD280" s="671"/>
    </row>
    <row r="281" spans="1:30" x14ac:dyDescent="0.6">
      <c r="A281" s="668"/>
      <c r="B281" s="670"/>
      <c r="C281" s="670"/>
      <c r="D281" s="670"/>
      <c r="E281" s="670"/>
      <c r="F281" s="670"/>
      <c r="G281" s="670"/>
      <c r="H281" s="670"/>
      <c r="I281" s="670"/>
      <c r="J281" s="670"/>
      <c r="K281" s="670"/>
      <c r="L281" s="670"/>
      <c r="M281" s="670"/>
      <c r="N281" s="671"/>
      <c r="Q281" s="668"/>
      <c r="R281" s="670"/>
      <c r="S281" s="670"/>
      <c r="T281" s="670"/>
      <c r="U281" s="670"/>
      <c r="V281" s="670"/>
      <c r="W281" s="670"/>
      <c r="X281" s="670"/>
      <c r="Y281" s="670"/>
      <c r="Z281" s="670"/>
      <c r="AA281" s="670"/>
      <c r="AB281" s="670"/>
      <c r="AC281" s="670"/>
      <c r="AD281" s="671"/>
    </row>
    <row r="282" spans="1:30" x14ac:dyDescent="0.6">
      <c r="A282" s="668"/>
      <c r="B282" s="670"/>
      <c r="C282" s="670"/>
      <c r="D282" s="670"/>
      <c r="E282" s="670"/>
      <c r="F282" s="670"/>
      <c r="G282" s="670"/>
      <c r="H282" s="670"/>
      <c r="I282" s="670"/>
      <c r="J282" s="670"/>
      <c r="K282" s="670"/>
      <c r="L282" s="670"/>
      <c r="M282" s="670"/>
      <c r="N282" s="671"/>
      <c r="Q282" s="668"/>
      <c r="R282" s="670"/>
      <c r="S282" s="670"/>
      <c r="T282" s="670"/>
      <c r="U282" s="670"/>
      <c r="V282" s="670"/>
      <c r="W282" s="670"/>
      <c r="X282" s="670"/>
      <c r="Y282" s="670"/>
      <c r="Z282" s="670"/>
      <c r="AA282" s="670"/>
      <c r="AB282" s="670"/>
      <c r="AC282" s="670"/>
      <c r="AD282" s="671"/>
    </row>
    <row r="283" spans="1:30" x14ac:dyDescent="0.6">
      <c r="A283" s="634" t="s">
        <v>364</v>
      </c>
      <c r="B283" s="634" t="s">
        <v>350</v>
      </c>
      <c r="C283" s="634" t="s">
        <v>351</v>
      </c>
      <c r="D283" s="634" t="s">
        <v>473</v>
      </c>
      <c r="E283" s="634" t="s">
        <v>352</v>
      </c>
      <c r="F283" s="634" t="s">
        <v>353</v>
      </c>
      <c r="G283" s="634" t="s">
        <v>354</v>
      </c>
      <c r="H283" s="634" t="s">
        <v>355</v>
      </c>
      <c r="I283" s="634" t="s">
        <v>356</v>
      </c>
      <c r="J283" s="634" t="s">
        <v>357</v>
      </c>
      <c r="K283" s="634" t="s">
        <v>358</v>
      </c>
      <c r="L283" s="634" t="s">
        <v>359</v>
      </c>
      <c r="M283" s="634" t="s">
        <v>360</v>
      </c>
      <c r="N283" s="634" t="s">
        <v>361</v>
      </c>
      <c r="O283" s="635" t="s">
        <v>453</v>
      </c>
      <c r="Q283" s="634" t="s">
        <v>383</v>
      </c>
      <c r="R283" s="634" t="s">
        <v>369</v>
      </c>
      <c r="S283" s="634" t="s">
        <v>370</v>
      </c>
      <c r="T283" s="634" t="s">
        <v>371</v>
      </c>
      <c r="U283" s="634" t="s">
        <v>372</v>
      </c>
      <c r="V283" s="634" t="s">
        <v>373</v>
      </c>
      <c r="W283" s="634" t="s">
        <v>374</v>
      </c>
      <c r="X283" s="634" t="s">
        <v>375</v>
      </c>
      <c r="Y283" s="634" t="s">
        <v>376</v>
      </c>
      <c r="Z283" s="634" t="s">
        <v>377</v>
      </c>
      <c r="AA283" s="634" t="s">
        <v>378</v>
      </c>
      <c r="AB283" s="634" t="s">
        <v>379</v>
      </c>
      <c r="AC283" s="634" t="s">
        <v>380</v>
      </c>
      <c r="AD283" s="634" t="s">
        <v>361</v>
      </c>
    </row>
    <row r="284" spans="1:30" x14ac:dyDescent="0.6">
      <c r="A284" s="634" t="s">
        <v>330</v>
      </c>
      <c r="B284" s="634">
        <v>0</v>
      </c>
      <c r="C284" s="634">
        <v>816668</v>
      </c>
      <c r="D284" s="634">
        <v>1188884</v>
      </c>
      <c r="E284" s="634">
        <v>700783</v>
      </c>
      <c r="F284" s="634">
        <v>887938</v>
      </c>
      <c r="G284" s="634">
        <v>639748</v>
      </c>
      <c r="H284" s="634">
        <v>0</v>
      </c>
      <c r="I284" s="634">
        <v>0</v>
      </c>
      <c r="J284" s="634">
        <v>0</v>
      </c>
      <c r="K284" s="634">
        <v>0</v>
      </c>
      <c r="L284" s="634">
        <v>0</v>
      </c>
      <c r="M284" s="634">
        <v>0</v>
      </c>
      <c r="N284" s="634">
        <f>SUM(B284:M284)</f>
        <v>4234021</v>
      </c>
      <c r="O284" s="999">
        <f>SUM(R284:W284)</f>
        <v>2608412</v>
      </c>
      <c r="Q284" s="634" t="s">
        <v>330</v>
      </c>
      <c r="R284" s="634">
        <v>602596</v>
      </c>
      <c r="S284" s="634">
        <v>721153</v>
      </c>
      <c r="T284" s="634">
        <v>629604</v>
      </c>
      <c r="U284" s="634">
        <v>655059</v>
      </c>
      <c r="V284" s="634">
        <v>0</v>
      </c>
      <c r="W284" s="634">
        <v>0</v>
      </c>
      <c r="X284" s="634">
        <v>0</v>
      </c>
      <c r="Y284" s="634">
        <v>0</v>
      </c>
      <c r="Z284" s="634">
        <v>0</v>
      </c>
      <c r="AA284" s="634">
        <v>0</v>
      </c>
      <c r="AB284" s="634">
        <v>314690</v>
      </c>
      <c r="AC284" s="634">
        <v>1267387</v>
      </c>
      <c r="AD284" s="634">
        <v>4190489</v>
      </c>
    </row>
    <row r="285" spans="1:30" x14ac:dyDescent="0.6">
      <c r="A285" s="634" t="s">
        <v>474</v>
      </c>
      <c r="B285" s="634">
        <v>1603215</v>
      </c>
      <c r="C285" s="634">
        <v>1988337</v>
      </c>
      <c r="D285" s="634">
        <v>1862040</v>
      </c>
      <c r="E285" s="634">
        <v>1737573</v>
      </c>
      <c r="F285" s="634">
        <v>2027208</v>
      </c>
      <c r="G285" s="634">
        <v>1011274</v>
      </c>
      <c r="H285" s="634">
        <v>0</v>
      </c>
      <c r="I285" s="634">
        <v>0</v>
      </c>
      <c r="J285" s="634">
        <v>0</v>
      </c>
      <c r="K285" s="634">
        <v>0</v>
      </c>
      <c r="L285" s="634">
        <v>0</v>
      </c>
      <c r="M285" s="634">
        <v>0</v>
      </c>
      <c r="N285" s="634">
        <f>SUM(B285:M285)</f>
        <v>10229647</v>
      </c>
      <c r="O285" s="999">
        <f>SUM(R285:W285)</f>
        <v>8009845</v>
      </c>
      <c r="Q285" s="634" t="s">
        <v>474</v>
      </c>
      <c r="R285" s="634">
        <v>154910</v>
      </c>
      <c r="S285" s="634">
        <v>709362</v>
      </c>
      <c r="T285" s="634">
        <v>1681403</v>
      </c>
      <c r="U285" s="634">
        <v>1879987</v>
      </c>
      <c r="V285" s="634">
        <v>2000784</v>
      </c>
      <c r="W285" s="634">
        <v>1583399</v>
      </c>
      <c r="X285" s="634">
        <v>1923442</v>
      </c>
      <c r="Y285" s="634">
        <v>2803703</v>
      </c>
      <c r="Z285" s="634">
        <v>1724120</v>
      </c>
      <c r="AA285" s="634">
        <v>3622584</v>
      </c>
      <c r="AB285" s="634">
        <v>1609353</v>
      </c>
      <c r="AC285" s="634">
        <v>2343240</v>
      </c>
      <c r="AD285" s="634">
        <v>22036287</v>
      </c>
    </row>
    <row r="286" spans="1:30" x14ac:dyDescent="0.6">
      <c r="N286" s="978">
        <f>SUM(N284:N285)</f>
        <v>14463668</v>
      </c>
      <c r="O286" s="978">
        <f>SUM(O284:O285)</f>
        <v>10618257</v>
      </c>
    </row>
  </sheetData>
  <mergeCells count="3">
    <mergeCell ref="A188:A190"/>
    <mergeCell ref="G203:G214"/>
    <mergeCell ref="H203:T203"/>
  </mergeCells>
  <conditionalFormatting sqref="I205:T214">
    <cfRule type="colorScale" priority="1">
      <colorScale>
        <cfvo type="num" val="$B$208"/>
        <cfvo type="num" val="$B$207"/>
        <cfvo type="num" val="$B$206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O267:O268 O273:O274 O279 O284:O285" formulaRange="1"/>
    <ignoredError sqref="Q155 P156:Q156 P158:Q158 P159:Q1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0"/>
  <sheetViews>
    <sheetView rightToLeft="1" topLeftCell="A219" zoomScale="70" zoomScaleNormal="70" workbookViewId="0">
      <pane xSplit="1" topLeftCell="B1" activePane="topRight" state="frozen"/>
      <selection activeCell="N337" sqref="N337:O337"/>
      <selection pane="topRight" activeCell="D229" sqref="D229"/>
    </sheetView>
  </sheetViews>
  <sheetFormatPr defaultRowHeight="22.5" x14ac:dyDescent="0.6"/>
  <cols>
    <col min="1" max="1" width="62.7109375" style="2" bestFit="1" customWidth="1"/>
    <col min="2" max="2" width="15" style="2" bestFit="1" customWidth="1"/>
    <col min="3" max="3" width="14.7109375" style="2" bestFit="1" customWidth="1"/>
    <col min="4" max="4" width="15" style="2" bestFit="1" customWidth="1"/>
    <col min="5" max="5" width="14.7109375" style="2" bestFit="1" customWidth="1"/>
    <col min="6" max="6" width="20.42578125" style="2" customWidth="1"/>
    <col min="7" max="8" width="15.5703125" style="2" bestFit="1" customWidth="1"/>
    <col min="9" max="9" width="15.28515625" style="2" bestFit="1" customWidth="1"/>
    <col min="10" max="10" width="15.5703125" style="2" bestFit="1" customWidth="1"/>
    <col min="11" max="11" width="15.7109375" style="2" bestFit="1" customWidth="1"/>
    <col min="12" max="12" width="20.7109375" style="2" customWidth="1"/>
    <col min="13" max="13" width="16" style="2" bestFit="1" customWidth="1"/>
    <col min="14" max="14" width="15.5703125" style="2" bestFit="1" customWidth="1"/>
    <col min="15" max="18" width="14.42578125" style="2" customWidth="1"/>
    <col min="19" max="19" width="15.7109375" style="2" customWidth="1"/>
    <col min="20" max="20" width="28.7109375" style="2" customWidth="1"/>
    <col min="21" max="30" width="15.42578125" style="2" customWidth="1"/>
    <col min="31" max="31" width="9.140625" style="2"/>
    <col min="32" max="40" width="14.85546875" style="2" customWidth="1"/>
    <col min="41" max="16384" width="9.140625" style="2"/>
  </cols>
  <sheetData>
    <row r="1" spans="1:36" x14ac:dyDescent="0.6">
      <c r="A1" s="592" t="s">
        <v>183</v>
      </c>
      <c r="B1" s="592" t="s">
        <v>81</v>
      </c>
      <c r="C1" s="592" t="s">
        <v>80</v>
      </c>
      <c r="D1" s="592" t="s">
        <v>79</v>
      </c>
      <c r="E1" s="592" t="s">
        <v>78</v>
      </c>
      <c r="F1" s="592" t="s">
        <v>77</v>
      </c>
      <c r="G1" s="592" t="s">
        <v>76</v>
      </c>
      <c r="H1" s="592" t="s">
        <v>75</v>
      </c>
      <c r="I1" s="592" t="s">
        <v>74</v>
      </c>
      <c r="J1" s="592" t="s">
        <v>73</v>
      </c>
      <c r="K1" s="592" t="s">
        <v>72</v>
      </c>
      <c r="L1" s="592" t="s">
        <v>71</v>
      </c>
      <c r="M1" s="592" t="s">
        <v>70</v>
      </c>
      <c r="N1" s="599" t="s">
        <v>69</v>
      </c>
      <c r="O1" s="592" t="s">
        <v>68</v>
      </c>
      <c r="P1" s="592" t="s">
        <v>67</v>
      </c>
      <c r="Q1" s="592" t="s">
        <v>66</v>
      </c>
      <c r="T1" s="592" t="s">
        <v>183</v>
      </c>
      <c r="U1" s="592" t="s">
        <v>81</v>
      </c>
      <c r="V1" s="592" t="s">
        <v>80</v>
      </c>
      <c r="W1" s="592" t="s">
        <v>79</v>
      </c>
      <c r="X1" s="592" t="s">
        <v>78</v>
      </c>
      <c r="Y1" s="592" t="s">
        <v>77</v>
      </c>
      <c r="Z1" s="592" t="s">
        <v>76</v>
      </c>
      <c r="AA1" s="592" t="s">
        <v>75</v>
      </c>
      <c r="AB1" s="592" t="s">
        <v>74</v>
      </c>
      <c r="AC1" s="592" t="s">
        <v>73</v>
      </c>
      <c r="AD1" s="592" t="s">
        <v>72</v>
      </c>
      <c r="AE1" s="592" t="s">
        <v>71</v>
      </c>
      <c r="AF1" s="592" t="s">
        <v>70</v>
      </c>
      <c r="AG1" s="599" t="s">
        <v>69</v>
      </c>
      <c r="AH1" s="592" t="s">
        <v>68</v>
      </c>
      <c r="AI1" s="592" t="s">
        <v>67</v>
      </c>
      <c r="AJ1" s="592" t="s">
        <v>66</v>
      </c>
    </row>
    <row r="2" spans="1:36" x14ac:dyDescent="0.6">
      <c r="A2" s="592" t="s">
        <v>296</v>
      </c>
      <c r="B2" s="346">
        <v>1459565</v>
      </c>
      <c r="C2" s="346">
        <v>1171452</v>
      </c>
      <c r="D2" s="346">
        <v>880959</v>
      </c>
      <c r="E2" s="346">
        <v>701582</v>
      </c>
      <c r="F2" s="346">
        <v>83400</v>
      </c>
      <c r="G2" s="346">
        <v>291595</v>
      </c>
      <c r="H2" s="346">
        <v>495740</v>
      </c>
      <c r="I2" s="346">
        <v>743218</v>
      </c>
      <c r="J2" s="346">
        <v>182332</v>
      </c>
      <c r="K2" s="346">
        <v>317566</v>
      </c>
      <c r="L2" s="346">
        <v>528590</v>
      </c>
      <c r="M2" s="346">
        <v>744837</v>
      </c>
      <c r="N2" s="347">
        <v>230867</v>
      </c>
      <c r="O2" s="346"/>
      <c r="P2" s="346">
        <f t="shared" ref="P2:P9" si="0">Q2-N2</f>
        <v>537830.03157279093</v>
      </c>
      <c r="Q2" s="346">
        <f t="shared" ref="Q2:Q7" si="1">$Q$9*AJ2</f>
        <v>768697.03157279093</v>
      </c>
      <c r="T2" s="592" t="s">
        <v>296</v>
      </c>
      <c r="U2" s="345">
        <f t="shared" ref="U2:AG2" si="2">B2/B9</f>
        <v>0.62269114316224272</v>
      </c>
      <c r="V2" s="345">
        <f t="shared" si="2"/>
        <v>0.46180246344160414</v>
      </c>
      <c r="W2" s="345">
        <f t="shared" si="2"/>
        <v>0.40977009943783066</v>
      </c>
      <c r="X2" s="345">
        <f t="shared" si="2"/>
        <v>0.34150546636941559</v>
      </c>
      <c r="Y2" s="345">
        <f t="shared" si="2"/>
        <v>0.15877881197656776</v>
      </c>
      <c r="Z2" s="345">
        <f t="shared" si="2"/>
        <v>0.27070346044050408</v>
      </c>
      <c r="AA2" s="345">
        <f t="shared" si="2"/>
        <v>0.30335499338816574</v>
      </c>
      <c r="AB2" s="345">
        <f t="shared" si="2"/>
        <v>0.34086971038700986</v>
      </c>
      <c r="AC2" s="345">
        <f t="shared" si="2"/>
        <v>0.32116366608363583</v>
      </c>
      <c r="AD2" s="345">
        <f t="shared" si="2"/>
        <v>0.29448268059859828</v>
      </c>
      <c r="AE2" s="345">
        <f t="shared" si="2"/>
        <v>0.32564867597220537</v>
      </c>
      <c r="AF2" s="345">
        <f t="shared" si="2"/>
        <v>0.34084531662993578</v>
      </c>
      <c r="AG2" s="345">
        <f t="shared" si="2"/>
        <v>0.3865390185628873</v>
      </c>
      <c r="AH2" s="346"/>
      <c r="AI2" s="346"/>
      <c r="AJ2" s="345">
        <f>AVERAGE(U2:AG2)</f>
        <v>0.35216580818850785</v>
      </c>
    </row>
    <row r="3" spans="1:36" x14ac:dyDescent="0.6">
      <c r="A3" s="592" t="s">
        <v>295</v>
      </c>
      <c r="B3" s="346">
        <v>854135</v>
      </c>
      <c r="C3" s="346">
        <v>799830</v>
      </c>
      <c r="D3" s="346">
        <v>788709</v>
      </c>
      <c r="E3" s="346">
        <v>778590</v>
      </c>
      <c r="F3" s="346">
        <v>142642</v>
      </c>
      <c r="G3" s="346">
        <v>289683</v>
      </c>
      <c r="H3" s="346">
        <v>427646</v>
      </c>
      <c r="I3" s="346">
        <v>508876</v>
      </c>
      <c r="J3" s="346">
        <v>130342</v>
      </c>
      <c r="K3" s="346">
        <v>271906</v>
      </c>
      <c r="L3" s="346">
        <v>461026</v>
      </c>
      <c r="M3" s="346">
        <v>610912</v>
      </c>
      <c r="N3" s="347">
        <v>150135</v>
      </c>
      <c r="O3" s="346"/>
      <c r="P3" s="346">
        <f t="shared" si="0"/>
        <v>480821.14636284416</v>
      </c>
      <c r="Q3" s="346">
        <f t="shared" si="1"/>
        <v>630956.14636284416</v>
      </c>
      <c r="T3" s="592" t="s">
        <v>295</v>
      </c>
      <c r="U3" s="345">
        <f t="shared" ref="U3:AG3" si="3">B3/B9</f>
        <v>0.3643978168597371</v>
      </c>
      <c r="V3" s="345">
        <f t="shared" si="3"/>
        <v>0.31530396835252167</v>
      </c>
      <c r="W3" s="345">
        <f t="shared" si="3"/>
        <v>0.3668608475054026</v>
      </c>
      <c r="X3" s="345">
        <f t="shared" si="3"/>
        <v>0.37899025496743544</v>
      </c>
      <c r="Y3" s="345">
        <f t="shared" si="3"/>
        <v>0.27156507551512682</v>
      </c>
      <c r="Z3" s="345">
        <f t="shared" si="3"/>
        <v>0.26892844709541158</v>
      </c>
      <c r="AA3" s="345">
        <f t="shared" si="3"/>
        <v>0.26168666942848173</v>
      </c>
      <c r="AB3" s="345">
        <f t="shared" si="3"/>
        <v>0.23339103028034847</v>
      </c>
      <c r="AC3" s="345">
        <f t="shared" si="3"/>
        <v>0.2295873163496987</v>
      </c>
      <c r="AD3" s="345">
        <f t="shared" si="3"/>
        <v>0.25214162646770266</v>
      </c>
      <c r="AE3" s="345">
        <f t="shared" si="3"/>
        <v>0.28402449249657002</v>
      </c>
      <c r="AF3" s="345">
        <f t="shared" si="3"/>
        <v>0.27955981519852979</v>
      </c>
      <c r="AG3" s="345">
        <f t="shared" si="3"/>
        <v>0.25136999030584312</v>
      </c>
      <c r="AH3" s="346"/>
      <c r="AI3" s="346"/>
      <c r="AJ3" s="345">
        <f>AVERAGE(U3:AG3)</f>
        <v>0.28906210390944687</v>
      </c>
    </row>
    <row r="4" spans="1:36" x14ac:dyDescent="0.6">
      <c r="A4" s="592" t="s">
        <v>293</v>
      </c>
      <c r="B4" s="346">
        <v>0</v>
      </c>
      <c r="C4" s="346">
        <v>0</v>
      </c>
      <c r="D4" s="346">
        <v>397566</v>
      </c>
      <c r="E4" s="346">
        <v>473268</v>
      </c>
      <c r="F4" s="346">
        <v>207227</v>
      </c>
      <c r="G4" s="346">
        <v>454074</v>
      </c>
      <c r="H4" s="346">
        <v>634808</v>
      </c>
      <c r="I4" s="346">
        <v>813706</v>
      </c>
      <c r="J4" s="346">
        <v>219339</v>
      </c>
      <c r="K4" s="346">
        <v>419171</v>
      </c>
      <c r="L4" s="346">
        <v>547531</v>
      </c>
      <c r="M4" s="346">
        <v>724280</v>
      </c>
      <c r="N4" s="347">
        <v>179140</v>
      </c>
      <c r="O4" s="346"/>
      <c r="P4" s="346">
        <f t="shared" si="0"/>
        <v>562357.22400748194</v>
      </c>
      <c r="Q4" s="346">
        <f t="shared" si="1"/>
        <v>741497.22400748194</v>
      </c>
      <c r="S4" s="598"/>
      <c r="T4" s="592" t="s">
        <v>293</v>
      </c>
      <c r="U4" s="345">
        <f t="shared" ref="U4:AG4" si="4">B4/B9</f>
        <v>0</v>
      </c>
      <c r="V4" s="345">
        <f t="shared" si="4"/>
        <v>0</v>
      </c>
      <c r="W4" s="345">
        <f t="shared" si="4"/>
        <v>0.18492422388908064</v>
      </c>
      <c r="X4" s="345">
        <f t="shared" si="4"/>
        <v>0.2303702333550755</v>
      </c>
      <c r="Y4" s="345">
        <f t="shared" si="4"/>
        <v>0.39452346366268831</v>
      </c>
      <c r="Z4" s="345">
        <f t="shared" si="4"/>
        <v>0.42154153224870611</v>
      </c>
      <c r="AA4" s="345">
        <f t="shared" si="4"/>
        <v>0.38845398120537927</v>
      </c>
      <c r="AB4" s="345">
        <f t="shared" si="4"/>
        <v>0.37319834632661242</v>
      </c>
      <c r="AC4" s="345">
        <f t="shared" si="4"/>
        <v>0.38634862424104716</v>
      </c>
      <c r="AD4" s="345">
        <f t="shared" si="4"/>
        <v>0.38870219012487178</v>
      </c>
      <c r="AE4" s="345">
        <f t="shared" si="4"/>
        <v>0.33731766625122983</v>
      </c>
      <c r="AF4" s="345">
        <f t="shared" si="4"/>
        <v>0.33143821524538913</v>
      </c>
      <c r="AG4" s="345">
        <f t="shared" si="4"/>
        <v>0.29993286084782855</v>
      </c>
      <c r="AH4" s="346"/>
      <c r="AI4" s="346"/>
      <c r="AJ4" s="345">
        <f>AVERAGE(W4:AG4)</f>
        <v>0.33970466703617352</v>
      </c>
    </row>
    <row r="5" spans="1:36" x14ac:dyDescent="0.6">
      <c r="A5" s="592" t="s">
        <v>291</v>
      </c>
      <c r="B5" s="346">
        <v>0</v>
      </c>
      <c r="C5" s="346">
        <v>0</v>
      </c>
      <c r="D5" s="346">
        <v>0</v>
      </c>
      <c r="E5" s="346">
        <v>45403</v>
      </c>
      <c r="F5" s="346">
        <v>20724</v>
      </c>
      <c r="G5" s="346">
        <v>38300</v>
      </c>
      <c r="H5" s="346">
        <v>63675</v>
      </c>
      <c r="I5" s="346">
        <v>93404</v>
      </c>
      <c r="J5" s="346">
        <v>25967</v>
      </c>
      <c r="K5" s="346">
        <v>40580</v>
      </c>
      <c r="L5" s="346">
        <v>51368</v>
      </c>
      <c r="M5" s="346">
        <v>67884</v>
      </c>
      <c r="N5" s="347">
        <v>16586</v>
      </c>
      <c r="O5" s="346"/>
      <c r="P5" s="346">
        <f t="shared" si="0"/>
        <v>60414.31412406257</v>
      </c>
      <c r="Q5" s="346">
        <f t="shared" si="1"/>
        <v>77000.31412406257</v>
      </c>
      <c r="S5" s="598"/>
      <c r="T5" s="592" t="s">
        <v>291</v>
      </c>
      <c r="U5" s="345">
        <f t="shared" ref="U5:AG5" si="5">B5/B9</f>
        <v>0</v>
      </c>
      <c r="V5" s="345">
        <f t="shared" si="5"/>
        <v>0</v>
      </c>
      <c r="W5" s="345">
        <f t="shared" si="5"/>
        <v>0</v>
      </c>
      <c r="X5" s="345">
        <f t="shared" si="5"/>
        <v>2.2100585091365765E-2</v>
      </c>
      <c r="Y5" s="345">
        <f t="shared" si="5"/>
        <v>3.9454821335760074E-2</v>
      </c>
      <c r="Z5" s="345">
        <f t="shared" si="5"/>
        <v>3.5555968157448881E-2</v>
      </c>
      <c r="AA5" s="345">
        <f t="shared" si="5"/>
        <v>3.8964233678927374E-2</v>
      </c>
      <c r="AB5" s="345">
        <f t="shared" si="5"/>
        <v>4.2838836558033132E-2</v>
      </c>
      <c r="AC5" s="345">
        <f t="shared" si="5"/>
        <v>4.5738855040222078E-2</v>
      </c>
      <c r="AD5" s="345">
        <f t="shared" si="5"/>
        <v>3.7630310482517394E-2</v>
      </c>
      <c r="AE5" s="345">
        <f t="shared" si="5"/>
        <v>3.16463065652779E-2</v>
      </c>
      <c r="AF5" s="345">
        <f t="shared" si="5"/>
        <v>3.1064438896169982E-2</v>
      </c>
      <c r="AG5" s="345">
        <f t="shared" si="5"/>
        <v>2.776982488568764E-2</v>
      </c>
      <c r="AH5" s="346"/>
      <c r="AI5" s="346"/>
      <c r="AJ5" s="345">
        <f>AVERAGE(X5:AG5)</f>
        <v>3.5276418069141023E-2</v>
      </c>
    </row>
    <row r="6" spans="1:36" ht="24.75" customHeight="1" x14ac:dyDescent="0.6">
      <c r="A6" s="581" t="s">
        <v>289</v>
      </c>
      <c r="B6" s="346">
        <v>30263</v>
      </c>
      <c r="C6" s="346">
        <v>565413</v>
      </c>
      <c r="D6" s="346">
        <v>82652</v>
      </c>
      <c r="E6" s="346">
        <v>55537</v>
      </c>
      <c r="F6" s="346">
        <v>71266</v>
      </c>
      <c r="G6" s="346">
        <v>3523</v>
      </c>
      <c r="H6" s="346">
        <v>9472</v>
      </c>
      <c r="I6" s="346">
        <v>17600</v>
      </c>
      <c r="J6" s="346">
        <v>9743</v>
      </c>
      <c r="K6" s="346">
        <v>24448</v>
      </c>
      <c r="L6" s="346">
        <v>28938</v>
      </c>
      <c r="M6" s="346">
        <v>31513</v>
      </c>
      <c r="N6" s="347">
        <v>17089</v>
      </c>
      <c r="O6" s="346"/>
      <c r="P6" s="346">
        <f t="shared" si="0"/>
        <v>26868.927142082546</v>
      </c>
      <c r="Q6" s="346">
        <f t="shared" si="1"/>
        <v>43957.927142082546</v>
      </c>
      <c r="R6" s="577"/>
      <c r="S6" s="598"/>
      <c r="T6" s="592" t="s">
        <v>289</v>
      </c>
      <c r="U6" s="345">
        <f t="shared" ref="U6:AG6" si="6">B6/B9</f>
        <v>1.2911039978020131E-2</v>
      </c>
      <c r="V6" s="345">
        <f t="shared" si="6"/>
        <v>0.22289356820587417</v>
      </c>
      <c r="W6" s="345">
        <f t="shared" si="6"/>
        <v>3.8444829167686101E-2</v>
      </c>
      <c r="X6" s="345">
        <f t="shared" si="6"/>
        <v>2.7033460216707716E-2</v>
      </c>
      <c r="Y6" s="345">
        <f t="shared" si="6"/>
        <v>0.13567782750985705</v>
      </c>
      <c r="Z6" s="345">
        <f t="shared" si="6"/>
        <v>3.270592057929306E-3</v>
      </c>
      <c r="AA6" s="345">
        <f t="shared" si="6"/>
        <v>5.7961401084695727E-3</v>
      </c>
      <c r="AB6" s="345">
        <f t="shared" si="6"/>
        <v>8.0720688987771724E-3</v>
      </c>
      <c r="AC6" s="345">
        <f t="shared" si="6"/>
        <v>1.7161538285396225E-2</v>
      </c>
      <c r="AD6" s="345">
        <f t="shared" si="6"/>
        <v>2.2670917463691109E-2</v>
      </c>
      <c r="AE6" s="345">
        <f t="shared" si="6"/>
        <v>1.7827846507281028E-2</v>
      </c>
      <c r="AF6" s="345">
        <f t="shared" si="6"/>
        <v>1.4420683267559435E-2</v>
      </c>
      <c r="AG6" s="345">
        <f t="shared" si="6"/>
        <v>2.8611994300706385E-2</v>
      </c>
      <c r="AH6" s="346"/>
      <c r="AI6" s="346"/>
      <c r="AJ6" s="345">
        <f>AVERAGE(AC6:AG6)</f>
        <v>2.0138595964926835E-2</v>
      </c>
    </row>
    <row r="7" spans="1:36" x14ac:dyDescent="0.6">
      <c r="A7" s="592" t="s">
        <v>288</v>
      </c>
      <c r="B7" s="346">
        <v>0</v>
      </c>
      <c r="C7" s="346">
        <v>0</v>
      </c>
      <c r="D7" s="346">
        <v>0</v>
      </c>
      <c r="E7" s="346">
        <v>0</v>
      </c>
      <c r="F7" s="346">
        <v>0</v>
      </c>
      <c r="G7" s="346">
        <v>0</v>
      </c>
      <c r="H7" s="346">
        <v>0</v>
      </c>
      <c r="I7" s="346">
        <v>0</v>
      </c>
      <c r="J7" s="346">
        <v>0</v>
      </c>
      <c r="K7" s="346">
        <v>0</v>
      </c>
      <c r="L7" s="346">
        <v>0</v>
      </c>
      <c r="M7" s="346">
        <v>0</v>
      </c>
      <c r="N7" s="347">
        <v>0</v>
      </c>
      <c r="O7" s="346"/>
      <c r="P7" s="346">
        <f t="shared" si="0"/>
        <v>0</v>
      </c>
      <c r="Q7" s="346">
        <f t="shared" si="1"/>
        <v>0</v>
      </c>
      <c r="R7" s="577"/>
      <c r="S7" s="598"/>
      <c r="T7" s="581" t="s">
        <v>288</v>
      </c>
      <c r="U7" s="345">
        <f t="shared" ref="U7:AG7" si="7">B7/B9</f>
        <v>0</v>
      </c>
      <c r="V7" s="345">
        <f t="shared" si="7"/>
        <v>0</v>
      </c>
      <c r="W7" s="345">
        <f t="shared" si="7"/>
        <v>0</v>
      </c>
      <c r="X7" s="345">
        <f t="shared" si="7"/>
        <v>0</v>
      </c>
      <c r="Y7" s="345">
        <f t="shared" si="7"/>
        <v>0</v>
      </c>
      <c r="Z7" s="345">
        <f t="shared" si="7"/>
        <v>0</v>
      </c>
      <c r="AA7" s="345">
        <f t="shared" si="7"/>
        <v>0</v>
      </c>
      <c r="AB7" s="345">
        <f t="shared" si="7"/>
        <v>0</v>
      </c>
      <c r="AC7" s="345">
        <f t="shared" si="7"/>
        <v>0</v>
      </c>
      <c r="AD7" s="345">
        <f t="shared" si="7"/>
        <v>0</v>
      </c>
      <c r="AE7" s="345">
        <f t="shared" si="7"/>
        <v>0</v>
      </c>
      <c r="AF7" s="345">
        <f t="shared" si="7"/>
        <v>0</v>
      </c>
      <c r="AG7" s="345">
        <f t="shared" si="7"/>
        <v>0</v>
      </c>
      <c r="AH7" s="346"/>
      <c r="AI7" s="346"/>
      <c r="AJ7" s="345">
        <f>AVERAGE(U7:AG7)</f>
        <v>0</v>
      </c>
    </row>
    <row r="8" spans="1:36" x14ac:dyDescent="0.6">
      <c r="A8" s="581" t="s">
        <v>290</v>
      </c>
      <c r="B8" s="346">
        <v>0</v>
      </c>
      <c r="C8" s="346">
        <v>0</v>
      </c>
      <c r="D8" s="346">
        <v>0</v>
      </c>
      <c r="E8" s="346">
        <v>0</v>
      </c>
      <c r="F8" s="346">
        <v>0</v>
      </c>
      <c r="G8" s="346">
        <v>0</v>
      </c>
      <c r="H8" s="346">
        <v>2850</v>
      </c>
      <c r="I8" s="346">
        <v>3554</v>
      </c>
      <c r="J8" s="346">
        <v>0</v>
      </c>
      <c r="K8" s="346">
        <v>4715</v>
      </c>
      <c r="L8" s="346">
        <v>5738</v>
      </c>
      <c r="M8" s="346">
        <v>5838</v>
      </c>
      <c r="N8" s="347">
        <v>3450</v>
      </c>
      <c r="O8" s="346"/>
      <c r="P8" s="346">
        <f t="shared" si="0"/>
        <v>5270</v>
      </c>
      <c r="Q8" s="346">
        <f>R197</f>
        <v>8720</v>
      </c>
      <c r="R8" s="577"/>
      <c r="S8" s="598"/>
      <c r="T8" s="581" t="s">
        <v>290</v>
      </c>
      <c r="U8" s="345">
        <f t="shared" ref="U8:AG8" si="8">B8/B9</f>
        <v>0</v>
      </c>
      <c r="V8" s="345">
        <f t="shared" si="8"/>
        <v>0</v>
      </c>
      <c r="W8" s="345">
        <f t="shared" si="8"/>
        <v>0</v>
      </c>
      <c r="X8" s="345">
        <f t="shared" si="8"/>
        <v>0</v>
      </c>
      <c r="Y8" s="345">
        <f t="shared" si="8"/>
        <v>0</v>
      </c>
      <c r="Z8" s="345">
        <f t="shared" si="8"/>
        <v>0</v>
      </c>
      <c r="AA8" s="345">
        <f t="shared" si="8"/>
        <v>1.7439821905762545E-3</v>
      </c>
      <c r="AB8" s="345">
        <f t="shared" si="8"/>
        <v>1.6300075492189814E-3</v>
      </c>
      <c r="AC8" s="345">
        <f t="shared" si="8"/>
        <v>0</v>
      </c>
      <c r="AD8" s="345">
        <f t="shared" si="8"/>
        <v>4.3722748626187653E-3</v>
      </c>
      <c r="AE8" s="345">
        <f t="shared" si="8"/>
        <v>3.5350122074358468E-3</v>
      </c>
      <c r="AF8" s="345">
        <f t="shared" si="8"/>
        <v>2.6715307624158914E-3</v>
      </c>
      <c r="AG8" s="345">
        <f t="shared" si="8"/>
        <v>5.7763110970470493E-3</v>
      </c>
      <c r="AH8" s="346"/>
      <c r="AI8" s="346"/>
      <c r="AJ8" s="345">
        <f>AVERAGE(U8:AG8)</f>
        <v>1.5176245130240607E-3</v>
      </c>
    </row>
    <row r="9" spans="1:36" x14ac:dyDescent="0.6">
      <c r="A9" s="597" t="s">
        <v>45</v>
      </c>
      <c r="B9" s="582">
        <f t="shared" ref="B9:N9" si="9">SUM(B2:B8)</f>
        <v>2343963</v>
      </c>
      <c r="C9" s="582">
        <f t="shared" si="9"/>
        <v>2536695</v>
      </c>
      <c r="D9" s="582">
        <f t="shared" si="9"/>
        <v>2149886</v>
      </c>
      <c r="E9" s="582">
        <f t="shared" si="9"/>
        <v>2054380</v>
      </c>
      <c r="F9" s="582">
        <f t="shared" si="9"/>
        <v>525259</v>
      </c>
      <c r="G9" s="582">
        <f t="shared" si="9"/>
        <v>1077175</v>
      </c>
      <c r="H9" s="582">
        <f t="shared" si="9"/>
        <v>1634191</v>
      </c>
      <c r="I9" s="582">
        <f t="shared" si="9"/>
        <v>2180358</v>
      </c>
      <c r="J9" s="582">
        <f t="shared" si="9"/>
        <v>567723</v>
      </c>
      <c r="K9" s="582">
        <f t="shared" si="9"/>
        <v>1078386</v>
      </c>
      <c r="L9" s="582">
        <f t="shared" si="9"/>
        <v>1623191</v>
      </c>
      <c r="M9" s="582">
        <f t="shared" si="9"/>
        <v>2185264</v>
      </c>
      <c r="N9" s="582">
        <f t="shared" si="9"/>
        <v>597267</v>
      </c>
      <c r="O9" s="582"/>
      <c r="P9" s="346">
        <f t="shared" si="0"/>
        <v>1585503.2000000002</v>
      </c>
      <c r="Q9" s="582">
        <f>B206</f>
        <v>2182770.2000000002</v>
      </c>
      <c r="R9" s="577"/>
      <c r="S9" s="598"/>
      <c r="T9" s="597" t="s">
        <v>45</v>
      </c>
      <c r="U9" s="583">
        <f t="shared" ref="U9:AG9" si="10">B9/B9</f>
        <v>1</v>
      </c>
      <c r="V9" s="583">
        <f t="shared" si="10"/>
        <v>1</v>
      </c>
      <c r="W9" s="583">
        <f t="shared" si="10"/>
        <v>1</v>
      </c>
      <c r="X9" s="583">
        <f t="shared" si="10"/>
        <v>1</v>
      </c>
      <c r="Y9" s="583">
        <f t="shared" si="10"/>
        <v>1</v>
      </c>
      <c r="Z9" s="583">
        <f t="shared" si="10"/>
        <v>1</v>
      </c>
      <c r="AA9" s="583">
        <f t="shared" si="10"/>
        <v>1</v>
      </c>
      <c r="AB9" s="583">
        <f t="shared" si="10"/>
        <v>1</v>
      </c>
      <c r="AC9" s="583">
        <f t="shared" si="10"/>
        <v>1</v>
      </c>
      <c r="AD9" s="583">
        <f t="shared" si="10"/>
        <v>1</v>
      </c>
      <c r="AE9" s="583">
        <f t="shared" si="10"/>
        <v>1</v>
      </c>
      <c r="AF9" s="583">
        <f t="shared" si="10"/>
        <v>1</v>
      </c>
      <c r="AG9" s="583">
        <f t="shared" si="10"/>
        <v>1</v>
      </c>
      <c r="AH9" s="596"/>
      <c r="AI9" s="596"/>
      <c r="AJ9" s="596"/>
    </row>
    <row r="10" spans="1:36" x14ac:dyDescent="0.6">
      <c r="K10" s="579"/>
      <c r="L10" s="577"/>
      <c r="M10" s="579"/>
      <c r="O10" s="577"/>
      <c r="P10" s="577"/>
      <c r="Q10" s="577"/>
      <c r="R10" s="579"/>
      <c r="T10" s="577"/>
      <c r="U10" s="577"/>
      <c r="V10" s="577"/>
      <c r="W10" s="579"/>
      <c r="X10" s="578"/>
      <c r="AB10" s="578"/>
    </row>
    <row r="11" spans="1:36" ht="45" x14ac:dyDescent="0.6">
      <c r="A11" s="581" t="s">
        <v>172</v>
      </c>
      <c r="B11" s="581" t="s">
        <v>81</v>
      </c>
      <c r="C11" s="581" t="s">
        <v>80</v>
      </c>
      <c r="D11" s="581" t="s">
        <v>79</v>
      </c>
      <c r="E11" s="581" t="s">
        <v>78</v>
      </c>
      <c r="F11" s="581" t="s">
        <v>77</v>
      </c>
      <c r="G11" s="581" t="s">
        <v>76</v>
      </c>
      <c r="H11" s="581" t="s">
        <v>75</v>
      </c>
      <c r="I11" s="581" t="s">
        <v>74</v>
      </c>
      <c r="J11" s="581" t="s">
        <v>73</v>
      </c>
      <c r="K11" s="581" t="s">
        <v>72</v>
      </c>
      <c r="L11" s="581" t="s">
        <v>71</v>
      </c>
      <c r="M11" s="581" t="s">
        <v>70</v>
      </c>
      <c r="N11" s="581" t="s">
        <v>69</v>
      </c>
      <c r="O11" s="581" t="s">
        <v>68</v>
      </c>
      <c r="P11" s="581" t="s">
        <v>67</v>
      </c>
      <c r="Q11" s="581" t="s">
        <v>66</v>
      </c>
      <c r="T11" s="581" t="s">
        <v>172</v>
      </c>
      <c r="U11" s="581" t="s">
        <v>81</v>
      </c>
      <c r="V11" s="581" t="s">
        <v>80</v>
      </c>
      <c r="W11" s="581" t="s">
        <v>79</v>
      </c>
      <c r="X11" s="581" t="s">
        <v>78</v>
      </c>
      <c r="Y11" s="581" t="s">
        <v>77</v>
      </c>
      <c r="Z11" s="581" t="s">
        <v>76</v>
      </c>
      <c r="AA11" s="581" t="s">
        <v>75</v>
      </c>
      <c r="AB11" s="581" t="s">
        <v>74</v>
      </c>
      <c r="AC11" s="581" t="s">
        <v>73</v>
      </c>
      <c r="AD11" s="581" t="s">
        <v>72</v>
      </c>
      <c r="AE11" s="581" t="s">
        <v>71</v>
      </c>
      <c r="AF11" s="581" t="s">
        <v>70</v>
      </c>
      <c r="AG11" s="581" t="s">
        <v>69</v>
      </c>
      <c r="AH11" s="581" t="s">
        <v>68</v>
      </c>
      <c r="AI11" s="581" t="s">
        <v>67</v>
      </c>
      <c r="AJ11" s="581" t="s">
        <v>66</v>
      </c>
    </row>
    <row r="12" spans="1:36" x14ac:dyDescent="0.6">
      <c r="A12" s="590" t="s">
        <v>324</v>
      </c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93"/>
      <c r="O12" s="589"/>
      <c r="P12" s="589"/>
      <c r="Q12" s="589"/>
      <c r="R12" s="577"/>
      <c r="T12" s="590" t="s">
        <v>324</v>
      </c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589"/>
      <c r="AG12" s="593"/>
      <c r="AH12" s="589"/>
      <c r="AI12" s="589"/>
      <c r="AJ12" s="589"/>
    </row>
    <row r="13" spans="1:36" x14ac:dyDescent="0.6">
      <c r="A13" s="581" t="s">
        <v>323</v>
      </c>
      <c r="B13" s="346">
        <v>1244362</v>
      </c>
      <c r="C13" s="346">
        <v>1007904</v>
      </c>
      <c r="D13" s="346">
        <v>757376</v>
      </c>
      <c r="E13" s="346">
        <v>879022</v>
      </c>
      <c r="F13" s="346">
        <v>0</v>
      </c>
      <c r="G13" s="346">
        <v>235872</v>
      </c>
      <c r="H13" s="346">
        <v>416802</v>
      </c>
      <c r="I13" s="346">
        <v>649145</v>
      </c>
      <c r="J13" s="346">
        <v>86905</v>
      </c>
      <c r="K13" s="346">
        <v>182892</v>
      </c>
      <c r="L13" s="346">
        <v>339738</v>
      </c>
      <c r="M13" s="346">
        <v>583241</v>
      </c>
      <c r="N13" s="347">
        <v>196033</v>
      </c>
      <c r="O13" s="346"/>
      <c r="P13" s="346">
        <f t="shared" ref="P13:P18" si="11">Q13-N13</f>
        <v>404099.1958646836</v>
      </c>
      <c r="Q13" s="346">
        <f>$Q$18*AJ13</f>
        <v>600132.1958646836</v>
      </c>
      <c r="R13" s="577"/>
      <c r="T13" s="581" t="s">
        <v>323</v>
      </c>
      <c r="U13" s="345">
        <f>B13/B18</f>
        <v>0.42044071939320077</v>
      </c>
      <c r="V13" s="345">
        <f>C13/C18</f>
        <v>0.32243528366610563</v>
      </c>
      <c r="W13" s="345">
        <f>D13/D18</f>
        <v>0.31719207019824502</v>
      </c>
      <c r="X13" s="345">
        <f>E13/E18</f>
        <v>0.51100107197086841</v>
      </c>
      <c r="Y13" s="345"/>
      <c r="Z13" s="345">
        <f t="shared" ref="Z13:AG13" si="12">G13/G18</f>
        <v>0.50034894943945352</v>
      </c>
      <c r="AA13" s="345">
        <f t="shared" si="12"/>
        <v>0.53756140719694279</v>
      </c>
      <c r="AB13" s="345">
        <f t="shared" si="12"/>
        <v>0.58684548347436172</v>
      </c>
      <c r="AC13" s="345">
        <f t="shared" si="12"/>
        <v>0.55926662419316431</v>
      </c>
      <c r="AD13" s="345">
        <f t="shared" si="12"/>
        <v>0.57129469975260516</v>
      </c>
      <c r="AE13" s="345">
        <f t="shared" si="12"/>
        <v>0.51867763447164006</v>
      </c>
      <c r="AF13" s="345">
        <f t="shared" si="12"/>
        <v>0.53330352456662988</v>
      </c>
      <c r="AG13" s="345">
        <f t="shared" si="12"/>
        <v>0.64862620273435945</v>
      </c>
      <c r="AH13" s="346"/>
      <c r="AI13" s="346"/>
      <c r="AJ13" s="345">
        <f>AVERAGE(AF13,AB13,X13)</f>
        <v>0.54371669333728667</v>
      </c>
    </row>
    <row r="14" spans="1:36" x14ac:dyDescent="0.6">
      <c r="A14" s="581" t="s">
        <v>322</v>
      </c>
      <c r="B14" s="346">
        <v>644342</v>
      </c>
      <c r="C14" s="346">
        <v>763335</v>
      </c>
      <c r="D14" s="346">
        <v>536058</v>
      </c>
      <c r="E14" s="346">
        <v>690056</v>
      </c>
      <c r="F14" s="346">
        <v>0</v>
      </c>
      <c r="G14" s="346">
        <v>203839</v>
      </c>
      <c r="H14" s="346">
        <v>305121</v>
      </c>
      <c r="I14" s="346">
        <v>356919</v>
      </c>
      <c r="J14" s="346">
        <v>56083</v>
      </c>
      <c r="K14" s="346">
        <v>112604</v>
      </c>
      <c r="L14" s="346">
        <v>256810</v>
      </c>
      <c r="M14" s="346">
        <v>426041</v>
      </c>
      <c r="N14" s="347">
        <v>89306</v>
      </c>
      <c r="O14" s="346"/>
      <c r="P14" s="346">
        <f t="shared" si="11"/>
        <v>320327.52519574243</v>
      </c>
      <c r="Q14" s="346">
        <f>$Q$18*AJ14</f>
        <v>409633.52519574243</v>
      </c>
      <c r="T14" s="581" t="s">
        <v>322</v>
      </c>
      <c r="U14" s="345">
        <f>B14/B18</f>
        <v>0.21770804156286819</v>
      </c>
      <c r="V14" s="345">
        <f>C14/C18</f>
        <v>0.24419601197858801</v>
      </c>
      <c r="W14" s="345">
        <f>D14/D18</f>
        <v>0.22450321473921914</v>
      </c>
      <c r="X14" s="345">
        <f>E14/E18</f>
        <v>0.40114963643677815</v>
      </c>
      <c r="Y14" s="345"/>
      <c r="Z14" s="345">
        <f t="shared" ref="Z14:AG14" si="13">G14/G18</f>
        <v>0.43239820540288282</v>
      </c>
      <c r="AA14" s="345">
        <f t="shared" si="13"/>
        <v>0.39352324155195606</v>
      </c>
      <c r="AB14" s="345">
        <f t="shared" si="13"/>
        <v>0.3226648947711</v>
      </c>
      <c r="AC14" s="345">
        <f t="shared" si="13"/>
        <v>0.36091536832892512</v>
      </c>
      <c r="AD14" s="345">
        <f t="shared" si="13"/>
        <v>0.35173801134517829</v>
      </c>
      <c r="AE14" s="345">
        <f t="shared" si="13"/>
        <v>0.3920715472177439</v>
      </c>
      <c r="AF14" s="345">
        <f t="shared" si="13"/>
        <v>0.38956309126054506</v>
      </c>
      <c r="AG14" s="345">
        <f t="shared" si="13"/>
        <v>0.29549214500311022</v>
      </c>
      <c r="AH14" s="346"/>
      <c r="AI14" s="346"/>
      <c r="AJ14" s="345">
        <f>AVERAGE(AB14,AF14,X14)</f>
        <v>0.37112587415614112</v>
      </c>
    </row>
    <row r="15" spans="1:36" x14ac:dyDescent="0.6">
      <c r="A15" s="581" t="s">
        <v>321</v>
      </c>
      <c r="B15" s="346">
        <v>36584</v>
      </c>
      <c r="C15" s="346">
        <v>458848</v>
      </c>
      <c r="D15" s="346">
        <v>120571</v>
      </c>
      <c r="E15" s="346">
        <v>98802</v>
      </c>
      <c r="F15" s="346">
        <v>0</v>
      </c>
      <c r="G15" s="346">
        <v>16381</v>
      </c>
      <c r="H15" s="346">
        <v>29683</v>
      </c>
      <c r="I15" s="346">
        <v>51888</v>
      </c>
      <c r="J15" s="346">
        <v>341</v>
      </c>
      <c r="K15" s="346">
        <v>6637</v>
      </c>
      <c r="L15" s="346">
        <v>28738</v>
      </c>
      <c r="M15" s="346">
        <v>34805</v>
      </c>
      <c r="N15" s="347">
        <v>12106</v>
      </c>
      <c r="O15" s="346"/>
      <c r="P15" s="346">
        <f t="shared" si="11"/>
        <v>37993.501384580057</v>
      </c>
      <c r="Q15" s="346">
        <f>$Q$18*AJ15</f>
        <v>50099.501384580057</v>
      </c>
      <c r="R15" s="577"/>
      <c r="S15" s="585"/>
      <c r="T15" s="581" t="s">
        <v>321</v>
      </c>
      <c r="U15" s="345">
        <f>B15/B18</f>
        <v>1.2360875113737688E-2</v>
      </c>
      <c r="V15" s="345">
        <f>C15/C18</f>
        <v>0.14678856819659933</v>
      </c>
      <c r="W15" s="345">
        <f>D15/D18</f>
        <v>5.0495612609684756E-2</v>
      </c>
      <c r="X15" s="345">
        <f>E15/E18</f>
        <v>5.7436478168766812E-2</v>
      </c>
      <c r="Y15" s="345"/>
      <c r="Z15" s="345">
        <f t="shared" ref="Z15:AG15" si="14">G15/G18</f>
        <v>3.4748576095372442E-2</v>
      </c>
      <c r="AA15" s="345">
        <f t="shared" si="14"/>
        <v>3.8283010277846204E-2</v>
      </c>
      <c r="AB15" s="345">
        <f t="shared" si="14"/>
        <v>4.6908223041874593E-2</v>
      </c>
      <c r="AC15" s="345">
        <f t="shared" si="14"/>
        <v>2.1944642868634606E-3</v>
      </c>
      <c r="AD15" s="345">
        <f t="shared" si="14"/>
        <v>2.0731813979058902E-2</v>
      </c>
      <c r="AE15" s="345">
        <f t="shared" si="14"/>
        <v>4.3874273291318579E-2</v>
      </c>
      <c r="AF15" s="345">
        <f t="shared" si="14"/>
        <v>3.1824973162966175E-2</v>
      </c>
      <c r="AG15" s="345">
        <f t="shared" si="14"/>
        <v>4.0055851873420069E-2</v>
      </c>
      <c r="AH15" s="346"/>
      <c r="AI15" s="346"/>
      <c r="AJ15" s="345">
        <f>AVERAGE(AF15,AB15,X15)</f>
        <v>4.5389891457869196E-2</v>
      </c>
    </row>
    <row r="16" spans="1:36" ht="45" x14ac:dyDescent="0.6">
      <c r="A16" s="581" t="s">
        <v>320</v>
      </c>
      <c r="B16" s="346">
        <v>1694</v>
      </c>
      <c r="C16" s="346">
        <v>2522</v>
      </c>
      <c r="D16" s="346">
        <v>15481</v>
      </c>
      <c r="E16" s="346">
        <v>52316</v>
      </c>
      <c r="F16" s="346">
        <v>0</v>
      </c>
      <c r="G16" s="346">
        <v>15323</v>
      </c>
      <c r="H16" s="346">
        <v>23751</v>
      </c>
      <c r="I16" s="346">
        <v>48208</v>
      </c>
      <c r="J16" s="346">
        <v>12062</v>
      </c>
      <c r="K16" s="346">
        <v>18003</v>
      </c>
      <c r="L16" s="346">
        <v>29722</v>
      </c>
      <c r="M16" s="346">
        <v>49551</v>
      </c>
      <c r="N16" s="347">
        <v>4783</v>
      </c>
      <c r="O16" s="346"/>
      <c r="P16" s="346">
        <f t="shared" si="11"/>
        <v>39110.781497145064</v>
      </c>
      <c r="Q16" s="346">
        <f>$Q$18*AJ16</f>
        <v>43893.781497145064</v>
      </c>
      <c r="R16" s="577"/>
      <c r="S16" s="585"/>
      <c r="T16" s="581" t="s">
        <v>320</v>
      </c>
      <c r="U16" s="345">
        <f>B16/B18</f>
        <v>5.7236284831269524E-4</v>
      </c>
      <c r="V16" s="345">
        <f>C16/C18</f>
        <v>8.0680480026462686E-4</v>
      </c>
      <c r="W16" s="345">
        <f>D16/D18</f>
        <v>6.4835041495096644E-3</v>
      </c>
      <c r="X16" s="345">
        <f>E16/E18</f>
        <v>3.0412813423586614E-2</v>
      </c>
      <c r="Y16" s="345"/>
      <c r="Z16" s="345">
        <f t="shared" ref="Z16:AG16" si="15">G16/G18</f>
        <v>3.2504269062291188E-2</v>
      </c>
      <c r="AA16" s="345">
        <f t="shared" si="15"/>
        <v>3.0632340973254901E-2</v>
      </c>
      <c r="AB16" s="345">
        <f t="shared" si="15"/>
        <v>4.358139871266363E-2</v>
      </c>
      <c r="AC16" s="345">
        <f t="shared" si="15"/>
        <v>7.7623543191047098E-2</v>
      </c>
      <c r="AD16" s="345">
        <f t="shared" si="15"/>
        <v>5.6235474923157655E-2</v>
      </c>
      <c r="AE16" s="345">
        <f t="shared" si="15"/>
        <v>4.5376545019297478E-2</v>
      </c>
      <c r="AF16" s="345">
        <f t="shared" si="15"/>
        <v>4.5308411009858836E-2</v>
      </c>
      <c r="AG16" s="345">
        <f t="shared" si="15"/>
        <v>1.5825800389110207E-2</v>
      </c>
      <c r="AH16" s="346"/>
      <c r="AI16" s="346"/>
      <c r="AJ16" s="345">
        <f>AVERAGE(AF16,AB16,X16)</f>
        <v>3.9767541048703031E-2</v>
      </c>
    </row>
    <row r="17" spans="1:36" ht="67.5" x14ac:dyDescent="0.6">
      <c r="A17" s="581" t="s">
        <v>319</v>
      </c>
      <c r="B17" s="346">
        <v>1032679</v>
      </c>
      <c r="C17" s="346">
        <v>893302</v>
      </c>
      <c r="D17" s="346">
        <v>958266</v>
      </c>
      <c r="E17" s="346">
        <v>0</v>
      </c>
      <c r="F17" s="346">
        <v>0</v>
      </c>
      <c r="G17" s="346">
        <v>0</v>
      </c>
      <c r="H17" s="346">
        <v>0</v>
      </c>
      <c r="I17" s="346">
        <v>0</v>
      </c>
      <c r="J17" s="346">
        <v>0</v>
      </c>
      <c r="K17" s="346">
        <v>0</v>
      </c>
      <c r="L17" s="346">
        <v>0</v>
      </c>
      <c r="M17" s="346">
        <v>0</v>
      </c>
      <c r="N17" s="347">
        <v>0</v>
      </c>
      <c r="O17" s="346"/>
      <c r="P17" s="346">
        <f t="shared" si="11"/>
        <v>0</v>
      </c>
      <c r="Q17" s="346">
        <f>$Q$18*AJ17</f>
        <v>0</v>
      </c>
      <c r="R17" s="577"/>
      <c r="S17" s="585"/>
      <c r="T17" s="581" t="s">
        <v>319</v>
      </c>
      <c r="U17" s="345">
        <f>B17/B18</f>
        <v>0.34891800108188065</v>
      </c>
      <c r="V17" s="345">
        <f>C17/C18</f>
        <v>0.28577333135844241</v>
      </c>
      <c r="W17" s="345">
        <f>D17/D18</f>
        <v>0.40132559830334141</v>
      </c>
      <c r="X17" s="345">
        <f>E17/E18</f>
        <v>0</v>
      </c>
      <c r="Y17" s="345"/>
      <c r="Z17" s="345">
        <f t="shared" ref="Z17:AG17" si="16">G17/G18</f>
        <v>0</v>
      </c>
      <c r="AA17" s="345">
        <f t="shared" si="16"/>
        <v>0</v>
      </c>
      <c r="AB17" s="345">
        <f t="shared" si="16"/>
        <v>0</v>
      </c>
      <c r="AC17" s="345">
        <f t="shared" si="16"/>
        <v>0</v>
      </c>
      <c r="AD17" s="345">
        <f t="shared" si="16"/>
        <v>0</v>
      </c>
      <c r="AE17" s="345">
        <f t="shared" si="16"/>
        <v>0</v>
      </c>
      <c r="AF17" s="345">
        <f t="shared" si="16"/>
        <v>0</v>
      </c>
      <c r="AG17" s="345">
        <f t="shared" si="16"/>
        <v>0</v>
      </c>
      <c r="AH17" s="346"/>
      <c r="AI17" s="346"/>
      <c r="AJ17" s="345">
        <f>AVERAGE(AF17,AB17,X17)</f>
        <v>0</v>
      </c>
    </row>
    <row r="18" spans="1:36" x14ac:dyDescent="0.6">
      <c r="A18" s="581" t="s">
        <v>311</v>
      </c>
      <c r="B18" s="346">
        <f t="shared" ref="B18:N18" si="17">SUM(B13:B17)</f>
        <v>2959661</v>
      </c>
      <c r="C18" s="346">
        <f t="shared" si="17"/>
        <v>3125911</v>
      </c>
      <c r="D18" s="346">
        <f t="shared" si="17"/>
        <v>2387752</v>
      </c>
      <c r="E18" s="346">
        <f t="shared" si="17"/>
        <v>1720196</v>
      </c>
      <c r="F18" s="346">
        <f t="shared" si="17"/>
        <v>0</v>
      </c>
      <c r="G18" s="346">
        <f t="shared" si="17"/>
        <v>471415</v>
      </c>
      <c r="H18" s="346">
        <f t="shared" si="17"/>
        <v>775357</v>
      </c>
      <c r="I18" s="346">
        <f t="shared" si="17"/>
        <v>1106160</v>
      </c>
      <c r="J18" s="346">
        <f t="shared" si="17"/>
        <v>155391</v>
      </c>
      <c r="K18" s="346">
        <f t="shared" si="17"/>
        <v>320136</v>
      </c>
      <c r="L18" s="346">
        <f t="shared" si="17"/>
        <v>655008</v>
      </c>
      <c r="M18" s="346">
        <f t="shared" si="17"/>
        <v>1093638</v>
      </c>
      <c r="N18" s="346">
        <f t="shared" si="17"/>
        <v>302228</v>
      </c>
      <c r="O18" s="346"/>
      <c r="P18" s="346">
        <f t="shared" si="11"/>
        <v>801531.00394215109</v>
      </c>
      <c r="Q18" s="346">
        <f>Q26*AJ18</f>
        <v>1103759.0039421511</v>
      </c>
      <c r="R18" s="577"/>
      <c r="S18" s="585"/>
      <c r="T18" s="581" t="s">
        <v>311</v>
      </c>
      <c r="U18" s="345">
        <f>B18/B26</f>
        <v>0.8712393327190785</v>
      </c>
      <c r="V18" s="345">
        <f>C18/C26</f>
        <v>0.88188647828666533</v>
      </c>
      <c r="W18" s="345">
        <f>D18/D26</f>
        <v>0.77258500854688128</v>
      </c>
      <c r="X18" s="345">
        <f>E18/E26</f>
        <v>0.72659643982967481</v>
      </c>
      <c r="Y18" s="345"/>
      <c r="Z18" s="345">
        <f t="shared" ref="Z18:AG18" si="18">G18/G26</f>
        <v>0.41709098469800793</v>
      </c>
      <c r="AA18" s="345">
        <f t="shared" si="18"/>
        <v>0.49046965991627267</v>
      </c>
      <c r="AB18" s="345">
        <f t="shared" si="18"/>
        <v>0.48991392757586144</v>
      </c>
      <c r="AC18" s="345">
        <f t="shared" si="18"/>
        <v>0.37915040015615847</v>
      </c>
      <c r="AD18" s="345">
        <f t="shared" si="18"/>
        <v>0.36077190420165794</v>
      </c>
      <c r="AE18" s="345">
        <f t="shared" si="18"/>
        <v>0.49202146239011341</v>
      </c>
      <c r="AF18" s="345">
        <f t="shared" si="18"/>
        <v>0.54796314705104254</v>
      </c>
      <c r="AG18" s="345">
        <f t="shared" si="18"/>
        <v>0.53586999884750752</v>
      </c>
      <c r="AH18" s="346"/>
      <c r="AI18" s="346"/>
      <c r="AJ18" s="345">
        <f>AVERAGE(AF18,AB18)</f>
        <v>0.51893853731345196</v>
      </c>
    </row>
    <row r="19" spans="1:36" x14ac:dyDescent="0.6">
      <c r="A19" s="590" t="s">
        <v>318</v>
      </c>
      <c r="B19" s="589"/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93"/>
      <c r="O19" s="589"/>
      <c r="P19" s="589"/>
      <c r="Q19" s="589"/>
      <c r="R19" s="577"/>
      <c r="S19" s="585"/>
      <c r="T19" s="590" t="s">
        <v>318</v>
      </c>
      <c r="U19" s="595"/>
      <c r="V19" s="595"/>
      <c r="W19" s="595"/>
      <c r="X19" s="595"/>
      <c r="Y19" s="595"/>
      <c r="Z19" s="595"/>
      <c r="AA19" s="595"/>
      <c r="AB19" s="595"/>
      <c r="AC19" s="595"/>
      <c r="AD19" s="595"/>
      <c r="AE19" s="595"/>
      <c r="AF19" s="595"/>
      <c r="AG19" s="595"/>
      <c r="AH19" s="589"/>
      <c r="AI19" s="589"/>
      <c r="AJ19" s="589"/>
    </row>
    <row r="20" spans="1:36" x14ac:dyDescent="0.6">
      <c r="A20" s="581" t="s">
        <v>317</v>
      </c>
      <c r="B20" s="346">
        <v>70943</v>
      </c>
      <c r="C20" s="346">
        <v>113883</v>
      </c>
      <c r="D20" s="346">
        <v>140080</v>
      </c>
      <c r="E20" s="346">
        <v>136176</v>
      </c>
      <c r="F20" s="346">
        <v>0</v>
      </c>
      <c r="G20" s="346">
        <v>56031</v>
      </c>
      <c r="H20" s="346">
        <v>80327</v>
      </c>
      <c r="I20" s="346">
        <v>100126</v>
      </c>
      <c r="J20" s="346">
        <v>24299</v>
      </c>
      <c r="K20" s="346">
        <v>73022</v>
      </c>
      <c r="L20" s="346">
        <v>83023</v>
      </c>
      <c r="M20" s="346">
        <v>88516</v>
      </c>
      <c r="N20" s="347">
        <v>12186</v>
      </c>
      <c r="O20" s="346"/>
      <c r="P20" s="346">
        <f t="shared" ref="P20:P25" si="19">Q20-N20</f>
        <v>82485.186036401239</v>
      </c>
      <c r="Q20" s="346">
        <f>$Q$25*AJ20</f>
        <v>94671.186036401239</v>
      </c>
      <c r="R20" s="577"/>
      <c r="S20" s="585"/>
      <c r="T20" s="581" t="s">
        <v>317</v>
      </c>
      <c r="U20" s="345">
        <f>B20/B25</f>
        <v>0.16218916391752342</v>
      </c>
      <c r="V20" s="345">
        <f>C20/C25</f>
        <v>0.27201656706364563</v>
      </c>
      <c r="W20" s="345">
        <f>D20/D25</f>
        <v>0.19930312200771433</v>
      </c>
      <c r="X20" s="345">
        <f>E20/E25</f>
        <v>0.21038353095670309</v>
      </c>
      <c r="Y20" s="345"/>
      <c r="Z20" s="345">
        <f t="shared" ref="Z20:AG20" si="20">G20/G25</f>
        <v>8.50462182960703E-2</v>
      </c>
      <c r="AA20" s="345">
        <f t="shared" si="20"/>
        <v>9.9724515170287867E-2</v>
      </c>
      <c r="AB20" s="345">
        <f t="shared" si="20"/>
        <v>8.6937117632451336E-2</v>
      </c>
      <c r="AC20" s="345">
        <f t="shared" si="20"/>
        <v>9.5496543511666379E-2</v>
      </c>
      <c r="AD20" s="345">
        <f t="shared" si="20"/>
        <v>0.12873482973337</v>
      </c>
      <c r="AE20" s="345">
        <f t="shared" si="20"/>
        <v>0.12276950422254458</v>
      </c>
      <c r="AF20" s="345">
        <f t="shared" si="20"/>
        <v>9.8112806006743616E-2</v>
      </c>
      <c r="AG20" s="345">
        <f t="shared" si="20"/>
        <v>4.6552850435692808E-2</v>
      </c>
      <c r="AH20" s="346"/>
      <c r="AI20" s="346"/>
      <c r="AJ20" s="345">
        <f t="shared" ref="AJ20:AJ26" si="21">AVERAGE(AF20,AB20)</f>
        <v>9.2524961819597476E-2</v>
      </c>
    </row>
    <row r="21" spans="1:36" x14ac:dyDescent="0.6">
      <c r="A21" s="581" t="s">
        <v>316</v>
      </c>
      <c r="B21" s="346">
        <v>142936</v>
      </c>
      <c r="C21" s="346">
        <v>140073</v>
      </c>
      <c r="D21" s="346">
        <v>185103</v>
      </c>
      <c r="E21" s="346">
        <v>153347</v>
      </c>
      <c r="F21" s="346">
        <v>0</v>
      </c>
      <c r="G21" s="346">
        <v>80150</v>
      </c>
      <c r="H21" s="346">
        <v>115475</v>
      </c>
      <c r="I21" s="346">
        <v>166535</v>
      </c>
      <c r="J21" s="346">
        <v>44634</v>
      </c>
      <c r="K21" s="346">
        <v>106346</v>
      </c>
      <c r="L21" s="346">
        <v>122087</v>
      </c>
      <c r="M21" s="346">
        <v>152054</v>
      </c>
      <c r="N21" s="347">
        <v>60782</v>
      </c>
      <c r="O21" s="346"/>
      <c r="P21" s="346">
        <f t="shared" si="19"/>
        <v>99418.830845144141</v>
      </c>
      <c r="Q21" s="346">
        <f>$Q$25*AJ21</f>
        <v>160200.83084514414</v>
      </c>
      <c r="R21" s="579"/>
      <c r="T21" s="581" t="s">
        <v>316</v>
      </c>
      <c r="U21" s="345">
        <f>B21/B25</f>
        <v>0.32677882713890205</v>
      </c>
      <c r="V21" s="345">
        <f>C21/C25</f>
        <v>0.33457299683276726</v>
      </c>
      <c r="W21" s="345">
        <f>D21/D25</f>
        <v>0.26336097796254959</v>
      </c>
      <c r="X21" s="345">
        <f>E21/E25</f>
        <v>0.23691166814723263</v>
      </c>
      <c r="Y21" s="345"/>
      <c r="Z21" s="345">
        <f t="shared" ref="Z21:AG21" si="22">G21/G25</f>
        <v>0.12165505517356526</v>
      </c>
      <c r="AA21" s="345">
        <f t="shared" si="22"/>
        <v>0.14336012037408333</v>
      </c>
      <c r="AB21" s="345">
        <f t="shared" si="22"/>
        <v>0.14459853469548653</v>
      </c>
      <c r="AC21" s="345">
        <f t="shared" si="22"/>
        <v>0.17541432664306011</v>
      </c>
      <c r="AD21" s="345">
        <f t="shared" si="22"/>
        <v>0.18748369262448258</v>
      </c>
      <c r="AE21" s="345">
        <f t="shared" si="22"/>
        <v>0.18053503802582177</v>
      </c>
      <c r="AF21" s="345">
        <f t="shared" si="22"/>
        <v>0.16853952510901299</v>
      </c>
      <c r="AG21" s="345">
        <f t="shared" si="22"/>
        <v>0.23219886387512559</v>
      </c>
      <c r="AH21" s="346"/>
      <c r="AI21" s="346"/>
      <c r="AJ21" s="345">
        <f t="shared" si="21"/>
        <v>0.15656902990224975</v>
      </c>
    </row>
    <row r="22" spans="1:36" x14ac:dyDescent="0.6">
      <c r="A22" s="581" t="s">
        <v>315</v>
      </c>
      <c r="B22" s="346">
        <v>4996</v>
      </c>
      <c r="C22" s="346">
        <v>89587</v>
      </c>
      <c r="D22" s="346">
        <v>360327</v>
      </c>
      <c r="E22" s="346">
        <v>346818</v>
      </c>
      <c r="F22" s="346">
        <v>0</v>
      </c>
      <c r="G22" s="346">
        <v>486647</v>
      </c>
      <c r="H22" s="346">
        <v>561099</v>
      </c>
      <c r="I22" s="346">
        <v>810098</v>
      </c>
      <c r="J22" s="346">
        <v>171294</v>
      </c>
      <c r="K22" s="346">
        <v>366726</v>
      </c>
      <c r="L22" s="346">
        <v>441288</v>
      </c>
      <c r="M22" s="346">
        <v>626684</v>
      </c>
      <c r="N22" s="347">
        <v>175129</v>
      </c>
      <c r="O22" s="346"/>
      <c r="P22" s="346">
        <f t="shared" si="19"/>
        <v>540094.3075238216</v>
      </c>
      <c r="Q22" s="346">
        <f>$Q$25*AJ22</f>
        <v>715223.3075238216</v>
      </c>
      <c r="T22" s="581" t="s">
        <v>315</v>
      </c>
      <c r="U22" s="345">
        <f>B22/B25</f>
        <v>1.1421804306724371E-2</v>
      </c>
      <c r="V22" s="345">
        <f>C22/C25</f>
        <v>0.21398407307087819</v>
      </c>
      <c r="W22" s="345">
        <f>D22/D25</f>
        <v>0.51266630528036605</v>
      </c>
      <c r="X22" s="345">
        <f>E22/E25</f>
        <v>0.53581244447877641</v>
      </c>
      <c r="Y22" s="345"/>
      <c r="Z22" s="345">
        <f t="shared" ref="Z22:AG22" si="23">G22/G25</f>
        <v>0.73865337036868384</v>
      </c>
      <c r="AA22" s="345">
        <f t="shared" si="23"/>
        <v>0.69659424275191839</v>
      </c>
      <c r="AB22" s="345">
        <f t="shared" si="23"/>
        <v>0.70338958032692367</v>
      </c>
      <c r="AC22" s="345">
        <f t="shared" si="23"/>
        <v>0.67319580741130836</v>
      </c>
      <c r="AD22" s="345">
        <f t="shared" si="23"/>
        <v>0.64652309124373264</v>
      </c>
      <c r="AE22" s="345">
        <f t="shared" si="23"/>
        <v>0.65255060620982441</v>
      </c>
      <c r="AF22" s="345">
        <f t="shared" si="23"/>
        <v>0.69462838040049391</v>
      </c>
      <c r="AG22" s="345">
        <f t="shared" si="23"/>
        <v>0.66902627145514904</v>
      </c>
      <c r="AH22" s="346"/>
      <c r="AI22" s="346"/>
      <c r="AJ22" s="345">
        <f t="shared" si="21"/>
        <v>0.69900898036370873</v>
      </c>
    </row>
    <row r="23" spans="1:36" x14ac:dyDescent="0.6">
      <c r="A23" s="581" t="s">
        <v>314</v>
      </c>
      <c r="B23" s="346">
        <v>55</v>
      </c>
      <c r="C23" s="346">
        <v>0</v>
      </c>
      <c r="D23" s="346">
        <v>0</v>
      </c>
      <c r="E23" s="346">
        <v>10385</v>
      </c>
      <c r="F23" s="346">
        <v>0</v>
      </c>
      <c r="G23" s="346">
        <v>36002</v>
      </c>
      <c r="H23" s="346">
        <v>48588</v>
      </c>
      <c r="I23" s="346">
        <v>74947</v>
      </c>
      <c r="J23" s="346">
        <v>14222</v>
      </c>
      <c r="K23" s="346">
        <v>21134</v>
      </c>
      <c r="L23" s="346">
        <v>29853</v>
      </c>
      <c r="M23" s="346">
        <v>34932</v>
      </c>
      <c r="N23" s="347">
        <v>13670</v>
      </c>
      <c r="O23" s="346"/>
      <c r="P23" s="346">
        <f t="shared" si="19"/>
        <v>39430.83990095729</v>
      </c>
      <c r="Q23" s="346">
        <f>$Q$25*AJ23</f>
        <v>53100.83990095729</v>
      </c>
      <c r="R23" s="577"/>
      <c r="T23" s="581" t="s">
        <v>314</v>
      </c>
      <c r="U23" s="345">
        <f>B23/B25</f>
        <v>1.2574043972574868E-4</v>
      </c>
      <c r="V23" s="345">
        <f>C23/C25</f>
        <v>0</v>
      </c>
      <c r="W23" s="345">
        <f>D23/D25</f>
        <v>0</v>
      </c>
      <c r="X23" s="345">
        <f>E23/E25</f>
        <v>1.6044185238113629E-2</v>
      </c>
      <c r="Y23" s="345"/>
      <c r="Z23" s="345">
        <f t="shared" ref="Z23:AG23" si="24">G23/G25</f>
        <v>5.4645356161680557E-2</v>
      </c>
      <c r="AA23" s="345">
        <f t="shared" si="24"/>
        <v>6.0321121703710415E-2</v>
      </c>
      <c r="AB23" s="345">
        <f t="shared" si="24"/>
        <v>6.5074767345138423E-2</v>
      </c>
      <c r="AC23" s="345">
        <f t="shared" si="24"/>
        <v>5.5893322433965158E-2</v>
      </c>
      <c r="AD23" s="345">
        <f t="shared" si="24"/>
        <v>3.725838639841475E-2</v>
      </c>
      <c r="AE23" s="345">
        <f t="shared" si="24"/>
        <v>4.414485154180918E-2</v>
      </c>
      <c r="AF23" s="345">
        <f t="shared" si="24"/>
        <v>3.8719288483749469E-2</v>
      </c>
      <c r="AG23" s="345">
        <f t="shared" si="24"/>
        <v>5.2222014234032554E-2</v>
      </c>
      <c r="AH23" s="346"/>
      <c r="AI23" s="346"/>
      <c r="AJ23" s="345">
        <f t="shared" si="21"/>
        <v>5.1897027914443949E-2</v>
      </c>
    </row>
    <row r="24" spans="1:36" x14ac:dyDescent="0.6">
      <c r="A24" s="581" t="s">
        <v>313</v>
      </c>
      <c r="B24" s="346">
        <v>218479</v>
      </c>
      <c r="C24" s="346">
        <v>75119</v>
      </c>
      <c r="D24" s="346">
        <v>17339</v>
      </c>
      <c r="E24" s="346">
        <v>549</v>
      </c>
      <c r="F24" s="346">
        <v>0</v>
      </c>
      <c r="G24" s="346">
        <v>0</v>
      </c>
      <c r="H24" s="346">
        <v>0</v>
      </c>
      <c r="I24" s="346">
        <v>0</v>
      </c>
      <c r="J24" s="346">
        <v>0</v>
      </c>
      <c r="K24" s="346">
        <v>0</v>
      </c>
      <c r="L24" s="346">
        <v>0</v>
      </c>
      <c r="M24" s="346">
        <v>0</v>
      </c>
      <c r="N24" s="347">
        <v>0</v>
      </c>
      <c r="O24" s="346"/>
      <c r="P24" s="346">
        <f t="shared" si="19"/>
        <v>0</v>
      </c>
      <c r="Q24" s="346">
        <f>$Q$25*AJ24</f>
        <v>0</v>
      </c>
      <c r="T24" s="581" t="s">
        <v>313</v>
      </c>
      <c r="U24" s="345">
        <f t="shared" ref="U24:X25" si="25">B24/B25</f>
        <v>0.49948446419712444</v>
      </c>
      <c r="V24" s="345">
        <f t="shared" si="25"/>
        <v>0.17942636303270895</v>
      </c>
      <c r="W24" s="345">
        <f t="shared" si="25"/>
        <v>2.4669594749370066E-2</v>
      </c>
      <c r="X24" s="345">
        <f t="shared" si="25"/>
        <v>8.4817117917423046E-4</v>
      </c>
      <c r="Y24" s="345"/>
      <c r="Z24" s="345">
        <f t="shared" ref="Z24:AG25" si="26">G24/G25</f>
        <v>0</v>
      </c>
      <c r="AA24" s="345">
        <f t="shared" si="26"/>
        <v>0</v>
      </c>
      <c r="AB24" s="345">
        <f t="shared" si="26"/>
        <v>0</v>
      </c>
      <c r="AC24" s="345">
        <f t="shared" si="26"/>
        <v>0</v>
      </c>
      <c r="AD24" s="345">
        <f t="shared" si="26"/>
        <v>0</v>
      </c>
      <c r="AE24" s="345">
        <f t="shared" si="26"/>
        <v>0</v>
      </c>
      <c r="AF24" s="345">
        <f t="shared" si="26"/>
        <v>0</v>
      </c>
      <c r="AG24" s="345">
        <f t="shared" si="26"/>
        <v>0</v>
      </c>
      <c r="AH24" s="346"/>
      <c r="AI24" s="346"/>
      <c r="AJ24" s="345">
        <f t="shared" si="21"/>
        <v>0</v>
      </c>
    </row>
    <row r="25" spans="1:36" x14ac:dyDescent="0.6">
      <c r="A25" s="581" t="s">
        <v>280</v>
      </c>
      <c r="B25" s="582">
        <f t="shared" ref="B25:N25" si="27">SUM(B20:B24)</f>
        <v>437409</v>
      </c>
      <c r="C25" s="582">
        <f t="shared" si="27"/>
        <v>418662</v>
      </c>
      <c r="D25" s="582">
        <f t="shared" si="27"/>
        <v>702849</v>
      </c>
      <c r="E25" s="582">
        <f t="shared" si="27"/>
        <v>647275</v>
      </c>
      <c r="F25" s="582">
        <f t="shared" si="27"/>
        <v>0</v>
      </c>
      <c r="G25" s="582">
        <f t="shared" si="27"/>
        <v>658830</v>
      </c>
      <c r="H25" s="582">
        <f t="shared" si="27"/>
        <v>805489</v>
      </c>
      <c r="I25" s="582">
        <f t="shared" si="27"/>
        <v>1151706</v>
      </c>
      <c r="J25" s="582">
        <f t="shared" si="27"/>
        <v>254449</v>
      </c>
      <c r="K25" s="582">
        <f t="shared" si="27"/>
        <v>567228</v>
      </c>
      <c r="L25" s="582">
        <f t="shared" si="27"/>
        <v>676251</v>
      </c>
      <c r="M25" s="582">
        <f t="shared" si="27"/>
        <v>902186</v>
      </c>
      <c r="N25" s="582">
        <f t="shared" si="27"/>
        <v>261767</v>
      </c>
      <c r="O25" s="582"/>
      <c r="P25" s="346">
        <f t="shared" si="19"/>
        <v>761429.16430632432</v>
      </c>
      <c r="Q25" s="582">
        <f>Q26*AJ25</f>
        <v>1023196.1643063243</v>
      </c>
      <c r="T25" s="581" t="s">
        <v>280</v>
      </c>
      <c r="U25" s="583">
        <f t="shared" si="25"/>
        <v>0.1287606672809215</v>
      </c>
      <c r="V25" s="583">
        <f t="shared" si="25"/>
        <v>0.11811352171333472</v>
      </c>
      <c r="W25" s="583">
        <f t="shared" si="25"/>
        <v>0.22741499145311866</v>
      </c>
      <c r="X25" s="583">
        <f t="shared" si="25"/>
        <v>0.27340356017032519</v>
      </c>
      <c r="Y25" s="583"/>
      <c r="Z25" s="583">
        <f t="shared" si="26"/>
        <v>0.58290901530199202</v>
      </c>
      <c r="AA25" s="583">
        <f t="shared" si="26"/>
        <v>0.50953034008372733</v>
      </c>
      <c r="AB25" s="583">
        <f t="shared" si="26"/>
        <v>0.5100860724241385</v>
      </c>
      <c r="AC25" s="583">
        <f t="shared" si="26"/>
        <v>0.62084959984384147</v>
      </c>
      <c r="AD25" s="583">
        <f t="shared" si="26"/>
        <v>0.63922809579834206</v>
      </c>
      <c r="AE25" s="583">
        <f t="shared" si="26"/>
        <v>0.50797853760988654</v>
      </c>
      <c r="AF25" s="583">
        <f t="shared" si="26"/>
        <v>0.4520368529489574</v>
      </c>
      <c r="AG25" s="583">
        <f t="shared" si="26"/>
        <v>0.46413000115249248</v>
      </c>
      <c r="AH25" s="594"/>
      <c r="AI25" s="594"/>
      <c r="AJ25" s="345">
        <f t="shared" si="21"/>
        <v>0.48106146268654792</v>
      </c>
    </row>
    <row r="26" spans="1:36" x14ac:dyDescent="0.6">
      <c r="A26" s="581" t="s">
        <v>197</v>
      </c>
      <c r="B26" s="582">
        <f t="shared" ref="B26:N26" si="28">B25+B18</f>
        <v>3397070</v>
      </c>
      <c r="C26" s="582">
        <f t="shared" si="28"/>
        <v>3544573</v>
      </c>
      <c r="D26" s="582">
        <f t="shared" si="28"/>
        <v>3090601</v>
      </c>
      <c r="E26" s="582">
        <f t="shared" si="28"/>
        <v>2367471</v>
      </c>
      <c r="F26" s="582">
        <f t="shared" si="28"/>
        <v>0</v>
      </c>
      <c r="G26" s="582">
        <f t="shared" si="28"/>
        <v>1130245</v>
      </c>
      <c r="H26" s="582">
        <f t="shared" si="28"/>
        <v>1580846</v>
      </c>
      <c r="I26" s="582">
        <f t="shared" si="28"/>
        <v>2257866</v>
      </c>
      <c r="J26" s="582">
        <f t="shared" si="28"/>
        <v>409840</v>
      </c>
      <c r="K26" s="582">
        <f t="shared" si="28"/>
        <v>887364</v>
      </c>
      <c r="L26" s="582">
        <f t="shared" si="28"/>
        <v>1331259</v>
      </c>
      <c r="M26" s="582">
        <f t="shared" si="28"/>
        <v>1995824</v>
      </c>
      <c r="N26" s="582">
        <f t="shared" si="28"/>
        <v>563995</v>
      </c>
      <c r="O26" s="582"/>
      <c r="P26" s="582">
        <f>P25+P18</f>
        <v>1562960.1682484755</v>
      </c>
      <c r="Q26" s="582">
        <f>Q9*AJ26</f>
        <v>2126955.1682484755</v>
      </c>
      <c r="T26" s="581" t="s">
        <v>197</v>
      </c>
      <c r="U26" s="583">
        <f>B26/B9</f>
        <v>1.4492848223286801</v>
      </c>
      <c r="V26" s="583">
        <f>C26/C9</f>
        <v>1.3973193466301626</v>
      </c>
      <c r="W26" s="583">
        <f>D26/D9</f>
        <v>1.4375650615893121</v>
      </c>
      <c r="X26" s="583">
        <f>E26/E9</f>
        <v>1.1524016978358433</v>
      </c>
      <c r="Y26" s="583"/>
      <c r="Z26" s="583">
        <f t="shared" ref="Z26:AG26" si="29">G26/G9</f>
        <v>1.0492677605774363</v>
      </c>
      <c r="AA26" s="583">
        <f t="shared" si="29"/>
        <v>0.96735693685744195</v>
      </c>
      <c r="AB26" s="583">
        <f t="shared" si="29"/>
        <v>1.0355482906935467</v>
      </c>
      <c r="AC26" s="583">
        <f t="shared" si="29"/>
        <v>0.72190134977797271</v>
      </c>
      <c r="AD26" s="583">
        <f t="shared" si="29"/>
        <v>0.82286305645659341</v>
      </c>
      <c r="AE26" s="583">
        <f t="shared" si="29"/>
        <v>0.82014932315420674</v>
      </c>
      <c r="AF26" s="583">
        <f t="shared" si="29"/>
        <v>0.9133102453525066</v>
      </c>
      <c r="AG26" s="583">
        <f t="shared" si="29"/>
        <v>0.94429292092146389</v>
      </c>
      <c r="AH26" s="594"/>
      <c r="AI26" s="594"/>
      <c r="AJ26" s="345">
        <f t="shared" si="21"/>
        <v>0.97442926802302665</v>
      </c>
    </row>
    <row r="27" spans="1:36" x14ac:dyDescent="0.6">
      <c r="B27" s="578"/>
      <c r="C27" s="578"/>
      <c r="D27" s="578"/>
      <c r="E27" s="578"/>
      <c r="F27" s="578"/>
      <c r="G27" s="578"/>
      <c r="H27" s="578"/>
      <c r="I27" s="578"/>
      <c r="J27" s="578"/>
      <c r="K27" s="578"/>
      <c r="L27" s="578"/>
      <c r="M27" s="578"/>
      <c r="N27" s="578"/>
    </row>
    <row r="28" spans="1:36" x14ac:dyDescent="0.6">
      <c r="K28" s="579"/>
      <c r="L28" s="579"/>
      <c r="M28" s="579"/>
      <c r="O28" s="579"/>
      <c r="P28" s="579"/>
      <c r="Q28" s="579"/>
      <c r="R28" s="579"/>
      <c r="T28" s="579"/>
      <c r="U28" s="579"/>
      <c r="V28" s="579"/>
      <c r="W28" s="579"/>
    </row>
    <row r="29" spans="1:36" x14ac:dyDescent="0.6">
      <c r="A29" s="581" t="s">
        <v>167</v>
      </c>
      <c r="B29" s="581" t="s">
        <v>81</v>
      </c>
      <c r="C29" s="581" t="s">
        <v>80</v>
      </c>
      <c r="D29" s="581" t="s">
        <v>79</v>
      </c>
      <c r="E29" s="581" t="s">
        <v>78</v>
      </c>
      <c r="F29" s="581" t="s">
        <v>77</v>
      </c>
      <c r="G29" s="581" t="s">
        <v>76</v>
      </c>
      <c r="H29" s="581" t="s">
        <v>75</v>
      </c>
      <c r="I29" s="581" t="s">
        <v>74</v>
      </c>
      <c r="J29" s="581" t="s">
        <v>73</v>
      </c>
      <c r="K29" s="581" t="s">
        <v>72</v>
      </c>
      <c r="L29" s="581" t="s">
        <v>71</v>
      </c>
      <c r="M29" s="581" t="s">
        <v>70</v>
      </c>
      <c r="N29" s="581" t="s">
        <v>69</v>
      </c>
      <c r="O29" s="581" t="s">
        <v>68</v>
      </c>
      <c r="P29" s="581" t="s">
        <v>67</v>
      </c>
      <c r="Q29" s="581" t="s">
        <v>66</v>
      </c>
      <c r="R29" s="579"/>
      <c r="T29" s="592" t="s">
        <v>167</v>
      </c>
      <c r="U29" s="592" t="s">
        <v>81</v>
      </c>
      <c r="V29" s="592" t="s">
        <v>80</v>
      </c>
      <c r="W29" s="592" t="s">
        <v>79</v>
      </c>
      <c r="X29" s="592" t="s">
        <v>78</v>
      </c>
      <c r="Y29" s="592" t="s">
        <v>77</v>
      </c>
      <c r="Z29" s="592" t="s">
        <v>76</v>
      </c>
      <c r="AA29" s="592" t="s">
        <v>75</v>
      </c>
      <c r="AB29" s="592" t="s">
        <v>74</v>
      </c>
      <c r="AC29" s="592" t="s">
        <v>73</v>
      </c>
      <c r="AD29" s="592" t="s">
        <v>72</v>
      </c>
      <c r="AE29" s="592" t="s">
        <v>71</v>
      </c>
      <c r="AF29" s="592" t="s">
        <v>70</v>
      </c>
      <c r="AG29" s="592" t="s">
        <v>69</v>
      </c>
      <c r="AH29" s="592" t="s">
        <v>68</v>
      </c>
      <c r="AI29" s="592" t="s">
        <v>67</v>
      </c>
      <c r="AJ29" s="592" t="s">
        <v>66</v>
      </c>
    </row>
    <row r="30" spans="1:36" x14ac:dyDescent="0.6">
      <c r="A30" s="590" t="s">
        <v>324</v>
      </c>
      <c r="B30" s="589"/>
      <c r="C30" s="589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93"/>
      <c r="O30" s="589"/>
      <c r="P30" s="589"/>
      <c r="Q30" s="589"/>
      <c r="R30" s="579"/>
      <c r="S30" s="579"/>
      <c r="T30" s="590" t="s">
        <v>324</v>
      </c>
      <c r="U30" s="589"/>
      <c r="V30" s="589"/>
      <c r="W30" s="589"/>
      <c r="X30" s="589"/>
      <c r="Y30" s="589"/>
      <c r="Z30" s="589"/>
      <c r="AA30" s="589"/>
      <c r="AB30" s="589"/>
      <c r="AC30" s="589"/>
      <c r="AD30" s="589"/>
      <c r="AE30" s="589"/>
      <c r="AF30" s="589"/>
      <c r="AG30" s="593"/>
      <c r="AH30" s="589"/>
      <c r="AI30" s="589"/>
      <c r="AJ30" s="589"/>
    </row>
    <row r="31" spans="1:36" x14ac:dyDescent="0.6">
      <c r="A31" s="581" t="s">
        <v>323</v>
      </c>
      <c r="B31" s="346">
        <v>23177641</v>
      </c>
      <c r="C31" s="346">
        <v>16770616</v>
      </c>
      <c r="D31" s="346">
        <v>10964344</v>
      </c>
      <c r="E31" s="346">
        <v>12274312</v>
      </c>
      <c r="F31" s="346">
        <v>0</v>
      </c>
      <c r="G31" s="346">
        <v>4116732</v>
      </c>
      <c r="H31" s="346">
        <v>8001527</v>
      </c>
      <c r="I31" s="346">
        <v>13804520</v>
      </c>
      <c r="J31" s="346">
        <v>2298589</v>
      </c>
      <c r="K31" s="346">
        <v>5084603</v>
      </c>
      <c r="L31" s="346">
        <v>10537003</v>
      </c>
      <c r="M31" s="346">
        <v>19109800</v>
      </c>
      <c r="N31" s="347">
        <v>7828674</v>
      </c>
      <c r="O31" s="346"/>
      <c r="P31" s="346">
        <f>P13*P49/1000000</f>
        <v>16105007.741414707</v>
      </c>
      <c r="Q31" s="346"/>
      <c r="R31" s="579"/>
      <c r="S31" s="579"/>
      <c r="T31" s="592" t="s">
        <v>323</v>
      </c>
      <c r="U31" s="345">
        <f t="shared" ref="U31:U36" si="30">B31/$B$44</f>
        <v>0.58211513093561373</v>
      </c>
      <c r="V31" s="345">
        <f t="shared" ref="V31:V36" si="31">C31/$C$44</f>
        <v>0.38887533685059739</v>
      </c>
      <c r="W31" s="345">
        <f t="shared" ref="W31:W36" si="32">D31/$D$44</f>
        <v>0.3823618164071525</v>
      </c>
      <c r="X31" s="345">
        <f t="shared" ref="X31:X36" si="33">E31/$E$44</f>
        <v>0.36834039621243825</v>
      </c>
      <c r="Y31" s="345"/>
      <c r="Z31" s="345">
        <f t="shared" ref="Z31:Z36" si="34">G31/$G$44</f>
        <v>0.222746344168265</v>
      </c>
      <c r="AA31" s="345">
        <f t="shared" ref="AA31:AA36" si="35">H31/$H$44</f>
        <v>0.28152853911827874</v>
      </c>
      <c r="AB31" s="345">
        <f t="shared" ref="AB31:AB36" si="36">I31/$I$44</f>
        <v>0.30902916338318759</v>
      </c>
      <c r="AC31" s="345">
        <f t="shared" ref="AC31:AC36" si="37">J31/$J$44</f>
        <v>0.20968943902196277</v>
      </c>
      <c r="AD31" s="345">
        <f t="shared" ref="AD31:AD36" si="38">K31/$K$44</f>
        <v>0.18254108266909758</v>
      </c>
      <c r="AE31" s="345">
        <f t="shared" ref="AE31:AE36" si="39">L31/$L$44</f>
        <v>0.22331039886527748</v>
      </c>
      <c r="AF31" s="345">
        <f t="shared" ref="AF31:AF36" si="40">M31/$M$44</f>
        <v>0.2654020858683479</v>
      </c>
      <c r="AG31" s="345">
        <f t="shared" ref="AG31:AG36" si="41">N31/$N$44</f>
        <v>0.33038884364322529</v>
      </c>
      <c r="AH31" s="346"/>
      <c r="AI31" s="346"/>
      <c r="AJ31" s="346"/>
    </row>
    <row r="32" spans="1:36" x14ac:dyDescent="0.6">
      <c r="A32" s="581" t="s">
        <v>322</v>
      </c>
      <c r="B32" s="346">
        <v>11135441</v>
      </c>
      <c r="C32" s="346">
        <v>12671199</v>
      </c>
      <c r="D32" s="346">
        <v>7149194</v>
      </c>
      <c r="E32" s="346">
        <v>9570806</v>
      </c>
      <c r="F32" s="346">
        <v>0</v>
      </c>
      <c r="G32" s="346">
        <v>3547987</v>
      </c>
      <c r="H32" s="346">
        <v>5769311</v>
      </c>
      <c r="I32" s="346">
        <v>6977224</v>
      </c>
      <c r="J32" s="346">
        <v>1441325</v>
      </c>
      <c r="K32" s="346">
        <v>3065242</v>
      </c>
      <c r="L32" s="346">
        <v>8277974</v>
      </c>
      <c r="M32" s="346">
        <v>14055345</v>
      </c>
      <c r="N32" s="347">
        <v>3420385</v>
      </c>
      <c r="O32" s="346"/>
      <c r="P32" s="346">
        <f>P14*P50/1000000</f>
        <v>12841298.799217628</v>
      </c>
      <c r="Q32" s="346"/>
      <c r="R32" s="577"/>
      <c r="T32" s="592" t="s">
        <v>322</v>
      </c>
      <c r="U32" s="345">
        <f t="shared" si="30"/>
        <v>0.27967076958957132</v>
      </c>
      <c r="V32" s="345">
        <f t="shared" si="31"/>
        <v>0.29381847270404099</v>
      </c>
      <c r="W32" s="345">
        <f t="shared" si="32"/>
        <v>0.24931530821060668</v>
      </c>
      <c r="X32" s="345">
        <f t="shared" si="33"/>
        <v>0.28721075968350657</v>
      </c>
      <c r="Y32" s="345"/>
      <c r="Z32" s="345">
        <f t="shared" si="34"/>
        <v>0.19197293712744237</v>
      </c>
      <c r="AA32" s="345">
        <f t="shared" si="35"/>
        <v>0.20298946657919367</v>
      </c>
      <c r="AB32" s="345">
        <f t="shared" si="36"/>
        <v>0.15619273219620078</v>
      </c>
      <c r="AC32" s="345">
        <f t="shared" si="37"/>
        <v>0.1314852854069738</v>
      </c>
      <c r="AD32" s="345">
        <f t="shared" si="38"/>
        <v>0.11004449970288535</v>
      </c>
      <c r="AE32" s="345">
        <f t="shared" si="39"/>
        <v>0.17543486281026932</v>
      </c>
      <c r="AF32" s="345">
        <f t="shared" si="40"/>
        <v>0.19520444382459548</v>
      </c>
      <c r="AG32" s="345">
        <f t="shared" si="41"/>
        <v>0.14434846117805303</v>
      </c>
      <c r="AH32" s="346"/>
      <c r="AI32" s="346"/>
      <c r="AJ32" s="346"/>
    </row>
    <row r="33" spans="1:36" x14ac:dyDescent="0.6">
      <c r="A33" s="581" t="s">
        <v>321</v>
      </c>
      <c r="B33" s="346">
        <v>565969</v>
      </c>
      <c r="C33" s="346">
        <v>6848872</v>
      </c>
      <c r="D33" s="346">
        <v>1445579</v>
      </c>
      <c r="E33" s="346">
        <v>1230046</v>
      </c>
      <c r="F33" s="346">
        <v>0</v>
      </c>
      <c r="G33" s="346">
        <v>263543</v>
      </c>
      <c r="H33" s="346">
        <v>504304</v>
      </c>
      <c r="I33" s="346">
        <v>922648</v>
      </c>
      <c r="J33" s="346">
        <v>8115</v>
      </c>
      <c r="K33" s="346">
        <v>206400</v>
      </c>
      <c r="L33" s="346">
        <v>926111</v>
      </c>
      <c r="M33" s="346">
        <v>1099320</v>
      </c>
      <c r="N33" s="347">
        <v>499030</v>
      </c>
      <c r="O33" s="346"/>
      <c r="P33" s="346">
        <f>P15*P51/1000000</f>
        <v>1533797.6508954968</v>
      </c>
      <c r="Q33" s="346"/>
      <c r="T33" s="592" t="s">
        <v>321</v>
      </c>
      <c r="U33" s="345">
        <f t="shared" si="30"/>
        <v>1.4214523321872936E-2</v>
      </c>
      <c r="V33" s="345">
        <f t="shared" si="31"/>
        <v>0.15881094683979555</v>
      </c>
      <c r="W33" s="345">
        <f t="shared" si="32"/>
        <v>5.0411972864043218E-2</v>
      </c>
      <c r="X33" s="345">
        <f t="shared" si="33"/>
        <v>3.6912507275318147E-2</v>
      </c>
      <c r="Y33" s="345"/>
      <c r="Z33" s="345">
        <f t="shared" si="34"/>
        <v>1.4259669995796925E-2</v>
      </c>
      <c r="AA33" s="345">
        <f t="shared" si="35"/>
        <v>1.7743609237524844E-2</v>
      </c>
      <c r="AB33" s="345">
        <f t="shared" si="36"/>
        <v>2.0654476905909894E-2</v>
      </c>
      <c r="AC33" s="345">
        <f t="shared" si="37"/>
        <v>7.4029319624483879E-4</v>
      </c>
      <c r="AD33" s="345">
        <f t="shared" si="38"/>
        <v>7.4099156734364E-3</v>
      </c>
      <c r="AE33" s="345">
        <f t="shared" si="39"/>
        <v>1.9627043553420358E-2</v>
      </c>
      <c r="AF33" s="345">
        <f t="shared" si="40"/>
        <v>1.5267654346816409E-2</v>
      </c>
      <c r="AG33" s="345">
        <f t="shared" si="41"/>
        <v>2.106026443855993E-2</v>
      </c>
      <c r="AH33" s="346"/>
      <c r="AI33" s="346"/>
      <c r="AJ33" s="346"/>
    </row>
    <row r="34" spans="1:36" x14ac:dyDescent="0.6">
      <c r="A34" s="581" t="s">
        <v>320</v>
      </c>
      <c r="B34" s="346">
        <v>23567</v>
      </c>
      <c r="C34" s="346">
        <v>34698</v>
      </c>
      <c r="D34" s="346">
        <v>228768</v>
      </c>
      <c r="E34" s="346">
        <v>828200</v>
      </c>
      <c r="F34" s="346">
        <v>0</v>
      </c>
      <c r="G34" s="346">
        <v>262935</v>
      </c>
      <c r="H34" s="346">
        <v>440784</v>
      </c>
      <c r="I34" s="346">
        <v>1039296</v>
      </c>
      <c r="J34" s="346">
        <v>316266</v>
      </c>
      <c r="K34" s="346">
        <v>502533</v>
      </c>
      <c r="L34" s="346">
        <v>938193</v>
      </c>
      <c r="M34" s="346">
        <v>1697835</v>
      </c>
      <c r="N34" s="347">
        <v>227720</v>
      </c>
      <c r="O34" s="346"/>
      <c r="P34" s="346">
        <f>P16*P52/1000000</f>
        <v>1935569.1908911637</v>
      </c>
      <c r="Q34" s="346"/>
      <c r="T34" s="592" t="s">
        <v>320</v>
      </c>
      <c r="U34" s="345">
        <f t="shared" si="30"/>
        <v>5.9189402798842249E-4</v>
      </c>
      <c r="V34" s="345">
        <f t="shared" si="31"/>
        <v>8.0457369234630555E-4</v>
      </c>
      <c r="W34" s="345">
        <f t="shared" si="32"/>
        <v>7.9778733698825446E-3</v>
      </c>
      <c r="X34" s="345">
        <f t="shared" si="33"/>
        <v>2.4853492085189079E-2</v>
      </c>
      <c r="Y34" s="345"/>
      <c r="Z34" s="345">
        <f t="shared" si="34"/>
        <v>1.4226772596293069E-2</v>
      </c>
      <c r="AA34" s="345">
        <f t="shared" si="35"/>
        <v>1.5508699225374279E-2</v>
      </c>
      <c r="AB34" s="345">
        <f t="shared" si="36"/>
        <v>2.3265768993597266E-2</v>
      </c>
      <c r="AC34" s="345">
        <f t="shared" si="37"/>
        <v>2.8851456315905136E-2</v>
      </c>
      <c r="AD34" s="345">
        <f t="shared" si="38"/>
        <v>1.8041313726351815E-2</v>
      </c>
      <c r="AE34" s="345">
        <f t="shared" si="39"/>
        <v>1.9883097028881101E-2</v>
      </c>
      <c r="AF34" s="345">
        <f t="shared" si="40"/>
        <v>2.357999301197744E-2</v>
      </c>
      <c r="AG34" s="345">
        <f t="shared" si="41"/>
        <v>9.6103308778006675E-3</v>
      </c>
      <c r="AH34" s="346"/>
      <c r="AI34" s="346"/>
      <c r="AJ34" s="346"/>
    </row>
    <row r="35" spans="1:36" x14ac:dyDescent="0.6">
      <c r="A35" s="581" t="s">
        <v>319</v>
      </c>
      <c r="B35" s="346">
        <v>1422253</v>
      </c>
      <c r="C35" s="346">
        <v>2109140</v>
      </c>
      <c r="D35" s="346">
        <v>1481218</v>
      </c>
      <c r="E35" s="346">
        <v>1205281</v>
      </c>
      <c r="F35" s="346">
        <v>0</v>
      </c>
      <c r="G35" s="346">
        <v>825295</v>
      </c>
      <c r="H35" s="346">
        <v>1295892</v>
      </c>
      <c r="I35" s="346">
        <v>2043343</v>
      </c>
      <c r="J35" s="346">
        <v>799340</v>
      </c>
      <c r="K35" s="346">
        <v>2330450</v>
      </c>
      <c r="L35" s="346">
        <v>4118747</v>
      </c>
      <c r="M35" s="346">
        <v>5577419</v>
      </c>
      <c r="N35" s="347">
        <v>1571060</v>
      </c>
      <c r="O35" s="346"/>
      <c r="P35" s="346">
        <f>M35</f>
        <v>5577419</v>
      </c>
      <c r="Q35" s="346"/>
      <c r="T35" s="592" t="s">
        <v>319</v>
      </c>
      <c r="U35" s="345">
        <f t="shared" si="30"/>
        <v>3.5720416556567144E-2</v>
      </c>
      <c r="V35" s="345">
        <f t="shared" si="31"/>
        <v>4.8906523646183836E-2</v>
      </c>
      <c r="W35" s="345">
        <f t="shared" si="32"/>
        <v>5.1654819018353455E-2</v>
      </c>
      <c r="X35" s="345">
        <f t="shared" si="33"/>
        <v>3.6169333245506856E-2</v>
      </c>
      <c r="Y35" s="345"/>
      <c r="Z35" s="345">
        <f t="shared" si="34"/>
        <v>4.4654702834760258E-2</v>
      </c>
      <c r="AA35" s="345">
        <f t="shared" si="35"/>
        <v>4.5595119733403945E-2</v>
      </c>
      <c r="AB35" s="345">
        <f t="shared" si="36"/>
        <v>4.5742450863549958E-2</v>
      </c>
      <c r="AC35" s="345">
        <f t="shared" si="37"/>
        <v>7.2920020146192172E-2</v>
      </c>
      <c r="AD35" s="345">
        <f t="shared" si="38"/>
        <v>8.366491269941792E-2</v>
      </c>
      <c r="AE35" s="345">
        <f t="shared" si="39"/>
        <v>8.7288485672364802E-2</v>
      </c>
      <c r="AF35" s="345">
        <f t="shared" si="40"/>
        <v>7.7460707927961309E-2</v>
      </c>
      <c r="AG35" s="345">
        <f t="shared" si="41"/>
        <v>6.6302504957305095E-2</v>
      </c>
      <c r="AH35" s="346"/>
      <c r="AI35" s="346"/>
      <c r="AJ35" s="346"/>
    </row>
    <row r="36" spans="1:36" x14ac:dyDescent="0.6">
      <c r="A36" s="581" t="s">
        <v>311</v>
      </c>
      <c r="B36" s="346">
        <f t="shared" ref="B36:N36" si="42">SUM(B31:B35)</f>
        <v>36324871</v>
      </c>
      <c r="C36" s="346">
        <f t="shared" si="42"/>
        <v>38434525</v>
      </c>
      <c r="D36" s="346">
        <f t="shared" si="42"/>
        <v>21269103</v>
      </c>
      <c r="E36" s="346">
        <f t="shared" si="42"/>
        <v>25108645</v>
      </c>
      <c r="F36" s="346">
        <f t="shared" si="42"/>
        <v>0</v>
      </c>
      <c r="G36" s="346">
        <f t="shared" si="42"/>
        <v>9016492</v>
      </c>
      <c r="H36" s="346">
        <f t="shared" si="42"/>
        <v>16011818</v>
      </c>
      <c r="I36" s="346">
        <f t="shared" si="42"/>
        <v>24787031</v>
      </c>
      <c r="J36" s="346">
        <f t="shared" si="42"/>
        <v>4863635</v>
      </c>
      <c r="K36" s="346">
        <f t="shared" si="42"/>
        <v>11189228</v>
      </c>
      <c r="L36" s="346">
        <f t="shared" si="42"/>
        <v>24798028</v>
      </c>
      <c r="M36" s="346">
        <f t="shared" si="42"/>
        <v>41539719</v>
      </c>
      <c r="N36" s="346">
        <f t="shared" si="42"/>
        <v>13546869</v>
      </c>
      <c r="O36" s="346"/>
      <c r="P36" s="346">
        <f>SUM(P31:P35)</f>
        <v>37993092.382419005</v>
      </c>
      <c r="Q36" s="346"/>
      <c r="T36" s="592" t="s">
        <v>311</v>
      </c>
      <c r="U36" s="345">
        <f t="shared" si="30"/>
        <v>0.91231273443161354</v>
      </c>
      <c r="V36" s="345">
        <f t="shared" si="31"/>
        <v>0.89121585373296408</v>
      </c>
      <c r="W36" s="345">
        <f t="shared" si="32"/>
        <v>0.74172178987003834</v>
      </c>
      <c r="X36" s="345">
        <f t="shared" si="33"/>
        <v>0.75348648850195887</v>
      </c>
      <c r="Y36" s="345"/>
      <c r="Z36" s="345">
        <f t="shared" si="34"/>
        <v>0.48786042672255764</v>
      </c>
      <c r="AA36" s="345">
        <f t="shared" si="35"/>
        <v>0.56336543389377547</v>
      </c>
      <c r="AB36" s="345">
        <f t="shared" si="36"/>
        <v>0.55488459234244547</v>
      </c>
      <c r="AC36" s="345">
        <f t="shared" si="37"/>
        <v>0.44368649408727867</v>
      </c>
      <c r="AD36" s="345">
        <f t="shared" si="38"/>
        <v>0.40170172447118907</v>
      </c>
      <c r="AE36" s="345">
        <f t="shared" si="39"/>
        <v>0.52554388793021312</v>
      </c>
      <c r="AF36" s="345">
        <f t="shared" si="40"/>
        <v>0.57691488497969856</v>
      </c>
      <c r="AG36" s="345">
        <f t="shared" si="41"/>
        <v>0.57171040509494397</v>
      </c>
      <c r="AH36" s="346"/>
      <c r="AI36" s="346"/>
      <c r="AJ36" s="346"/>
    </row>
    <row r="37" spans="1:36" x14ac:dyDescent="0.6">
      <c r="A37" s="590" t="s">
        <v>318</v>
      </c>
      <c r="B37" s="589"/>
      <c r="C37" s="589"/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93"/>
      <c r="O37" s="589"/>
      <c r="P37" s="589"/>
      <c r="Q37" s="589"/>
      <c r="T37" s="590" t="s">
        <v>318</v>
      </c>
      <c r="U37" s="589"/>
      <c r="V37" s="589"/>
      <c r="W37" s="589"/>
      <c r="X37" s="589"/>
      <c r="Y37" s="589"/>
      <c r="Z37" s="589"/>
      <c r="AA37" s="589"/>
      <c r="AB37" s="589"/>
      <c r="AC37" s="589"/>
      <c r="AD37" s="589"/>
      <c r="AE37" s="589"/>
      <c r="AF37" s="589"/>
      <c r="AG37" s="589"/>
      <c r="AH37" s="589"/>
      <c r="AI37" s="589"/>
      <c r="AJ37" s="589"/>
    </row>
    <row r="38" spans="1:36" x14ac:dyDescent="0.6">
      <c r="A38" s="581" t="s">
        <v>317</v>
      </c>
      <c r="B38" s="346">
        <v>1087120</v>
      </c>
      <c r="C38" s="346">
        <v>1649099</v>
      </c>
      <c r="D38" s="346">
        <v>1884899</v>
      </c>
      <c r="E38" s="346">
        <v>2030122</v>
      </c>
      <c r="F38" s="346">
        <v>0</v>
      </c>
      <c r="G38" s="346">
        <v>892449</v>
      </c>
      <c r="H38" s="346">
        <v>1421744</v>
      </c>
      <c r="I38" s="346">
        <v>1888955</v>
      </c>
      <c r="J38" s="346">
        <v>627283</v>
      </c>
      <c r="K38" s="346">
        <v>2534277</v>
      </c>
      <c r="L38" s="346">
        <v>2988619</v>
      </c>
      <c r="M38" s="346">
        <v>3203782</v>
      </c>
      <c r="N38" s="347">
        <v>469584</v>
      </c>
      <c r="O38" s="346"/>
      <c r="P38" s="346">
        <f>P20*P55/1000000</f>
        <v>3303995.8094230965</v>
      </c>
      <c r="Q38" s="346"/>
      <c r="T38" s="592" t="s">
        <v>317</v>
      </c>
      <c r="U38" s="345">
        <f t="shared" ref="U38:U44" si="43">B38/$B$44</f>
        <v>2.7303425794830648E-2</v>
      </c>
      <c r="V38" s="345">
        <f t="shared" ref="V38:V44" si="44">C38/$C$44</f>
        <v>3.823913976236671E-2</v>
      </c>
      <c r="W38" s="345">
        <f t="shared" ref="W38:W44" si="45">D38/$D$44</f>
        <v>6.573246930085605E-2</v>
      </c>
      <c r="X38" s="345">
        <f t="shared" ref="X38:X44" si="46">E38/$E$44</f>
        <v>6.0922024944419492E-2</v>
      </c>
      <c r="Y38" s="345"/>
      <c r="Z38" s="345">
        <f t="shared" ref="Z38:Z44" si="47">G38/$G$44</f>
        <v>4.8288242252987064E-2</v>
      </c>
      <c r="AA38" s="345">
        <f t="shared" ref="AA38:AA44" si="48">H38/$H$44</f>
        <v>5.0023140748031984E-2</v>
      </c>
      <c r="AB38" s="345">
        <f t="shared" ref="AB38:AB44" si="49">I38/$I$44</f>
        <v>4.2286307913530434E-2</v>
      </c>
      <c r="AC38" s="345">
        <f t="shared" ref="AC38:AC44" si="50">J38/$J$44</f>
        <v>5.7224071105366758E-2</v>
      </c>
      <c r="AD38" s="345">
        <f t="shared" ref="AD38:AD44" si="51">K38/$K$44</f>
        <v>9.0982455732215986E-2</v>
      </c>
      <c r="AE38" s="345">
        <f t="shared" ref="AE38:AE44" si="52">L38/$L$44</f>
        <v>6.333771575716042E-2</v>
      </c>
      <c r="AF38" s="345">
        <f t="shared" ref="AF38:AF44" si="53">M38/$M$44</f>
        <v>4.4494993430986583E-2</v>
      </c>
      <c r="AG38" s="345">
        <f t="shared" ref="AG38:AG44" si="54">N38/$N$44</f>
        <v>1.9817572522927932E-2</v>
      </c>
      <c r="AH38" s="346"/>
      <c r="AI38" s="346"/>
      <c r="AJ38" s="346"/>
    </row>
    <row r="39" spans="1:36" x14ac:dyDescent="0.6">
      <c r="A39" s="581" t="s">
        <v>316</v>
      </c>
      <c r="B39" s="346">
        <v>2139975</v>
      </c>
      <c r="C39" s="346">
        <v>1942958</v>
      </c>
      <c r="D39" s="346">
        <v>2256249</v>
      </c>
      <c r="E39" s="346">
        <v>1947400</v>
      </c>
      <c r="F39" s="346">
        <v>0</v>
      </c>
      <c r="G39" s="346">
        <v>1133792</v>
      </c>
      <c r="H39" s="346">
        <v>1816504</v>
      </c>
      <c r="I39" s="346">
        <v>2933803</v>
      </c>
      <c r="J39" s="346">
        <v>1037916</v>
      </c>
      <c r="K39" s="346">
        <v>3272192</v>
      </c>
      <c r="L39" s="346">
        <v>3976024</v>
      </c>
      <c r="M39" s="346">
        <v>4936339</v>
      </c>
      <c r="N39" s="347">
        <v>2152851</v>
      </c>
      <c r="O39" s="346"/>
      <c r="P39" s="346">
        <f>P21*P56/1000000</f>
        <v>3660319.9670690475</v>
      </c>
      <c r="Q39" s="346"/>
      <c r="R39" s="577"/>
      <c r="S39" s="577"/>
      <c r="T39" s="592" t="s">
        <v>316</v>
      </c>
      <c r="U39" s="345">
        <f t="shared" si="43"/>
        <v>5.3746273286566996E-2</v>
      </c>
      <c r="V39" s="345">
        <f t="shared" si="44"/>
        <v>4.5053112344624849E-2</v>
      </c>
      <c r="W39" s="345">
        <f t="shared" si="45"/>
        <v>7.8682633991310508E-2</v>
      </c>
      <c r="X39" s="345">
        <f t="shared" si="46"/>
        <v>5.8439616622430829E-2</v>
      </c>
      <c r="Y39" s="345"/>
      <c r="Z39" s="345">
        <f t="shared" si="47"/>
        <v>6.134672430637348E-2</v>
      </c>
      <c r="AA39" s="345">
        <f t="shared" si="48"/>
        <v>6.3912515376441242E-2</v>
      </c>
      <c r="AB39" s="345">
        <f t="shared" si="49"/>
        <v>6.5676364453170835E-2</v>
      </c>
      <c r="AC39" s="345">
        <f t="shared" si="50"/>
        <v>9.468418398936021E-2</v>
      </c>
      <c r="AD39" s="345">
        <f t="shared" si="51"/>
        <v>0.11747416079114922</v>
      </c>
      <c r="AE39" s="345">
        <f t="shared" si="52"/>
        <v>8.4263761274236709E-2</v>
      </c>
      <c r="AF39" s="345">
        <f t="shared" si="53"/>
        <v>6.8557214997188601E-2</v>
      </c>
      <c r="AG39" s="345">
        <f t="shared" si="54"/>
        <v>9.0855482349394195E-2</v>
      </c>
      <c r="AH39" s="346"/>
      <c r="AI39" s="346"/>
      <c r="AJ39" s="346"/>
    </row>
    <row r="40" spans="1:36" x14ac:dyDescent="0.6">
      <c r="A40" s="581" t="s">
        <v>315</v>
      </c>
      <c r="B40" s="346">
        <v>58501</v>
      </c>
      <c r="C40" s="346">
        <v>967785</v>
      </c>
      <c r="D40" s="346">
        <v>3216025</v>
      </c>
      <c r="E40" s="346">
        <v>4085102</v>
      </c>
      <c r="F40" s="346">
        <v>0</v>
      </c>
      <c r="G40" s="346">
        <v>6852426</v>
      </c>
      <c r="H40" s="346">
        <v>8301995</v>
      </c>
      <c r="I40" s="346">
        <v>13382085</v>
      </c>
      <c r="J40" s="346">
        <v>3614489</v>
      </c>
      <c r="K40" s="346">
        <v>9818056</v>
      </c>
      <c r="L40" s="346">
        <v>13028401</v>
      </c>
      <c r="M40" s="346">
        <v>19339637</v>
      </c>
      <c r="N40" s="347">
        <v>6801511</v>
      </c>
      <c r="O40" s="346"/>
      <c r="P40" s="346">
        <f>P22*P57/1000000</f>
        <v>21803607.194736678</v>
      </c>
      <c r="Q40" s="346"/>
      <c r="R40" s="577"/>
      <c r="S40" s="577"/>
      <c r="T40" s="592" t="s">
        <v>315</v>
      </c>
      <c r="U40" s="345">
        <f t="shared" si="43"/>
        <v>1.4692745165422287E-3</v>
      </c>
      <c r="V40" s="345">
        <f t="shared" si="44"/>
        <v>2.2440900076297461E-2</v>
      </c>
      <c r="W40" s="345">
        <f t="shared" si="45"/>
        <v>0.11215309922881046</v>
      </c>
      <c r="X40" s="345">
        <f t="shared" si="46"/>
        <v>0.12259001475994939</v>
      </c>
      <c r="Y40" s="345"/>
      <c r="Z40" s="345">
        <f t="shared" si="47"/>
        <v>0.37076808502073183</v>
      </c>
      <c r="AA40" s="345">
        <f t="shared" si="48"/>
        <v>0.2921003108678199</v>
      </c>
      <c r="AB40" s="345">
        <f t="shared" si="49"/>
        <v>0.29957249740466918</v>
      </c>
      <c r="AC40" s="345">
        <f t="shared" si="50"/>
        <v>0.32973279292690216</v>
      </c>
      <c r="AD40" s="345">
        <f t="shared" si="51"/>
        <v>0.35247561548971068</v>
      </c>
      <c r="AE40" s="345">
        <f t="shared" si="52"/>
        <v>0.27611052439548323</v>
      </c>
      <c r="AF40" s="345">
        <f t="shared" si="53"/>
        <v>0.26859412446685355</v>
      </c>
      <c r="AG40" s="345">
        <f t="shared" si="54"/>
        <v>0.28704009827420029</v>
      </c>
      <c r="AH40" s="346"/>
      <c r="AI40" s="346"/>
      <c r="AJ40" s="346"/>
    </row>
    <row r="41" spans="1:36" x14ac:dyDescent="0.6">
      <c r="A41" s="581" t="s">
        <v>314</v>
      </c>
      <c r="B41" s="346">
        <v>848</v>
      </c>
      <c r="C41" s="346">
        <v>0</v>
      </c>
      <c r="D41" s="346">
        <v>0</v>
      </c>
      <c r="E41" s="346">
        <v>146744</v>
      </c>
      <c r="F41" s="346">
        <v>0</v>
      </c>
      <c r="G41" s="346">
        <v>585930</v>
      </c>
      <c r="H41" s="346">
        <v>851100</v>
      </c>
      <c r="I41" s="346">
        <v>1485555</v>
      </c>
      <c r="J41" s="346">
        <v>342225</v>
      </c>
      <c r="K41" s="346">
        <v>558288</v>
      </c>
      <c r="L41" s="346">
        <v>1045244</v>
      </c>
      <c r="M41" s="346">
        <v>1224213</v>
      </c>
      <c r="N41" s="347">
        <v>605789</v>
      </c>
      <c r="O41" s="346"/>
      <c r="P41" s="346">
        <f>P23*P58/1000000</f>
        <v>1816353.2230605735</v>
      </c>
      <c r="Q41" s="346"/>
      <c r="R41" s="577"/>
      <c r="S41" s="577"/>
      <c r="T41" s="592" t="s">
        <v>314</v>
      </c>
      <c r="U41" s="345">
        <f t="shared" si="43"/>
        <v>2.129783747333909E-5</v>
      </c>
      <c r="V41" s="345">
        <f t="shared" si="44"/>
        <v>0</v>
      </c>
      <c r="W41" s="345">
        <f t="shared" si="45"/>
        <v>0</v>
      </c>
      <c r="X41" s="345">
        <f t="shared" si="46"/>
        <v>4.4036474795327053E-3</v>
      </c>
      <c r="Y41" s="345"/>
      <c r="Z41" s="345">
        <f t="shared" si="47"/>
        <v>3.1703245544891318E-2</v>
      </c>
      <c r="AA41" s="345">
        <f t="shared" si="48"/>
        <v>2.9945401626910343E-2</v>
      </c>
      <c r="AB41" s="345">
        <f t="shared" si="49"/>
        <v>3.3255761070266204E-2</v>
      </c>
      <c r="AC41" s="345">
        <f t="shared" si="50"/>
        <v>3.1219573516314228E-2</v>
      </c>
      <c r="AD41" s="345">
        <f t="shared" si="51"/>
        <v>2.0042960278543898E-2</v>
      </c>
      <c r="AE41" s="345">
        <f t="shared" si="52"/>
        <v>2.2151825765973313E-2</v>
      </c>
      <c r="AF41" s="345">
        <f t="shared" si="53"/>
        <v>1.7002202207618489E-2</v>
      </c>
      <c r="AG41" s="345">
        <f t="shared" si="54"/>
        <v>2.5565750624152419E-2</v>
      </c>
      <c r="AH41" s="346"/>
      <c r="AI41" s="346"/>
      <c r="AJ41" s="346"/>
    </row>
    <row r="42" spans="1:36" x14ac:dyDescent="0.6">
      <c r="A42" s="581" t="s">
        <v>313</v>
      </c>
      <c r="B42" s="346">
        <v>204934</v>
      </c>
      <c r="C42" s="346">
        <v>131577</v>
      </c>
      <c r="D42" s="346">
        <v>49035</v>
      </c>
      <c r="E42" s="346">
        <v>5272</v>
      </c>
      <c r="F42" s="346">
        <v>0</v>
      </c>
      <c r="G42" s="346">
        <v>615</v>
      </c>
      <c r="H42" s="346">
        <v>18565</v>
      </c>
      <c r="I42" s="346">
        <v>193177</v>
      </c>
      <c r="J42" s="346">
        <v>476325</v>
      </c>
      <c r="K42" s="346">
        <v>482527</v>
      </c>
      <c r="L42" s="346">
        <v>1349140</v>
      </c>
      <c r="M42" s="346">
        <v>1759512</v>
      </c>
      <c r="N42" s="347">
        <v>118730</v>
      </c>
      <c r="O42" s="346"/>
      <c r="P42" s="346">
        <f>M42</f>
        <v>1759512</v>
      </c>
      <c r="Q42" s="346"/>
      <c r="R42" s="577"/>
      <c r="S42" s="577"/>
      <c r="T42" s="592" t="s">
        <v>313</v>
      </c>
      <c r="U42" s="345">
        <f t="shared" si="43"/>
        <v>5.1469941329731986E-3</v>
      </c>
      <c r="V42" s="345">
        <f t="shared" si="44"/>
        <v>3.050994083746897E-3</v>
      </c>
      <c r="W42" s="345">
        <f t="shared" si="45"/>
        <v>1.710007608984607E-3</v>
      </c>
      <c r="X42" s="345">
        <f t="shared" si="46"/>
        <v>1.5820769170866558E-4</v>
      </c>
      <c r="Y42" s="345"/>
      <c r="Z42" s="345">
        <f t="shared" si="47"/>
        <v>3.3276152458669398E-5</v>
      </c>
      <c r="AA42" s="345">
        <f t="shared" si="48"/>
        <v>6.5319748702102052E-4</v>
      </c>
      <c r="AB42" s="345">
        <f t="shared" si="49"/>
        <v>4.3244768159178323E-3</v>
      </c>
      <c r="AC42" s="345">
        <f t="shared" si="50"/>
        <v>4.3452884374777921E-2</v>
      </c>
      <c r="AD42" s="345">
        <f t="shared" si="51"/>
        <v>1.7323083237191114E-2</v>
      </c>
      <c r="AE42" s="345">
        <f t="shared" si="52"/>
        <v>2.8592284876933265E-2</v>
      </c>
      <c r="AF42" s="345">
        <f t="shared" si="53"/>
        <v>2.4436579917654216E-2</v>
      </c>
      <c r="AG42" s="345">
        <f t="shared" si="54"/>
        <v>5.0106911343811402E-3</v>
      </c>
      <c r="AH42" s="346"/>
      <c r="AI42" s="346"/>
      <c r="AJ42" s="346"/>
    </row>
    <row r="43" spans="1:36" x14ac:dyDescent="0.6">
      <c r="A43" s="581" t="s">
        <v>280</v>
      </c>
      <c r="B43" s="582">
        <f t="shared" ref="B43:N43" si="55">SUM(B38:B42)</f>
        <v>3491378</v>
      </c>
      <c r="C43" s="582">
        <f t="shared" si="55"/>
        <v>4691419</v>
      </c>
      <c r="D43" s="582">
        <f t="shared" si="55"/>
        <v>7406208</v>
      </c>
      <c r="E43" s="582">
        <f t="shared" si="55"/>
        <v>8214640</v>
      </c>
      <c r="F43" s="582">
        <f t="shared" si="55"/>
        <v>0</v>
      </c>
      <c r="G43" s="582">
        <f t="shared" si="55"/>
        <v>9465212</v>
      </c>
      <c r="H43" s="582">
        <f t="shared" si="55"/>
        <v>12409908</v>
      </c>
      <c r="I43" s="582">
        <f t="shared" si="55"/>
        <v>19883575</v>
      </c>
      <c r="J43" s="582">
        <f t="shared" si="55"/>
        <v>6098238</v>
      </c>
      <c r="K43" s="582">
        <f t="shared" si="55"/>
        <v>16665340</v>
      </c>
      <c r="L43" s="582">
        <f t="shared" si="55"/>
        <v>22387428</v>
      </c>
      <c r="M43" s="582">
        <f t="shared" si="55"/>
        <v>30463483</v>
      </c>
      <c r="N43" s="582">
        <f t="shared" si="55"/>
        <v>10148465</v>
      </c>
      <c r="O43" s="582"/>
      <c r="P43" s="582">
        <f>SUM(P38:P42)</f>
        <v>32343788.194289397</v>
      </c>
      <c r="Q43" s="582"/>
      <c r="R43" s="579"/>
      <c r="S43" s="577"/>
      <c r="T43" s="592" t="s">
        <v>280</v>
      </c>
      <c r="U43" s="345">
        <f t="shared" si="43"/>
        <v>8.7687265568386408E-2</v>
      </c>
      <c r="V43" s="345">
        <f t="shared" si="44"/>
        <v>0.10878414626703592</v>
      </c>
      <c r="W43" s="345">
        <f t="shared" si="45"/>
        <v>0.25827821012996161</v>
      </c>
      <c r="X43" s="345">
        <f t="shared" si="46"/>
        <v>0.24651351149804107</v>
      </c>
      <c r="Y43" s="345"/>
      <c r="Z43" s="345">
        <f t="shared" si="47"/>
        <v>0.51213957327744242</v>
      </c>
      <c r="AA43" s="345">
        <f t="shared" si="48"/>
        <v>0.43663456610622453</v>
      </c>
      <c r="AB43" s="345">
        <f t="shared" si="49"/>
        <v>0.44511540765755447</v>
      </c>
      <c r="AC43" s="345">
        <f t="shared" si="50"/>
        <v>0.55631350591272133</v>
      </c>
      <c r="AD43" s="345">
        <f t="shared" si="51"/>
        <v>0.59829827552881087</v>
      </c>
      <c r="AE43" s="345">
        <f t="shared" si="52"/>
        <v>0.47445611206978694</v>
      </c>
      <c r="AF43" s="345">
        <f t="shared" si="53"/>
        <v>0.42308511502030144</v>
      </c>
      <c r="AG43" s="345">
        <f t="shared" si="54"/>
        <v>0.42828959490505597</v>
      </c>
      <c r="AH43" s="582"/>
      <c r="AI43" s="582"/>
      <c r="AJ43" s="582"/>
    </row>
    <row r="44" spans="1:36" x14ac:dyDescent="0.6">
      <c r="A44" s="581" t="s">
        <v>197</v>
      </c>
      <c r="B44" s="582">
        <f t="shared" ref="B44:N44" si="56">B43+B36</f>
        <v>39816249</v>
      </c>
      <c r="C44" s="582">
        <f t="shared" si="56"/>
        <v>43125944</v>
      </c>
      <c r="D44" s="582">
        <f t="shared" si="56"/>
        <v>28675311</v>
      </c>
      <c r="E44" s="582">
        <f t="shared" si="56"/>
        <v>33323285</v>
      </c>
      <c r="F44" s="582">
        <f t="shared" si="56"/>
        <v>0</v>
      </c>
      <c r="G44" s="582">
        <f t="shared" si="56"/>
        <v>18481704</v>
      </c>
      <c r="H44" s="582">
        <f t="shared" si="56"/>
        <v>28421726</v>
      </c>
      <c r="I44" s="582">
        <f t="shared" si="56"/>
        <v>44670606</v>
      </c>
      <c r="J44" s="582">
        <f t="shared" si="56"/>
        <v>10961873</v>
      </c>
      <c r="K44" s="582">
        <f t="shared" si="56"/>
        <v>27854568</v>
      </c>
      <c r="L44" s="582">
        <f t="shared" si="56"/>
        <v>47185456</v>
      </c>
      <c r="M44" s="582">
        <f t="shared" si="56"/>
        <v>72003202</v>
      </c>
      <c r="N44" s="582">
        <f t="shared" si="56"/>
        <v>23695334</v>
      </c>
      <c r="O44" s="582"/>
      <c r="P44" s="582">
        <f>P43+P36</f>
        <v>70336880.576708406</v>
      </c>
      <c r="Q44" s="582">
        <f>P44+N44</f>
        <v>94032214.576708406</v>
      </c>
      <c r="R44" s="577"/>
      <c r="S44" s="577"/>
      <c r="T44" s="592" t="s">
        <v>197</v>
      </c>
      <c r="U44" s="345">
        <f t="shared" si="43"/>
        <v>1</v>
      </c>
      <c r="V44" s="345">
        <f t="shared" si="44"/>
        <v>1</v>
      </c>
      <c r="W44" s="345">
        <f t="shared" si="45"/>
        <v>1</v>
      </c>
      <c r="X44" s="345">
        <f t="shared" si="46"/>
        <v>1</v>
      </c>
      <c r="Y44" s="345"/>
      <c r="Z44" s="345">
        <f t="shared" si="47"/>
        <v>1</v>
      </c>
      <c r="AA44" s="345">
        <f t="shared" si="48"/>
        <v>1</v>
      </c>
      <c r="AB44" s="345">
        <f t="shared" si="49"/>
        <v>1</v>
      </c>
      <c r="AC44" s="345">
        <f t="shared" si="50"/>
        <v>1</v>
      </c>
      <c r="AD44" s="345">
        <f t="shared" si="51"/>
        <v>1</v>
      </c>
      <c r="AE44" s="345">
        <f t="shared" si="52"/>
        <v>1</v>
      </c>
      <c r="AF44" s="345">
        <f t="shared" si="53"/>
        <v>1</v>
      </c>
      <c r="AG44" s="345">
        <f t="shared" si="54"/>
        <v>1</v>
      </c>
      <c r="AH44" s="582"/>
      <c r="AI44" s="582"/>
      <c r="AJ44" s="582"/>
    </row>
    <row r="45" spans="1:36" x14ac:dyDescent="0.6">
      <c r="J45" s="579"/>
      <c r="K45" s="577"/>
      <c r="L45" s="577"/>
      <c r="M45" s="577"/>
      <c r="N45" s="579"/>
      <c r="O45" s="579"/>
      <c r="P45" s="579"/>
      <c r="Q45" s="579"/>
      <c r="R45" s="577"/>
      <c r="S45" s="577"/>
      <c r="T45" s="577"/>
      <c r="U45" s="577"/>
      <c r="V45" s="579"/>
      <c r="W45" s="577"/>
      <c r="X45" s="577"/>
      <c r="Y45" s="577"/>
      <c r="Z45" s="577"/>
      <c r="AA45" s="577"/>
      <c r="AB45" s="577"/>
    </row>
    <row r="46" spans="1:36" x14ac:dyDescent="0.6">
      <c r="J46" s="579"/>
      <c r="K46" s="577"/>
      <c r="L46" s="577"/>
      <c r="M46" s="577"/>
      <c r="N46" s="579"/>
      <c r="O46" s="579"/>
      <c r="P46" s="579"/>
      <c r="Q46" s="579"/>
      <c r="R46" s="577"/>
      <c r="S46" s="577"/>
      <c r="T46" s="577"/>
      <c r="U46" s="577"/>
      <c r="V46" s="579"/>
      <c r="W46" s="577"/>
      <c r="X46" s="577"/>
      <c r="Y46" s="577"/>
      <c r="Z46" s="577"/>
      <c r="AA46" s="577"/>
      <c r="AB46" s="577"/>
    </row>
    <row r="47" spans="1:36" ht="45" x14ac:dyDescent="0.6">
      <c r="A47" s="581" t="s">
        <v>165</v>
      </c>
      <c r="B47" s="581" t="s">
        <v>81</v>
      </c>
      <c r="C47" s="581" t="s">
        <v>80</v>
      </c>
      <c r="D47" s="581" t="s">
        <v>79</v>
      </c>
      <c r="E47" s="581" t="s">
        <v>78</v>
      </c>
      <c r="F47" s="581" t="s">
        <v>77</v>
      </c>
      <c r="G47" s="581" t="s">
        <v>76</v>
      </c>
      <c r="H47" s="581" t="s">
        <v>75</v>
      </c>
      <c r="I47" s="581" t="s">
        <v>74</v>
      </c>
      <c r="J47" s="581" t="s">
        <v>73</v>
      </c>
      <c r="K47" s="581" t="s">
        <v>72</v>
      </c>
      <c r="L47" s="581" t="s">
        <v>71</v>
      </c>
      <c r="M47" s="581" t="s">
        <v>70</v>
      </c>
      <c r="N47" s="581" t="s">
        <v>69</v>
      </c>
      <c r="O47" s="581" t="s">
        <v>68</v>
      </c>
      <c r="P47" s="581" t="s">
        <v>67</v>
      </c>
      <c r="Q47" s="581" t="s">
        <v>66</v>
      </c>
      <c r="R47" s="579"/>
      <c r="S47" s="579"/>
      <c r="T47" s="581" t="s">
        <v>165</v>
      </c>
      <c r="U47" s="581" t="s">
        <v>81</v>
      </c>
      <c r="V47" s="581" t="s">
        <v>80</v>
      </c>
      <c r="W47" s="581" t="s">
        <v>79</v>
      </c>
      <c r="X47" s="581" t="s">
        <v>78</v>
      </c>
      <c r="Y47" s="581" t="s">
        <v>77</v>
      </c>
      <c r="Z47" s="581" t="s">
        <v>76</v>
      </c>
      <c r="AA47" s="581" t="s">
        <v>75</v>
      </c>
      <c r="AB47" s="581" t="s">
        <v>74</v>
      </c>
      <c r="AC47" s="581" t="s">
        <v>73</v>
      </c>
      <c r="AD47" s="581" t="s">
        <v>72</v>
      </c>
      <c r="AE47" s="581" t="s">
        <v>71</v>
      </c>
      <c r="AF47" s="581" t="s">
        <v>70</v>
      </c>
      <c r="AG47" s="581" t="s">
        <v>69</v>
      </c>
      <c r="AH47" s="581" t="s">
        <v>68</v>
      </c>
      <c r="AI47" s="581" t="s">
        <v>67</v>
      </c>
      <c r="AJ47" s="581" t="s">
        <v>66</v>
      </c>
    </row>
    <row r="48" spans="1:36" x14ac:dyDescent="0.6">
      <c r="A48" s="590" t="s">
        <v>324</v>
      </c>
      <c r="B48" s="590"/>
      <c r="C48" s="590"/>
      <c r="D48" s="590"/>
      <c r="E48" s="590"/>
      <c r="F48" s="590"/>
      <c r="G48" s="590"/>
      <c r="H48" s="590"/>
      <c r="I48" s="590"/>
      <c r="J48" s="590"/>
      <c r="K48" s="590"/>
      <c r="L48" s="590"/>
      <c r="M48" s="590"/>
      <c r="N48" s="591"/>
      <c r="O48" s="590"/>
      <c r="P48" s="590"/>
      <c r="Q48" s="590"/>
      <c r="R48" s="579"/>
      <c r="S48" s="579"/>
      <c r="T48" s="590" t="s">
        <v>324</v>
      </c>
      <c r="U48" s="590"/>
      <c r="V48" s="590"/>
      <c r="W48" s="590"/>
      <c r="X48" s="590"/>
      <c r="Y48" s="590"/>
      <c r="Z48" s="590"/>
      <c r="AA48" s="590"/>
      <c r="AB48" s="590"/>
      <c r="AC48" s="590"/>
      <c r="AD48" s="590"/>
      <c r="AE48" s="590"/>
      <c r="AF48" s="590"/>
      <c r="AG48" s="591"/>
      <c r="AH48" s="590"/>
      <c r="AI48" s="590"/>
      <c r="AJ48" s="590"/>
    </row>
    <row r="49" spans="1:36" x14ac:dyDescent="0.6">
      <c r="A49" s="581" t="s">
        <v>323</v>
      </c>
      <c r="B49" s="346">
        <f t="shared" ref="B49:E52" si="57">B31*1000000/B13</f>
        <v>18626124.070005354</v>
      </c>
      <c r="C49" s="346">
        <f t="shared" si="57"/>
        <v>16639100.549258659</v>
      </c>
      <c r="D49" s="346">
        <f t="shared" si="57"/>
        <v>14476751.309785364</v>
      </c>
      <c r="E49" s="346">
        <f t="shared" si="57"/>
        <v>13963600.455961285</v>
      </c>
      <c r="F49" s="346">
        <v>0</v>
      </c>
      <c r="G49" s="346">
        <f t="shared" ref="G49:N52" si="58">G31*1000000/G13</f>
        <v>17453245.82824583</v>
      </c>
      <c r="H49" s="346">
        <f t="shared" si="58"/>
        <v>19197429.474906549</v>
      </c>
      <c r="I49" s="346">
        <f t="shared" si="58"/>
        <v>21265695.645811029</v>
      </c>
      <c r="J49" s="346">
        <f t="shared" si="58"/>
        <v>26449444.796041656</v>
      </c>
      <c r="K49" s="346">
        <f t="shared" si="58"/>
        <v>27801123.067165323</v>
      </c>
      <c r="L49" s="346">
        <f t="shared" si="58"/>
        <v>31015085.153853852</v>
      </c>
      <c r="M49" s="346">
        <f t="shared" si="58"/>
        <v>32764843.349490177</v>
      </c>
      <c r="N49" s="346">
        <f t="shared" si="58"/>
        <v>39935490.453137994</v>
      </c>
      <c r="O49" s="346"/>
      <c r="P49" s="346">
        <f>B210</f>
        <v>39854095</v>
      </c>
      <c r="Q49" s="346"/>
      <c r="T49" s="581" t="s">
        <v>323</v>
      </c>
      <c r="U49" s="345">
        <f>B49/B57</f>
        <v>1.5906756440701313</v>
      </c>
      <c r="V49" s="345">
        <f t="shared" ref="V49:AG49" si="59">C49/C57</f>
        <v>1.5402667957309066</v>
      </c>
      <c r="W49" s="345">
        <f t="shared" si="59"/>
        <v>1.621991237381871</v>
      </c>
      <c r="X49" s="345">
        <f t="shared" si="59"/>
        <v>1.1854852052496072</v>
      </c>
      <c r="Y49" s="345"/>
      <c r="Z49" s="345">
        <f t="shared" si="59"/>
        <v>1.2394982043700067</v>
      </c>
      <c r="AA49" s="345">
        <f t="shared" si="59"/>
        <v>1.2974783146629925</v>
      </c>
      <c r="AB49" s="345">
        <f t="shared" si="59"/>
        <v>1.2873403144039379</v>
      </c>
      <c r="AC49" s="345">
        <f t="shared" si="59"/>
        <v>1.2534638221040815</v>
      </c>
      <c r="AD49" s="345">
        <f t="shared" si="59"/>
        <v>1.0384331335988786</v>
      </c>
      <c r="AE49" s="345">
        <f t="shared" si="59"/>
        <v>1.0505191617431684</v>
      </c>
      <c r="AF49" s="345">
        <f t="shared" si="59"/>
        <v>1.0617160544239741</v>
      </c>
      <c r="AG49" s="345">
        <f t="shared" si="59"/>
        <v>1.0282807022685994</v>
      </c>
      <c r="AH49" s="346"/>
      <c r="AI49" s="346"/>
      <c r="AJ49" s="345">
        <f>AG49</f>
        <v>1.0282807022685994</v>
      </c>
    </row>
    <row r="50" spans="1:36" x14ac:dyDescent="0.6">
      <c r="A50" s="581" t="s">
        <v>322</v>
      </c>
      <c r="B50" s="346">
        <f t="shared" si="57"/>
        <v>17281879.809169665</v>
      </c>
      <c r="C50" s="346">
        <f t="shared" si="57"/>
        <v>16599787.77338914</v>
      </c>
      <c r="D50" s="346">
        <f t="shared" si="57"/>
        <v>13336605.367329655</v>
      </c>
      <c r="E50" s="346">
        <f t="shared" si="57"/>
        <v>13869607.68401405</v>
      </c>
      <c r="F50" s="346">
        <v>0</v>
      </c>
      <c r="G50" s="346">
        <f t="shared" si="58"/>
        <v>17405830.091395661</v>
      </c>
      <c r="H50" s="346">
        <f t="shared" si="58"/>
        <v>18908272.455845386</v>
      </c>
      <c r="I50" s="346">
        <f t="shared" si="58"/>
        <v>19548480.18738145</v>
      </c>
      <c r="J50" s="346">
        <f t="shared" si="58"/>
        <v>25699855.571206961</v>
      </c>
      <c r="K50" s="346">
        <f t="shared" si="58"/>
        <v>27221430.855031792</v>
      </c>
      <c r="L50" s="346">
        <f t="shared" si="58"/>
        <v>32233846.034032941</v>
      </c>
      <c r="M50" s="346">
        <f t="shared" si="58"/>
        <v>32990592.454716798</v>
      </c>
      <c r="N50" s="346">
        <f t="shared" si="58"/>
        <v>38299610.328533359</v>
      </c>
      <c r="O50" s="346"/>
      <c r="P50" s="346">
        <f>B211</f>
        <v>40088028</v>
      </c>
      <c r="Q50" s="346"/>
      <c r="T50" s="581" t="s">
        <v>322</v>
      </c>
      <c r="U50" s="345">
        <f>B50/B57</f>
        <v>1.4758768487138962</v>
      </c>
      <c r="V50" s="345">
        <f t="shared" ref="V50:AG50" si="60">C50/C57</f>
        <v>1.5366276468994795</v>
      </c>
      <c r="W50" s="345">
        <f t="shared" si="60"/>
        <v>1.4942480242516127</v>
      </c>
      <c r="X50" s="345">
        <f t="shared" si="60"/>
        <v>1.1775053836487768</v>
      </c>
      <c r="Y50" s="345"/>
      <c r="Z50" s="345">
        <f t="shared" si="60"/>
        <v>1.2361308238115121</v>
      </c>
      <c r="AA50" s="345">
        <f t="shared" si="60"/>
        <v>1.2779353356274474</v>
      </c>
      <c r="AB50" s="345">
        <f t="shared" si="60"/>
        <v>1.1833869462671429</v>
      </c>
      <c r="AC50" s="345">
        <f t="shared" si="60"/>
        <v>1.2179400906225819</v>
      </c>
      <c r="AD50" s="345">
        <f t="shared" si="60"/>
        <v>1.016780353640516</v>
      </c>
      <c r="AE50" s="345">
        <f t="shared" si="60"/>
        <v>1.0918000949361573</v>
      </c>
      <c r="AF50" s="345">
        <f t="shared" si="60"/>
        <v>1.0690312564755864</v>
      </c>
      <c r="AG50" s="345">
        <f t="shared" si="60"/>
        <v>0.98615917216420279</v>
      </c>
      <c r="AH50" s="346"/>
      <c r="AI50" s="346"/>
      <c r="AJ50" s="345">
        <f t="shared" ref="AJ50:AJ53" si="61">AG50</f>
        <v>0.98615917216420279</v>
      </c>
    </row>
    <row r="51" spans="1:36" x14ac:dyDescent="0.6">
      <c r="A51" s="581" t="s">
        <v>321</v>
      </c>
      <c r="B51" s="346">
        <f t="shared" si="57"/>
        <v>15470396.894817406</v>
      </c>
      <c r="C51" s="346">
        <f t="shared" si="57"/>
        <v>14926232.652207267</v>
      </c>
      <c r="D51" s="346">
        <f t="shared" si="57"/>
        <v>11989441.90559919</v>
      </c>
      <c r="E51" s="346">
        <f t="shared" si="57"/>
        <v>12449606.283273619</v>
      </c>
      <c r="F51" s="346">
        <v>0</v>
      </c>
      <c r="G51" s="346">
        <f t="shared" si="58"/>
        <v>16088334.045540566</v>
      </c>
      <c r="H51" s="346">
        <f t="shared" si="58"/>
        <v>16989657.379644915</v>
      </c>
      <c r="I51" s="346">
        <f t="shared" si="58"/>
        <v>17781529.448041938</v>
      </c>
      <c r="J51" s="346">
        <f t="shared" si="58"/>
        <v>23797653.95894428</v>
      </c>
      <c r="K51" s="346">
        <f t="shared" si="58"/>
        <v>31098387.82582492</v>
      </c>
      <c r="L51" s="346">
        <f t="shared" si="58"/>
        <v>32226007.376992136</v>
      </c>
      <c r="M51" s="346">
        <f t="shared" si="58"/>
        <v>31585117.080879185</v>
      </c>
      <c r="N51" s="346">
        <f t="shared" si="58"/>
        <v>41221708.243846029</v>
      </c>
      <c r="O51" s="346"/>
      <c r="P51" s="346">
        <f>B208</f>
        <v>40370000</v>
      </c>
      <c r="Q51" s="346"/>
      <c r="T51" s="581" t="s">
        <v>321</v>
      </c>
      <c r="U51" s="345">
        <f>B51/B57</f>
        <v>1.3211757557393509</v>
      </c>
      <c r="V51" s="345">
        <f t="shared" ref="V51:AG51" si="62">C51/C57</f>
        <v>1.3817081320885241</v>
      </c>
      <c r="W51" s="345">
        <f t="shared" si="62"/>
        <v>1.3433103391667787</v>
      </c>
      <c r="X51" s="345">
        <f t="shared" si="62"/>
        <v>1.056949753507352</v>
      </c>
      <c r="Y51" s="345"/>
      <c r="Z51" s="345">
        <f t="shared" si="62"/>
        <v>1.1425646184665372</v>
      </c>
      <c r="AA51" s="345">
        <f t="shared" si="62"/>
        <v>1.1482637325198801</v>
      </c>
      <c r="AB51" s="345">
        <f t="shared" si="62"/>
        <v>1.0764228027844598</v>
      </c>
      <c r="AC51" s="345">
        <f t="shared" si="62"/>
        <v>1.1277929846358368</v>
      </c>
      <c r="AD51" s="345">
        <f t="shared" si="62"/>
        <v>1.1615932292312725</v>
      </c>
      <c r="AE51" s="345">
        <f t="shared" si="62"/>
        <v>1.0915345899606641</v>
      </c>
      <c r="AF51" s="345">
        <f t="shared" si="62"/>
        <v>1.0234880578530865</v>
      </c>
      <c r="AG51" s="345">
        <f t="shared" si="62"/>
        <v>1.061398936653416</v>
      </c>
      <c r="AH51" s="346"/>
      <c r="AI51" s="346"/>
      <c r="AJ51" s="345">
        <f t="shared" si="61"/>
        <v>1.061398936653416</v>
      </c>
    </row>
    <row r="52" spans="1:36" ht="45" x14ac:dyDescent="0.6">
      <c r="A52" s="581" t="s">
        <v>320</v>
      </c>
      <c r="B52" s="346">
        <f t="shared" si="57"/>
        <v>13912042.502951594</v>
      </c>
      <c r="C52" s="346">
        <f t="shared" si="57"/>
        <v>13758128.469468676</v>
      </c>
      <c r="D52" s="346">
        <f t="shared" si="57"/>
        <v>14777339.965118533</v>
      </c>
      <c r="E52" s="346">
        <f t="shared" si="57"/>
        <v>15830721.003134796</v>
      </c>
      <c r="F52" s="346">
        <v>0</v>
      </c>
      <c r="G52" s="346">
        <f t="shared" si="58"/>
        <v>17159498.792664621</v>
      </c>
      <c r="H52" s="346">
        <f t="shared" si="58"/>
        <v>18558544.903372489</v>
      </c>
      <c r="I52" s="346">
        <f t="shared" si="58"/>
        <v>21558579.488881513</v>
      </c>
      <c r="J52" s="346">
        <f t="shared" si="58"/>
        <v>26220029.845796715</v>
      </c>
      <c r="K52" s="346">
        <f t="shared" si="58"/>
        <v>27913847.692051325</v>
      </c>
      <c r="L52" s="346">
        <f t="shared" si="58"/>
        <v>31565607.967162371</v>
      </c>
      <c r="M52" s="346">
        <f t="shared" si="58"/>
        <v>34264394.260458924</v>
      </c>
      <c r="N52" s="346">
        <f t="shared" si="58"/>
        <v>47610286.431110181</v>
      </c>
      <c r="O52" s="346"/>
      <c r="P52" s="346">
        <f>$P$51*AJ52</f>
        <v>49489402.07273671</v>
      </c>
      <c r="Q52" s="346"/>
      <c r="T52" s="581" t="s">
        <v>320</v>
      </c>
      <c r="U52" s="345">
        <f>B52/B57</f>
        <v>1.188091901758024</v>
      </c>
      <c r="V52" s="345">
        <f t="shared" ref="V52:AG52" si="63">C52/C57</f>
        <v>1.2735777628236542</v>
      </c>
      <c r="W52" s="345">
        <f t="shared" si="63"/>
        <v>1.6556695229705198</v>
      </c>
      <c r="X52" s="345">
        <f t="shared" si="63"/>
        <v>1.3440004672747961</v>
      </c>
      <c r="Y52" s="345"/>
      <c r="Z52" s="345">
        <f t="shared" si="63"/>
        <v>1.2186368169395567</v>
      </c>
      <c r="AA52" s="345">
        <f t="shared" si="63"/>
        <v>1.2542986338509479</v>
      </c>
      <c r="AB52" s="345">
        <f t="shared" si="63"/>
        <v>1.3050703329700817</v>
      </c>
      <c r="AC52" s="345">
        <f t="shared" si="63"/>
        <v>1.242591633950443</v>
      </c>
      <c r="AD52" s="345">
        <f t="shared" si="63"/>
        <v>1.0426436464321669</v>
      </c>
      <c r="AE52" s="345">
        <f t="shared" si="63"/>
        <v>1.0691660479757377</v>
      </c>
      <c r="AF52" s="345">
        <f t="shared" si="63"/>
        <v>1.1103076884391077</v>
      </c>
      <c r="AG52" s="345">
        <f t="shared" si="63"/>
        <v>1.2258955182743798</v>
      </c>
      <c r="AH52" s="346"/>
      <c r="AI52" s="346"/>
      <c r="AJ52" s="345">
        <f t="shared" si="61"/>
        <v>1.2258955182743798</v>
      </c>
    </row>
    <row r="53" spans="1:36" ht="67.5" x14ac:dyDescent="0.6">
      <c r="A53" s="581" t="s">
        <v>319</v>
      </c>
      <c r="B53" s="346">
        <f>B35*1000000/B17</f>
        <v>1377245.9786632631</v>
      </c>
      <c r="C53" s="346">
        <f>C35*1000000/C17</f>
        <v>2361060.4252537214</v>
      </c>
      <c r="D53" s="346">
        <f>D35*1000000/D17</f>
        <v>1545727.3867590001</v>
      </c>
      <c r="E53" s="346">
        <v>0</v>
      </c>
      <c r="F53" s="346">
        <v>0</v>
      </c>
      <c r="G53" s="346">
        <v>0</v>
      </c>
      <c r="H53" s="346">
        <v>0</v>
      </c>
      <c r="I53" s="346">
        <v>0</v>
      </c>
      <c r="J53" s="346">
        <v>0</v>
      </c>
      <c r="K53" s="346">
        <v>0</v>
      </c>
      <c r="L53" s="346">
        <v>0</v>
      </c>
      <c r="M53" s="346">
        <v>0</v>
      </c>
      <c r="N53" s="346">
        <v>0</v>
      </c>
      <c r="O53" s="346"/>
      <c r="P53" s="346">
        <f>$P$51*AJ53</f>
        <v>0</v>
      </c>
      <c r="Q53" s="346"/>
      <c r="T53" s="581" t="s">
        <v>319</v>
      </c>
      <c r="U53" s="345">
        <f>B53/B57</f>
        <v>0.11761715029489517</v>
      </c>
      <c r="V53" s="345">
        <f t="shared" ref="V53:AG53" si="64">C53/C57</f>
        <v>0.218561271684522</v>
      </c>
      <c r="W53" s="345">
        <f t="shared" si="64"/>
        <v>0.17318500698493025</v>
      </c>
      <c r="X53" s="345">
        <f t="shared" si="64"/>
        <v>0</v>
      </c>
      <c r="Y53" s="345"/>
      <c r="Z53" s="345">
        <f t="shared" si="64"/>
        <v>0</v>
      </c>
      <c r="AA53" s="345">
        <f t="shared" si="64"/>
        <v>0</v>
      </c>
      <c r="AB53" s="345">
        <f t="shared" si="64"/>
        <v>0</v>
      </c>
      <c r="AC53" s="345">
        <f t="shared" si="64"/>
        <v>0</v>
      </c>
      <c r="AD53" s="345">
        <f t="shared" si="64"/>
        <v>0</v>
      </c>
      <c r="AE53" s="345">
        <f t="shared" si="64"/>
        <v>0</v>
      </c>
      <c r="AF53" s="345">
        <f t="shared" si="64"/>
        <v>0</v>
      </c>
      <c r="AG53" s="345">
        <f t="shared" si="64"/>
        <v>0</v>
      </c>
      <c r="AH53" s="346"/>
      <c r="AI53" s="346"/>
      <c r="AJ53" s="345">
        <f t="shared" si="61"/>
        <v>0</v>
      </c>
    </row>
    <row r="54" spans="1:36" x14ac:dyDescent="0.6">
      <c r="A54" s="590" t="s">
        <v>318</v>
      </c>
      <c r="B54" s="589"/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T54" s="590" t="s">
        <v>318</v>
      </c>
      <c r="U54" s="589"/>
      <c r="V54" s="589"/>
      <c r="W54" s="589"/>
      <c r="X54" s="589"/>
      <c r="Y54" s="589"/>
      <c r="Z54" s="589"/>
      <c r="AA54" s="589"/>
      <c r="AB54" s="589"/>
      <c r="AC54" s="589"/>
      <c r="AD54" s="589"/>
      <c r="AE54" s="589"/>
      <c r="AF54" s="589"/>
      <c r="AG54" s="589"/>
      <c r="AH54" s="589"/>
      <c r="AI54" s="589"/>
      <c r="AJ54" s="589"/>
    </row>
    <row r="55" spans="1:36" x14ac:dyDescent="0.6">
      <c r="A55" s="581" t="s">
        <v>317</v>
      </c>
      <c r="B55" s="346">
        <f t="shared" ref="B55:E57" si="65">B38*1000000/B20</f>
        <v>15323851.542787872</v>
      </c>
      <c r="C55" s="346">
        <f t="shared" si="65"/>
        <v>14480642.413705295</v>
      </c>
      <c r="D55" s="346">
        <f t="shared" si="65"/>
        <v>13455875.214163335</v>
      </c>
      <c r="E55" s="346">
        <f t="shared" si="65"/>
        <v>14908074.844319116</v>
      </c>
      <c r="F55" s="346">
        <v>0</v>
      </c>
      <c r="G55" s="346">
        <f t="shared" ref="G55:N58" si="66">G38*1000000/G20</f>
        <v>15927772.126144456</v>
      </c>
      <c r="H55" s="346">
        <f t="shared" si="66"/>
        <v>17699453.483884621</v>
      </c>
      <c r="I55" s="346">
        <f t="shared" si="66"/>
        <v>18865779.118310928</v>
      </c>
      <c r="J55" s="346">
        <f t="shared" si="66"/>
        <v>25815177.579324253</v>
      </c>
      <c r="K55" s="346">
        <f t="shared" si="66"/>
        <v>34705664.046451755</v>
      </c>
      <c r="L55" s="346">
        <f t="shared" si="66"/>
        <v>35997482.625296608</v>
      </c>
      <c r="M55" s="346">
        <f t="shared" si="66"/>
        <v>36194382.936418273</v>
      </c>
      <c r="N55" s="346">
        <f t="shared" si="66"/>
        <v>38534711.964549482</v>
      </c>
      <c r="O55" s="346"/>
      <c r="P55" s="346">
        <f>$P$51*AJ55</f>
        <v>40055626.569903381</v>
      </c>
      <c r="Q55" s="346"/>
      <c r="T55" s="581" t="s">
        <v>317</v>
      </c>
      <c r="U55" s="345">
        <f>B55/B57</f>
        <v>1.308660746102942</v>
      </c>
      <c r="V55" s="345">
        <f t="shared" ref="V55:AG55" si="67">C55/C57</f>
        <v>1.34046023849989</v>
      </c>
      <c r="W55" s="345">
        <f t="shared" si="67"/>
        <v>1.5076111498803126</v>
      </c>
      <c r="X55" s="345">
        <f t="shared" si="67"/>
        <v>1.26566942547752</v>
      </c>
      <c r="Y55" s="345"/>
      <c r="Z55" s="345">
        <f t="shared" si="67"/>
        <v>1.1311617990288141</v>
      </c>
      <c r="AA55" s="345">
        <f t="shared" si="67"/>
        <v>1.1962360433069614</v>
      </c>
      <c r="AB55" s="345">
        <f t="shared" si="67"/>
        <v>1.142058949123806</v>
      </c>
      <c r="AC55" s="345">
        <f t="shared" si="67"/>
        <v>1.22340530799036</v>
      </c>
      <c r="AD55" s="345">
        <f t="shared" si="67"/>
        <v>1.2963329352673347</v>
      </c>
      <c r="AE55" s="345">
        <f t="shared" si="67"/>
        <v>1.2192791051451277</v>
      </c>
      <c r="AF55" s="345">
        <f t="shared" si="67"/>
        <v>1.1728472812662589</v>
      </c>
      <c r="AG55" s="345">
        <f t="shared" si="67"/>
        <v>0.99221269680216451</v>
      </c>
      <c r="AH55" s="346"/>
      <c r="AI55" s="346"/>
      <c r="AJ55" s="345">
        <f>AG55</f>
        <v>0.99221269680216451</v>
      </c>
    </row>
    <row r="56" spans="1:36" x14ac:dyDescent="0.6">
      <c r="A56" s="581" t="s">
        <v>316</v>
      </c>
      <c r="B56" s="346">
        <f t="shared" si="65"/>
        <v>14971560.698494431</v>
      </c>
      <c r="C56" s="346">
        <f t="shared" si="65"/>
        <v>13871038.672692096</v>
      </c>
      <c r="D56" s="346">
        <f t="shared" si="65"/>
        <v>12189154.146610266</v>
      </c>
      <c r="E56" s="346">
        <f t="shared" si="65"/>
        <v>12699302.888220832</v>
      </c>
      <c r="F56" s="346">
        <v>0</v>
      </c>
      <c r="G56" s="346">
        <f t="shared" si="66"/>
        <v>14145876.481597006</v>
      </c>
      <c r="H56" s="346">
        <f t="shared" si="66"/>
        <v>15730712.275384283</v>
      </c>
      <c r="I56" s="346">
        <f t="shared" si="66"/>
        <v>17616735.22082445</v>
      </c>
      <c r="J56" s="346">
        <f t="shared" si="66"/>
        <v>23253931.980104852</v>
      </c>
      <c r="K56" s="346">
        <f t="shared" si="66"/>
        <v>30769300.208752561</v>
      </c>
      <c r="L56" s="346">
        <f t="shared" si="66"/>
        <v>32567136.550165046</v>
      </c>
      <c r="M56" s="346">
        <f t="shared" si="66"/>
        <v>32464381.075144358</v>
      </c>
      <c r="N56" s="346">
        <f t="shared" si="66"/>
        <v>35419219.505774736</v>
      </c>
      <c r="O56" s="346"/>
      <c r="P56" s="346">
        <f>$P$51*AJ56</f>
        <v>36817169.704705156</v>
      </c>
      <c r="Q56" s="346"/>
      <c r="T56" s="581" t="s">
        <v>316</v>
      </c>
      <c r="U56" s="345">
        <f>B56/B57</f>
        <v>1.2785750200796255</v>
      </c>
      <c r="V56" s="345">
        <f t="shared" ref="V56:AG56" si="68">C56/C57</f>
        <v>1.2840297602984823</v>
      </c>
      <c r="W56" s="345">
        <f t="shared" si="68"/>
        <v>1.3656863196603377</v>
      </c>
      <c r="X56" s="345">
        <f t="shared" si="68"/>
        <v>1.0781485576338052</v>
      </c>
      <c r="Y56" s="345"/>
      <c r="Z56" s="345">
        <f t="shared" si="68"/>
        <v>1.0046147674035062</v>
      </c>
      <c r="AA56" s="345">
        <f t="shared" si="68"/>
        <v>1.0631766132123479</v>
      </c>
      <c r="AB56" s="345">
        <f t="shared" si="68"/>
        <v>1.0664468181841205</v>
      </c>
      <c r="AC56" s="345">
        <f t="shared" si="68"/>
        <v>1.1020254936728484</v>
      </c>
      <c r="AD56" s="345">
        <f t="shared" si="68"/>
        <v>1.149301082450028</v>
      </c>
      <c r="AE56" s="345">
        <f t="shared" si="68"/>
        <v>1.1030890555141213</v>
      </c>
      <c r="AF56" s="345">
        <f t="shared" si="68"/>
        <v>1.0519798375582627</v>
      </c>
      <c r="AG56" s="345">
        <f t="shared" si="68"/>
        <v>0.91199330455053651</v>
      </c>
      <c r="AH56" s="346"/>
      <c r="AI56" s="346"/>
      <c r="AJ56" s="345">
        <f t="shared" ref="AJ56:AJ59" si="69">AG56</f>
        <v>0.91199330455053651</v>
      </c>
    </row>
    <row r="57" spans="1:36" x14ac:dyDescent="0.6">
      <c r="A57" s="581" t="s">
        <v>315</v>
      </c>
      <c r="B57" s="346">
        <f t="shared" si="65"/>
        <v>11709567.654123299</v>
      </c>
      <c r="C57" s="346">
        <f t="shared" si="65"/>
        <v>10802739.236719614</v>
      </c>
      <c r="D57" s="346">
        <f t="shared" si="65"/>
        <v>8925295.6342433393</v>
      </c>
      <c r="E57" s="346">
        <f t="shared" si="65"/>
        <v>11778806.174996683</v>
      </c>
      <c r="F57" s="346">
        <v>0</v>
      </c>
      <c r="G57" s="346">
        <f t="shared" si="66"/>
        <v>14080896.419786828</v>
      </c>
      <c r="H57" s="346">
        <f t="shared" si="66"/>
        <v>14795954.011680648</v>
      </c>
      <c r="I57" s="346">
        <f t="shared" si="66"/>
        <v>16519093.986159699</v>
      </c>
      <c r="J57" s="346">
        <f t="shared" si="66"/>
        <v>21101083.517227691</v>
      </c>
      <c r="K57" s="346">
        <f t="shared" si="66"/>
        <v>26772184.137475934</v>
      </c>
      <c r="L57" s="346">
        <f t="shared" si="66"/>
        <v>29523578.705969799</v>
      </c>
      <c r="M57" s="346">
        <f t="shared" si="66"/>
        <v>30860269.290423881</v>
      </c>
      <c r="N57" s="346">
        <f t="shared" si="66"/>
        <v>38837148.616162941</v>
      </c>
      <c r="O57" s="346"/>
      <c r="P57" s="346">
        <f>B208</f>
        <v>40370000</v>
      </c>
      <c r="Q57" s="346"/>
      <c r="T57" s="581" t="s">
        <v>315</v>
      </c>
      <c r="U57" s="345">
        <f>B57/B57</f>
        <v>1</v>
      </c>
      <c r="V57" s="345">
        <f t="shared" ref="V57:AG57" si="70">C57/C57</f>
        <v>1</v>
      </c>
      <c r="W57" s="345">
        <f t="shared" si="70"/>
        <v>1</v>
      </c>
      <c r="X57" s="345">
        <f t="shared" si="70"/>
        <v>1</v>
      </c>
      <c r="Y57" s="345"/>
      <c r="Z57" s="345">
        <f t="shared" si="70"/>
        <v>1</v>
      </c>
      <c r="AA57" s="345">
        <f t="shared" si="70"/>
        <v>1</v>
      </c>
      <c r="AB57" s="345">
        <f t="shared" si="70"/>
        <v>1</v>
      </c>
      <c r="AC57" s="345">
        <f t="shared" si="70"/>
        <v>1</v>
      </c>
      <c r="AD57" s="345">
        <f t="shared" si="70"/>
        <v>1</v>
      </c>
      <c r="AE57" s="345">
        <f t="shared" si="70"/>
        <v>1</v>
      </c>
      <c r="AF57" s="345">
        <f t="shared" si="70"/>
        <v>1</v>
      </c>
      <c r="AG57" s="345">
        <f t="shared" si="70"/>
        <v>1</v>
      </c>
      <c r="AH57" s="346"/>
      <c r="AI57" s="346"/>
      <c r="AJ57" s="345">
        <f t="shared" si="69"/>
        <v>1</v>
      </c>
    </row>
    <row r="58" spans="1:36" x14ac:dyDescent="0.6">
      <c r="A58" s="581" t="s">
        <v>314</v>
      </c>
      <c r="B58" s="346">
        <f>B41*1000000/B23</f>
        <v>15418181.818181818</v>
      </c>
      <c r="C58" s="346">
        <v>0</v>
      </c>
      <c r="D58" s="346">
        <v>0</v>
      </c>
      <c r="E58" s="346">
        <f>E41*1000000/E23</f>
        <v>14130380.3562831</v>
      </c>
      <c r="F58" s="346">
        <v>0</v>
      </c>
      <c r="G58" s="346">
        <f t="shared" si="66"/>
        <v>16274929.170601632</v>
      </c>
      <c r="H58" s="346">
        <f t="shared" si="66"/>
        <v>17516670.78290936</v>
      </c>
      <c r="I58" s="346">
        <f t="shared" si="66"/>
        <v>19821407.127703577</v>
      </c>
      <c r="J58" s="346">
        <f t="shared" si="66"/>
        <v>24063071.297989029</v>
      </c>
      <c r="K58" s="346">
        <f t="shared" si="66"/>
        <v>26416579.918614555</v>
      </c>
      <c r="L58" s="346">
        <f t="shared" si="66"/>
        <v>35013030.516196027</v>
      </c>
      <c r="M58" s="346">
        <f t="shared" si="66"/>
        <v>35045602.885606319</v>
      </c>
      <c r="N58" s="346">
        <f t="shared" si="66"/>
        <v>44315215.801024139</v>
      </c>
      <c r="O58" s="346"/>
      <c r="P58" s="346">
        <f>$P$51*AJ58</f>
        <v>46064279.32103157</v>
      </c>
      <c r="Q58" s="346"/>
      <c r="T58" s="581" t="s">
        <v>314</v>
      </c>
      <c r="U58" s="345">
        <f>B58/B57</f>
        <v>1.3167165751634393</v>
      </c>
      <c r="V58" s="345">
        <f t="shared" ref="V58:AG58" si="71">C58/C57</f>
        <v>0</v>
      </c>
      <c r="W58" s="345">
        <f t="shared" si="71"/>
        <v>0</v>
      </c>
      <c r="X58" s="345">
        <f t="shared" si="71"/>
        <v>1.19964452647826</v>
      </c>
      <c r="Y58" s="345"/>
      <c r="Z58" s="345">
        <f t="shared" si="71"/>
        <v>1.1558162694621981</v>
      </c>
      <c r="AA58" s="345">
        <f t="shared" si="71"/>
        <v>1.183882483622269</v>
      </c>
      <c r="AB58" s="345">
        <f t="shared" si="71"/>
        <v>1.1999088536157416</v>
      </c>
      <c r="AC58" s="345">
        <f t="shared" si="71"/>
        <v>1.1403713595248823</v>
      </c>
      <c r="AD58" s="345">
        <f t="shared" si="71"/>
        <v>0.98671739978197737</v>
      </c>
      <c r="AE58" s="345">
        <f t="shared" si="71"/>
        <v>1.1859344988253824</v>
      </c>
      <c r="AF58" s="345">
        <f t="shared" si="71"/>
        <v>1.1356220697815222</v>
      </c>
      <c r="AG58" s="345">
        <f t="shared" si="71"/>
        <v>1.141052249715917</v>
      </c>
      <c r="AH58" s="346"/>
      <c r="AI58" s="346"/>
      <c r="AJ58" s="345">
        <f t="shared" si="69"/>
        <v>1.141052249715917</v>
      </c>
    </row>
    <row r="59" spans="1:36" x14ac:dyDescent="0.6">
      <c r="A59" s="581" t="s">
        <v>313</v>
      </c>
      <c r="B59" s="346">
        <f>B42*1000000/B24</f>
        <v>938003.19481506234</v>
      </c>
      <c r="C59" s="346">
        <f>C42*1000000/C24</f>
        <v>1751580.8250908558</v>
      </c>
      <c r="D59" s="346">
        <f>D42*1000000/D24</f>
        <v>2828017.7634234964</v>
      </c>
      <c r="E59" s="346">
        <f>E42*1000000/E24</f>
        <v>9602914.3897996359</v>
      </c>
      <c r="F59" s="346">
        <v>0</v>
      </c>
      <c r="G59" s="346">
        <v>0</v>
      </c>
      <c r="H59" s="346">
        <v>0</v>
      </c>
      <c r="I59" s="346">
        <v>0</v>
      </c>
      <c r="J59" s="346">
        <v>0</v>
      </c>
      <c r="K59" s="346">
        <v>0</v>
      </c>
      <c r="L59" s="346">
        <v>0</v>
      </c>
      <c r="M59" s="346">
        <v>0</v>
      </c>
      <c r="N59" s="346">
        <v>0</v>
      </c>
      <c r="O59" s="346"/>
      <c r="P59" s="346">
        <f>$P$51*AJ59</f>
        <v>0</v>
      </c>
      <c r="Q59" s="346"/>
      <c r="T59" s="581" t="s">
        <v>313</v>
      </c>
      <c r="U59" s="345">
        <f>B59/B57</f>
        <v>8.0105706933147322E-2</v>
      </c>
      <c r="V59" s="345">
        <f t="shared" ref="V59:AG59" si="72">C59/C57</f>
        <v>0.16214228509164172</v>
      </c>
      <c r="W59" s="345">
        <f t="shared" si="72"/>
        <v>0.31685423982745725</v>
      </c>
      <c r="X59" s="345">
        <f t="shared" si="72"/>
        <v>0.81527060103799864</v>
      </c>
      <c r="Y59" s="345"/>
      <c r="Z59" s="345">
        <f t="shared" si="72"/>
        <v>0</v>
      </c>
      <c r="AA59" s="345">
        <f t="shared" si="72"/>
        <v>0</v>
      </c>
      <c r="AB59" s="345">
        <f t="shared" si="72"/>
        <v>0</v>
      </c>
      <c r="AC59" s="345">
        <f t="shared" si="72"/>
        <v>0</v>
      </c>
      <c r="AD59" s="345">
        <f t="shared" si="72"/>
        <v>0</v>
      </c>
      <c r="AE59" s="345">
        <f t="shared" si="72"/>
        <v>0</v>
      </c>
      <c r="AF59" s="345">
        <f t="shared" si="72"/>
        <v>0</v>
      </c>
      <c r="AG59" s="345">
        <f t="shared" si="72"/>
        <v>0</v>
      </c>
      <c r="AH59" s="346"/>
      <c r="AI59" s="346"/>
      <c r="AJ59" s="345">
        <f t="shared" si="69"/>
        <v>0</v>
      </c>
    </row>
    <row r="62" spans="1:36" x14ac:dyDescent="0.6">
      <c r="A62" s="581" t="s">
        <v>152</v>
      </c>
      <c r="B62" s="581" t="s">
        <v>78</v>
      </c>
      <c r="C62" s="581" t="s">
        <v>151</v>
      </c>
      <c r="D62" s="581" t="s">
        <v>150</v>
      </c>
      <c r="E62" s="581" t="s">
        <v>72</v>
      </c>
      <c r="F62" s="581" t="s">
        <v>71</v>
      </c>
      <c r="G62" s="581" t="s">
        <v>149</v>
      </c>
      <c r="H62" s="581" t="s">
        <v>69</v>
      </c>
      <c r="I62" s="581" t="s">
        <v>68</v>
      </c>
      <c r="J62" s="581" t="s">
        <v>67</v>
      </c>
      <c r="K62" s="581" t="s">
        <v>66</v>
      </c>
    </row>
    <row r="63" spans="1:36" x14ac:dyDescent="0.6">
      <c r="A63" s="581" t="s">
        <v>148</v>
      </c>
      <c r="B63" s="580">
        <v>17182640</v>
      </c>
      <c r="C63" s="580">
        <v>22417284</v>
      </c>
      <c r="D63" s="580">
        <v>6966272</v>
      </c>
      <c r="E63" s="580">
        <v>15145601</v>
      </c>
      <c r="F63" s="580">
        <v>28205141</v>
      </c>
      <c r="G63" s="580">
        <v>43167094</v>
      </c>
      <c r="H63" s="580">
        <v>15800140</v>
      </c>
      <c r="I63" s="580"/>
      <c r="J63" s="580">
        <f>J115</f>
        <v>31453838.48239496</v>
      </c>
      <c r="K63" s="580"/>
    </row>
    <row r="64" spans="1:36" x14ac:dyDescent="0.6">
      <c r="A64" s="581" t="s">
        <v>147</v>
      </c>
      <c r="B64" s="580">
        <v>8481917</v>
      </c>
      <c r="C64" s="580">
        <v>2138474</v>
      </c>
      <c r="D64" s="580">
        <v>655009</v>
      </c>
      <c r="E64" s="580">
        <v>1339942</v>
      </c>
      <c r="F64" s="580">
        <v>1981324</v>
      </c>
      <c r="G64" s="580">
        <v>2717779</v>
      </c>
      <c r="H64" s="580">
        <v>860087</v>
      </c>
      <c r="I64" s="580"/>
      <c r="J64" s="580">
        <f>K64-H64</f>
        <v>2673025.7000000002</v>
      </c>
      <c r="K64" s="580">
        <f>G64*1.3</f>
        <v>3533112.7</v>
      </c>
      <c r="M64" s="577"/>
    </row>
    <row r="65" spans="1:24" x14ac:dyDescent="0.6">
      <c r="A65" s="581" t="s">
        <v>146</v>
      </c>
      <c r="B65" s="580">
        <v>5307221</v>
      </c>
      <c r="C65" s="580">
        <v>12427171</v>
      </c>
      <c r="D65" s="580">
        <v>3807038</v>
      </c>
      <c r="E65" s="580">
        <v>7905857</v>
      </c>
      <c r="F65" s="580">
        <v>11832021</v>
      </c>
      <c r="G65" s="580">
        <v>17346935</v>
      </c>
      <c r="H65" s="580">
        <v>5305886</v>
      </c>
      <c r="I65" s="580"/>
      <c r="J65" s="580">
        <f>J145</f>
        <v>17245129.5</v>
      </c>
      <c r="K65" s="580"/>
      <c r="M65" s="577"/>
    </row>
    <row r="66" spans="1:24" x14ac:dyDescent="0.6">
      <c r="A66" s="581" t="s">
        <v>100</v>
      </c>
      <c r="B66" s="580">
        <v>30971778</v>
      </c>
      <c r="C66" s="580">
        <v>36982929</v>
      </c>
      <c r="D66" s="580">
        <v>11428319</v>
      </c>
      <c r="E66" s="580">
        <v>24391400</v>
      </c>
      <c r="F66" s="580">
        <v>42018486</v>
      </c>
      <c r="G66" s="580">
        <v>63231808</v>
      </c>
      <c r="H66" s="580">
        <v>21966113</v>
      </c>
      <c r="I66" s="580"/>
      <c r="J66" s="580">
        <f>SUM(J63:J65)</f>
        <v>51371993.682394959</v>
      </c>
      <c r="K66" s="580"/>
      <c r="M66" s="577"/>
    </row>
    <row r="67" spans="1:24" x14ac:dyDescent="0.6">
      <c r="A67" s="581" t="s">
        <v>145</v>
      </c>
      <c r="B67" s="580">
        <v>-462</v>
      </c>
      <c r="C67" s="580">
        <v>-2721415</v>
      </c>
      <c r="D67" s="580">
        <v>-943434</v>
      </c>
      <c r="E67" s="580">
        <v>-1827002</v>
      </c>
      <c r="F67" s="580">
        <v>-2276463</v>
      </c>
      <c r="G67" s="580">
        <v>-3418219</v>
      </c>
      <c r="H67" s="580">
        <v>-831853</v>
      </c>
      <c r="I67" s="580"/>
      <c r="J67" s="580">
        <f>G67</f>
        <v>-3418219</v>
      </c>
      <c r="K67" s="580"/>
      <c r="M67" s="577"/>
    </row>
    <row r="68" spans="1:24" x14ac:dyDescent="0.6">
      <c r="A68" s="581" t="s">
        <v>144</v>
      </c>
      <c r="B68" s="580">
        <v>30971316</v>
      </c>
      <c r="C68" s="580">
        <v>34261514</v>
      </c>
      <c r="D68" s="580">
        <v>10484885</v>
      </c>
      <c r="E68" s="580">
        <v>22564398</v>
      </c>
      <c r="F68" s="580">
        <v>39742023</v>
      </c>
      <c r="G68" s="580">
        <v>59813589</v>
      </c>
      <c r="H68" s="580">
        <v>21134260</v>
      </c>
      <c r="I68" s="580"/>
      <c r="J68" s="580">
        <f>SUM(J66:J67)</f>
        <v>47953774.682394959</v>
      </c>
      <c r="K68" s="580"/>
      <c r="M68" s="577"/>
    </row>
    <row r="69" spans="1:24" x14ac:dyDescent="0.6">
      <c r="A69" s="581" t="s">
        <v>143</v>
      </c>
      <c r="B69" s="580">
        <v>0</v>
      </c>
      <c r="C69" s="580">
        <v>0</v>
      </c>
      <c r="D69" s="580">
        <v>598621</v>
      </c>
      <c r="E69" s="580">
        <v>4638077</v>
      </c>
      <c r="F69" s="580">
        <v>0</v>
      </c>
      <c r="G69" s="580">
        <v>0</v>
      </c>
      <c r="H69" s="580">
        <v>0</v>
      </c>
      <c r="I69" s="580"/>
      <c r="J69" s="580">
        <v>0</v>
      </c>
      <c r="K69" s="580"/>
      <c r="M69" s="577"/>
    </row>
    <row r="70" spans="1:24" x14ac:dyDescent="0.6">
      <c r="A70" s="581" t="s">
        <v>142</v>
      </c>
      <c r="B70" s="580">
        <v>0</v>
      </c>
      <c r="C70" s="580">
        <v>0</v>
      </c>
      <c r="D70" s="580">
        <v>0</v>
      </c>
      <c r="E70" s="580">
        <v>-4457816</v>
      </c>
      <c r="F70" s="580">
        <v>0</v>
      </c>
      <c r="G70" s="580">
        <v>0</v>
      </c>
      <c r="H70" s="580">
        <v>0</v>
      </c>
      <c r="I70" s="580"/>
      <c r="J70" s="580">
        <v>0</v>
      </c>
      <c r="K70" s="580"/>
      <c r="M70" s="577"/>
    </row>
    <row r="71" spans="1:24" x14ac:dyDescent="0.6">
      <c r="A71" s="581" t="s">
        <v>141</v>
      </c>
      <c r="B71" s="580">
        <v>0</v>
      </c>
      <c r="C71" s="580">
        <v>0</v>
      </c>
      <c r="D71" s="580">
        <v>0</v>
      </c>
      <c r="E71" s="580">
        <v>0</v>
      </c>
      <c r="F71" s="580">
        <v>0</v>
      </c>
      <c r="G71" s="580">
        <v>0</v>
      </c>
      <c r="H71" s="580">
        <v>0</v>
      </c>
      <c r="I71" s="580"/>
      <c r="J71" s="580">
        <v>0</v>
      </c>
      <c r="K71" s="580"/>
      <c r="M71" s="577"/>
    </row>
    <row r="72" spans="1:24" x14ac:dyDescent="0.6">
      <c r="A72" s="581" t="s">
        <v>140</v>
      </c>
      <c r="B72" s="580">
        <v>30971316</v>
      </c>
      <c r="C72" s="580">
        <v>34261514</v>
      </c>
      <c r="D72" s="580">
        <v>11083506</v>
      </c>
      <c r="E72" s="580">
        <v>22744659</v>
      </c>
      <c r="F72" s="580">
        <v>39742023</v>
      </c>
      <c r="G72" s="580">
        <v>59813589</v>
      </c>
      <c r="H72" s="580">
        <v>21134260</v>
      </c>
      <c r="I72" s="580"/>
      <c r="J72" s="580">
        <f>J68</f>
        <v>47953774.682394959</v>
      </c>
      <c r="K72" s="580"/>
      <c r="M72" s="579"/>
    </row>
    <row r="73" spans="1:24" x14ac:dyDescent="0.6">
      <c r="A73" s="581" t="s">
        <v>139</v>
      </c>
      <c r="B73" s="580">
        <v>4893954</v>
      </c>
      <c r="C73" s="580">
        <v>6848785</v>
      </c>
      <c r="D73" s="580">
        <v>638068</v>
      </c>
      <c r="E73" s="580">
        <v>638366</v>
      </c>
      <c r="F73" s="580">
        <v>5282919</v>
      </c>
      <c r="G73" s="580">
        <v>5274762</v>
      </c>
      <c r="H73" s="580">
        <v>11406670</v>
      </c>
      <c r="I73" s="580"/>
      <c r="J73" s="580">
        <f>H73</f>
        <v>11406670</v>
      </c>
      <c r="K73" s="580"/>
      <c r="M73" s="577"/>
    </row>
    <row r="74" spans="1:24" x14ac:dyDescent="0.6">
      <c r="A74" s="581" t="s">
        <v>138</v>
      </c>
      <c r="B74" s="580">
        <v>-3286157</v>
      </c>
      <c r="C74" s="580">
        <v>-5274762</v>
      </c>
      <c r="D74" s="580">
        <v>-3860267</v>
      </c>
      <c r="E74" s="580">
        <v>-4820252</v>
      </c>
      <c r="F74" s="580">
        <v>-12481283</v>
      </c>
      <c r="G74" s="580">
        <v>-11374754</v>
      </c>
      <c r="H74" s="580">
        <v>-14710007</v>
      </c>
      <c r="I74" s="580"/>
      <c r="J74" s="580">
        <f>H74</f>
        <v>-14710007</v>
      </c>
      <c r="K74" s="580"/>
      <c r="M74" s="577"/>
    </row>
    <row r="75" spans="1:24" x14ac:dyDescent="0.6">
      <c r="A75" s="581" t="s">
        <v>137</v>
      </c>
      <c r="B75" s="580">
        <v>32579113</v>
      </c>
      <c r="C75" s="580">
        <v>35835537</v>
      </c>
      <c r="D75" s="580">
        <v>7861307</v>
      </c>
      <c r="E75" s="580">
        <v>18562773</v>
      </c>
      <c r="F75" s="580">
        <v>32543659</v>
      </c>
      <c r="G75" s="580">
        <v>53713597</v>
      </c>
      <c r="H75" s="580">
        <v>17830923</v>
      </c>
      <c r="I75" s="580"/>
      <c r="J75" s="580">
        <f>SUM(J72:J74)</f>
        <v>44650437.682394959</v>
      </c>
      <c r="K75" s="580"/>
      <c r="M75" s="577"/>
    </row>
    <row r="76" spans="1:24" x14ac:dyDescent="0.6">
      <c r="A76" s="581" t="s">
        <v>136</v>
      </c>
      <c r="B76" s="580">
        <v>0</v>
      </c>
      <c r="C76" s="580">
        <v>0</v>
      </c>
      <c r="D76" s="580">
        <v>0</v>
      </c>
      <c r="E76" s="580">
        <v>0</v>
      </c>
      <c r="F76" s="580">
        <v>0</v>
      </c>
      <c r="G76" s="580">
        <v>0</v>
      </c>
      <c r="H76" s="580">
        <v>0</v>
      </c>
      <c r="I76" s="580"/>
      <c r="J76" s="580">
        <v>0</v>
      </c>
      <c r="K76" s="580"/>
      <c r="M76" s="577"/>
    </row>
    <row r="77" spans="1:24" x14ac:dyDescent="0.6">
      <c r="A77" s="581" t="s">
        <v>135</v>
      </c>
      <c r="B77" s="580">
        <v>32579113</v>
      </c>
      <c r="C77" s="580">
        <v>35835537</v>
      </c>
      <c r="D77" s="580">
        <v>7861307</v>
      </c>
      <c r="E77" s="580">
        <v>18562773</v>
      </c>
      <c r="F77" s="580">
        <v>32543659</v>
      </c>
      <c r="G77" s="580">
        <v>53713597</v>
      </c>
      <c r="H77" s="580">
        <v>17830923</v>
      </c>
      <c r="I77" s="580"/>
      <c r="J77" s="580">
        <f>J75</f>
        <v>44650437.682394959</v>
      </c>
      <c r="K77" s="580">
        <f>J77+H77</f>
        <v>62481360.682394959</v>
      </c>
      <c r="M77" s="579"/>
    </row>
    <row r="78" spans="1:24" x14ac:dyDescent="0.6">
      <c r="M78" s="577"/>
    </row>
    <row r="80" spans="1:24" ht="45" x14ac:dyDescent="0.6">
      <c r="A80" s="581" t="s">
        <v>312</v>
      </c>
      <c r="B80" s="581" t="s">
        <v>78</v>
      </c>
      <c r="C80" s="581" t="s">
        <v>74</v>
      </c>
      <c r="D80" s="581" t="s">
        <v>73</v>
      </c>
      <c r="E80" s="581" t="s">
        <v>72</v>
      </c>
      <c r="F80" s="581" t="s">
        <v>71</v>
      </c>
      <c r="G80" s="581" t="s">
        <v>70</v>
      </c>
      <c r="H80" s="581" t="s">
        <v>69</v>
      </c>
      <c r="I80" s="581" t="s">
        <v>68</v>
      </c>
      <c r="J80" s="581" t="s">
        <v>67</v>
      </c>
      <c r="K80" s="581" t="s">
        <v>66</v>
      </c>
      <c r="N80" s="581" t="s">
        <v>312</v>
      </c>
      <c r="O80" s="581" t="s">
        <v>78</v>
      </c>
      <c r="P80" s="581" t="s">
        <v>74</v>
      </c>
      <c r="Q80" s="581" t="s">
        <v>73</v>
      </c>
      <c r="R80" s="581" t="s">
        <v>72</v>
      </c>
      <c r="S80" s="581" t="s">
        <v>71</v>
      </c>
      <c r="T80" s="581" t="s">
        <v>70</v>
      </c>
      <c r="U80" s="581" t="s">
        <v>69</v>
      </c>
      <c r="V80" s="581" t="s">
        <v>68</v>
      </c>
      <c r="W80" s="581" t="s">
        <v>67</v>
      </c>
      <c r="X80" s="581" t="s">
        <v>66</v>
      </c>
    </row>
    <row r="81" spans="1:28" x14ac:dyDescent="0.6">
      <c r="A81" s="581" t="s">
        <v>305</v>
      </c>
      <c r="B81" s="580">
        <v>1387223</v>
      </c>
      <c r="C81" s="580">
        <v>1627204</v>
      </c>
      <c r="D81" s="580">
        <v>263676</v>
      </c>
      <c r="E81" s="580">
        <v>623449</v>
      </c>
      <c r="F81" s="580">
        <v>929166</v>
      </c>
      <c r="G81" s="580">
        <v>1273760</v>
      </c>
      <c r="H81" s="580">
        <v>320993</v>
      </c>
      <c r="I81" s="580"/>
      <c r="J81" s="580">
        <f t="shared" ref="J81:J90" si="73">K81-H81</f>
        <v>951313.39865572308</v>
      </c>
      <c r="K81" s="580">
        <f t="shared" ref="K81:K89" si="74">$K$96*X81</f>
        <v>1272306.3986557231</v>
      </c>
      <c r="N81" s="581" t="s">
        <v>305</v>
      </c>
      <c r="O81" s="587">
        <f t="shared" ref="O81:O90" si="75">B81/$B$96</f>
        <v>0.67525141405192812</v>
      </c>
      <c r="P81" s="587">
        <f t="shared" ref="P81:P90" si="76">C81/$C$96</f>
        <v>0.7463012954753302</v>
      </c>
      <c r="Q81" s="587">
        <f t="shared" ref="Q81:Q90" si="77">D81/$D$96</f>
        <v>0.46444480847173708</v>
      </c>
      <c r="R81" s="587">
        <f t="shared" ref="R81:R90" si="78">D81/$D$96</f>
        <v>0.46444480847173708</v>
      </c>
      <c r="S81" s="587">
        <f t="shared" ref="S81:S90" si="79">F81/$F$96</f>
        <v>0.57243171013146332</v>
      </c>
      <c r="T81" s="587">
        <f t="shared" ref="T81:T90" si="80">G81/$G$96</f>
        <v>0.58288609522693824</v>
      </c>
      <c r="U81" s="587">
        <f t="shared" ref="U81:U90" si="81">H81/$H$96</f>
        <v>0.53743635593461547</v>
      </c>
      <c r="V81" s="587"/>
      <c r="W81" s="587"/>
      <c r="X81" s="587">
        <f t="shared" ref="X81:X90" si="82">T81</f>
        <v>0.58288609522693824</v>
      </c>
    </row>
    <row r="82" spans="1:28" x14ac:dyDescent="0.6">
      <c r="A82" s="581" t="s">
        <v>246</v>
      </c>
      <c r="B82" s="580">
        <v>549133</v>
      </c>
      <c r="C82" s="580">
        <v>666678</v>
      </c>
      <c r="D82" s="580">
        <v>172007</v>
      </c>
      <c r="E82" s="580">
        <v>308711</v>
      </c>
      <c r="F82" s="580">
        <v>434353</v>
      </c>
      <c r="G82" s="580">
        <v>575380</v>
      </c>
      <c r="H82" s="580">
        <v>207376</v>
      </c>
      <c r="I82" s="580"/>
      <c r="J82" s="580">
        <f t="shared" si="73"/>
        <v>367347.38247278135</v>
      </c>
      <c r="K82" s="580">
        <f t="shared" si="74"/>
        <v>574723.38247278135</v>
      </c>
      <c r="N82" s="581" t="s">
        <v>246</v>
      </c>
      <c r="O82" s="587">
        <f t="shared" si="75"/>
        <v>0.26729864971426903</v>
      </c>
      <c r="P82" s="587">
        <f t="shared" si="76"/>
        <v>0.30576538348289595</v>
      </c>
      <c r="Q82" s="587">
        <f t="shared" si="77"/>
        <v>0.30297697997086609</v>
      </c>
      <c r="R82" s="587">
        <f t="shared" si="78"/>
        <v>0.30297697997086609</v>
      </c>
      <c r="S82" s="587">
        <f t="shared" si="79"/>
        <v>0.26759204554485577</v>
      </c>
      <c r="T82" s="587">
        <f t="shared" si="80"/>
        <v>0.26329999487476113</v>
      </c>
      <c r="U82" s="587">
        <f t="shared" si="81"/>
        <v>0.34720820001774749</v>
      </c>
      <c r="V82" s="587"/>
      <c r="W82" s="587"/>
      <c r="X82" s="587">
        <f t="shared" si="82"/>
        <v>0.26329999487476113</v>
      </c>
    </row>
    <row r="83" spans="1:28" x14ac:dyDescent="0.6">
      <c r="A83" s="581" t="s">
        <v>121</v>
      </c>
      <c r="B83" s="580">
        <v>3143567</v>
      </c>
      <c r="C83" s="580">
        <v>3306604</v>
      </c>
      <c r="D83" s="580">
        <v>826536</v>
      </c>
      <c r="E83" s="580">
        <v>1583598</v>
      </c>
      <c r="F83" s="580">
        <v>2307716</v>
      </c>
      <c r="G83" s="580">
        <v>3053074</v>
      </c>
      <c r="H83" s="580">
        <v>817112</v>
      </c>
      <c r="I83" s="580"/>
      <c r="J83" s="580">
        <f t="shared" si="73"/>
        <v>2232477.8644716614</v>
      </c>
      <c r="K83" s="580">
        <f t="shared" si="74"/>
        <v>3049589.8644716614</v>
      </c>
      <c r="N83" s="581" t="s">
        <v>121</v>
      </c>
      <c r="O83" s="587">
        <f t="shared" si="75"/>
        <v>1.5301779612340463</v>
      </c>
      <c r="P83" s="587">
        <f t="shared" si="76"/>
        <v>1.5165417789188749</v>
      </c>
      <c r="Q83" s="587">
        <f t="shared" si="77"/>
        <v>1.4558790114193012</v>
      </c>
      <c r="R83" s="587">
        <f t="shared" si="78"/>
        <v>1.4558790114193012</v>
      </c>
      <c r="S83" s="587">
        <f t="shared" si="79"/>
        <v>1.4217156206509276</v>
      </c>
      <c r="T83" s="587">
        <f t="shared" si="80"/>
        <v>1.3971190666207836</v>
      </c>
      <c r="U83" s="587">
        <f t="shared" si="81"/>
        <v>1.3680849603276257</v>
      </c>
      <c r="V83" s="587"/>
      <c r="W83" s="587"/>
      <c r="X83" s="587">
        <f t="shared" si="82"/>
        <v>1.3971190666207836</v>
      </c>
    </row>
    <row r="84" spans="1:28" x14ac:dyDescent="0.6">
      <c r="A84" s="581" t="s">
        <v>304</v>
      </c>
      <c r="B84" s="580">
        <v>79667</v>
      </c>
      <c r="C84" s="580">
        <v>99863</v>
      </c>
      <c r="D84" s="580">
        <v>21619</v>
      </c>
      <c r="E84" s="580">
        <v>44708</v>
      </c>
      <c r="F84" s="580">
        <v>63713</v>
      </c>
      <c r="G84" s="580">
        <v>82740</v>
      </c>
      <c r="H84" s="580">
        <v>13122</v>
      </c>
      <c r="I84" s="580"/>
      <c r="J84" s="580">
        <f t="shared" si="73"/>
        <v>69523.577993322542</v>
      </c>
      <c r="K84" s="580">
        <f t="shared" si="74"/>
        <v>82645.577993322542</v>
      </c>
      <c r="N84" s="581" t="s">
        <v>304</v>
      </c>
      <c r="O84" s="587">
        <f t="shared" si="75"/>
        <v>3.8779096369707652E-2</v>
      </c>
      <c r="P84" s="587">
        <f t="shared" si="76"/>
        <v>4.5801194115828683E-2</v>
      </c>
      <c r="Q84" s="587">
        <f t="shared" si="77"/>
        <v>3.8080190515445034E-2</v>
      </c>
      <c r="R84" s="587">
        <f t="shared" si="78"/>
        <v>3.8080190515445034E-2</v>
      </c>
      <c r="S84" s="587">
        <f t="shared" si="79"/>
        <v>3.9251696195949828E-2</v>
      </c>
      <c r="T84" s="587">
        <f t="shared" si="80"/>
        <v>3.7862702172369103E-2</v>
      </c>
      <c r="U84" s="587">
        <f t="shared" si="81"/>
        <v>2.1970073685638081E-2</v>
      </c>
      <c r="V84" s="587"/>
      <c r="W84" s="587"/>
      <c r="X84" s="587">
        <f t="shared" si="82"/>
        <v>3.7862702172369103E-2</v>
      </c>
    </row>
    <row r="85" spans="1:28" x14ac:dyDescent="0.6">
      <c r="A85" s="581" t="s">
        <v>303</v>
      </c>
      <c r="B85" s="580">
        <v>1777</v>
      </c>
      <c r="C85" s="580">
        <v>4832</v>
      </c>
      <c r="D85" s="580">
        <v>66</v>
      </c>
      <c r="E85" s="580">
        <v>0</v>
      </c>
      <c r="F85" s="580">
        <v>0</v>
      </c>
      <c r="G85" s="580">
        <v>187</v>
      </c>
      <c r="H85" s="580">
        <v>0</v>
      </c>
      <c r="I85" s="580"/>
      <c r="J85" s="580">
        <f t="shared" si="73"/>
        <v>186.78659759186993</v>
      </c>
      <c r="K85" s="580">
        <f t="shared" si="74"/>
        <v>186.78659759186993</v>
      </c>
      <c r="N85" s="581" t="s">
        <v>303</v>
      </c>
      <c r="O85" s="587">
        <f t="shared" si="75"/>
        <v>8.649811621997878E-4</v>
      </c>
      <c r="P85" s="587">
        <f t="shared" si="76"/>
        <v>2.2161498249370056E-3</v>
      </c>
      <c r="Q85" s="587">
        <f t="shared" si="77"/>
        <v>1.1625387733102235E-4</v>
      </c>
      <c r="R85" s="587">
        <f t="shared" si="78"/>
        <v>1.1625387733102235E-4</v>
      </c>
      <c r="S85" s="587">
        <f t="shared" si="79"/>
        <v>0</v>
      </c>
      <c r="T85" s="587">
        <f t="shared" si="80"/>
        <v>8.5573184750217826E-5</v>
      </c>
      <c r="U85" s="587">
        <f t="shared" si="81"/>
        <v>0</v>
      </c>
      <c r="V85" s="587"/>
      <c r="W85" s="587"/>
      <c r="X85" s="587">
        <f t="shared" si="82"/>
        <v>8.5573184750217826E-5</v>
      </c>
      <c r="Y85" s="577"/>
    </row>
    <row r="86" spans="1:28" x14ac:dyDescent="0.6">
      <c r="A86" s="581" t="s">
        <v>302</v>
      </c>
      <c r="B86" s="580">
        <v>309418</v>
      </c>
      <c r="C86" s="580">
        <v>219695</v>
      </c>
      <c r="D86" s="580">
        <v>20</v>
      </c>
      <c r="E86" s="580">
        <v>122614</v>
      </c>
      <c r="F86" s="580">
        <v>4277</v>
      </c>
      <c r="G86" s="580">
        <v>13642</v>
      </c>
      <c r="H86" s="580">
        <v>6500</v>
      </c>
      <c r="I86" s="580"/>
      <c r="J86" s="580">
        <f t="shared" si="73"/>
        <v>7126.43189491064</v>
      </c>
      <c r="K86" s="580">
        <f t="shared" si="74"/>
        <v>13626.43189491064</v>
      </c>
      <c r="N86" s="581" t="s">
        <v>302</v>
      </c>
      <c r="O86" s="587">
        <f t="shared" si="75"/>
        <v>0.15061381049270339</v>
      </c>
      <c r="P86" s="587">
        <f t="shared" si="76"/>
        <v>0.10076097594982109</v>
      </c>
      <c r="Q86" s="587">
        <f t="shared" si="77"/>
        <v>3.5228447676067375E-5</v>
      </c>
      <c r="R86" s="587">
        <f t="shared" si="78"/>
        <v>3.5228447676067375E-5</v>
      </c>
      <c r="S86" s="587">
        <f t="shared" si="79"/>
        <v>2.634933288811976E-3</v>
      </c>
      <c r="T86" s="587">
        <f t="shared" si="80"/>
        <v>6.2427239912431634E-3</v>
      </c>
      <c r="U86" s="587">
        <f t="shared" si="81"/>
        <v>1.0882904965450963E-2</v>
      </c>
      <c r="V86" s="587"/>
      <c r="W86" s="587"/>
      <c r="X86" s="587">
        <f t="shared" si="82"/>
        <v>6.2427239912431634E-3</v>
      </c>
      <c r="Y86" s="577"/>
      <c r="Z86" s="577"/>
      <c r="AA86" s="585"/>
      <c r="AB86" s="577"/>
    </row>
    <row r="87" spans="1:28" x14ac:dyDescent="0.6">
      <c r="A87" s="581" t="s">
        <v>120</v>
      </c>
      <c r="B87" s="580">
        <v>267970</v>
      </c>
      <c r="C87" s="580">
        <v>246798</v>
      </c>
      <c r="D87" s="580">
        <v>64226</v>
      </c>
      <c r="E87" s="580">
        <v>201869</v>
      </c>
      <c r="F87" s="580">
        <v>376335</v>
      </c>
      <c r="G87" s="580">
        <v>563864</v>
      </c>
      <c r="H87" s="580">
        <v>286163</v>
      </c>
      <c r="I87" s="580"/>
      <c r="J87" s="580">
        <f t="shared" si="73"/>
        <v>277057.52440931625</v>
      </c>
      <c r="K87" s="580">
        <f t="shared" si="74"/>
        <v>563220.52440931625</v>
      </c>
      <c r="N87" s="581" t="s">
        <v>120</v>
      </c>
      <c r="O87" s="587">
        <f t="shared" si="75"/>
        <v>0.1304383804359466</v>
      </c>
      <c r="P87" s="587">
        <f t="shared" si="76"/>
        <v>0.11319150341365959</v>
      </c>
      <c r="Q87" s="587">
        <f t="shared" si="77"/>
        <v>0.11312911402215517</v>
      </c>
      <c r="R87" s="587">
        <f t="shared" si="78"/>
        <v>0.11312911402215517</v>
      </c>
      <c r="S87" s="587">
        <f t="shared" si="79"/>
        <v>0.23184887052725156</v>
      </c>
      <c r="T87" s="587">
        <f t="shared" si="80"/>
        <v>0.25803015104811133</v>
      </c>
      <c r="U87" s="587">
        <f t="shared" si="81"/>
        <v>0.47912072825051444</v>
      </c>
      <c r="V87" s="587"/>
      <c r="W87" s="587"/>
      <c r="X87" s="587">
        <f t="shared" si="82"/>
        <v>0.25803015104811133</v>
      </c>
      <c r="Y87" s="577"/>
      <c r="Z87" s="577"/>
      <c r="AA87" s="585"/>
      <c r="AB87" s="577"/>
    </row>
    <row r="88" spans="1:28" x14ac:dyDescent="0.6">
      <c r="A88" s="581" t="s">
        <v>119</v>
      </c>
      <c r="B88" s="580">
        <v>48934</v>
      </c>
      <c r="C88" s="580">
        <v>10963</v>
      </c>
      <c r="D88" s="580">
        <v>3566</v>
      </c>
      <c r="E88" s="580">
        <v>6820</v>
      </c>
      <c r="F88" s="580">
        <v>8578</v>
      </c>
      <c r="G88" s="580">
        <v>21033</v>
      </c>
      <c r="H88" s="580">
        <v>6489</v>
      </c>
      <c r="I88" s="580"/>
      <c r="J88" s="580">
        <f t="shared" si="73"/>
        <v>14519.997364437437</v>
      </c>
      <c r="K88" s="580">
        <f t="shared" si="74"/>
        <v>21008.997364437437</v>
      </c>
      <c r="N88" s="581" t="s">
        <v>119</v>
      </c>
      <c r="O88" s="587">
        <f t="shared" si="75"/>
        <v>2.3819351823907944E-2</v>
      </c>
      <c r="P88" s="587">
        <f t="shared" si="76"/>
        <v>5.0280733714371676E-3</v>
      </c>
      <c r="Q88" s="587">
        <f t="shared" si="77"/>
        <v>6.2812322206428134E-3</v>
      </c>
      <c r="R88" s="587">
        <f t="shared" si="78"/>
        <v>6.2812322206428134E-3</v>
      </c>
      <c r="S88" s="587">
        <f t="shared" si="79"/>
        <v>5.2846522682789641E-3</v>
      </c>
      <c r="T88" s="587">
        <f t="shared" si="80"/>
        <v>9.6249240366381369E-3</v>
      </c>
      <c r="U88" s="587">
        <f t="shared" si="81"/>
        <v>1.0864487741663277E-2</v>
      </c>
      <c r="V88" s="587"/>
      <c r="W88" s="587"/>
      <c r="X88" s="587">
        <f t="shared" si="82"/>
        <v>9.6249240366381369E-3</v>
      </c>
      <c r="Y88" s="577"/>
      <c r="Z88" s="577"/>
      <c r="AA88" s="585"/>
      <c r="AB88" s="577"/>
    </row>
    <row r="89" spans="1:28" x14ac:dyDescent="0.6">
      <c r="A89" s="581" t="s">
        <v>118</v>
      </c>
      <c r="B89" s="580">
        <v>317742</v>
      </c>
      <c r="C89" s="580">
        <v>532387</v>
      </c>
      <c r="D89" s="580">
        <v>205553</v>
      </c>
      <c r="E89" s="580">
        <v>388784</v>
      </c>
      <c r="F89" s="580">
        <v>575545</v>
      </c>
      <c r="G89" s="580">
        <v>774475</v>
      </c>
      <c r="H89" s="580">
        <v>145932</v>
      </c>
      <c r="I89" s="580"/>
      <c r="J89" s="580">
        <f t="shared" si="73"/>
        <v>627659.17737948371</v>
      </c>
      <c r="K89" s="580">
        <f t="shared" si="74"/>
        <v>773591.17737948371</v>
      </c>
      <c r="N89" s="581" t="s">
        <v>118</v>
      </c>
      <c r="O89" s="587">
        <f t="shared" si="75"/>
        <v>0.1546656412153545</v>
      </c>
      <c r="P89" s="587">
        <f t="shared" si="76"/>
        <v>0.24417412186439108</v>
      </c>
      <c r="Q89" s="587">
        <f t="shared" si="77"/>
        <v>0.36206565525793388</v>
      </c>
      <c r="R89" s="587">
        <f t="shared" si="78"/>
        <v>0.36206565525793388</v>
      </c>
      <c r="S89" s="587">
        <f t="shared" si="79"/>
        <v>0.35457626366829287</v>
      </c>
      <c r="T89" s="587">
        <f t="shared" si="80"/>
        <v>0.35440797999692486</v>
      </c>
      <c r="U89" s="587">
        <f t="shared" si="81"/>
        <v>0.24433293652587537</v>
      </c>
      <c r="V89" s="587"/>
      <c r="W89" s="587"/>
      <c r="X89" s="587">
        <f t="shared" si="82"/>
        <v>0.35440797999692486</v>
      </c>
      <c r="Y89" s="577"/>
      <c r="Z89" s="577"/>
      <c r="AA89" s="585"/>
      <c r="AB89" s="577"/>
    </row>
    <row r="90" spans="1:28" x14ac:dyDescent="0.6">
      <c r="A90" s="581" t="s">
        <v>311</v>
      </c>
      <c r="B90" s="580">
        <f t="shared" ref="B90:I90" si="83">SUM(B81:B89)</f>
        <v>6105431</v>
      </c>
      <c r="C90" s="580">
        <f t="shared" si="83"/>
        <v>6715024</v>
      </c>
      <c r="D90" s="580">
        <f t="shared" si="83"/>
        <v>1557269</v>
      </c>
      <c r="E90" s="580">
        <f t="shared" si="83"/>
        <v>3280553</v>
      </c>
      <c r="F90" s="580">
        <f t="shared" si="83"/>
        <v>4699683</v>
      </c>
      <c r="G90" s="580">
        <f t="shared" si="83"/>
        <v>6358155</v>
      </c>
      <c r="H90" s="580">
        <f t="shared" si="83"/>
        <v>1803687</v>
      </c>
      <c r="I90" s="580">
        <f t="shared" si="83"/>
        <v>0</v>
      </c>
      <c r="J90" s="580">
        <f t="shared" si="73"/>
        <v>4547212.1412392277</v>
      </c>
      <c r="K90" s="580">
        <f>SUM(K81:K89)</f>
        <v>6350899.1412392277</v>
      </c>
      <c r="N90" s="581" t="s">
        <v>45</v>
      </c>
      <c r="O90" s="587">
        <f t="shared" si="75"/>
        <v>2.9719092865000634</v>
      </c>
      <c r="P90" s="587">
        <f t="shared" si="76"/>
        <v>3.0797804764171754</v>
      </c>
      <c r="Q90" s="587">
        <f t="shared" si="77"/>
        <v>2.7430084742030885</v>
      </c>
      <c r="R90" s="587">
        <f t="shared" si="78"/>
        <v>2.7430084742030885</v>
      </c>
      <c r="S90" s="587">
        <f t="shared" si="79"/>
        <v>2.8953357922758318</v>
      </c>
      <c r="T90" s="587">
        <f t="shared" si="80"/>
        <v>2.9095592111525197</v>
      </c>
      <c r="U90" s="587">
        <f t="shared" si="81"/>
        <v>3.019900647449131</v>
      </c>
      <c r="V90" s="587"/>
      <c r="W90" s="587"/>
      <c r="X90" s="587">
        <f t="shared" si="82"/>
        <v>2.9095592111525197</v>
      </c>
      <c r="Y90" s="577"/>
      <c r="Z90" s="579"/>
      <c r="AA90" s="585"/>
      <c r="AB90" s="577"/>
    </row>
    <row r="91" spans="1:28" x14ac:dyDescent="0.6">
      <c r="A91" s="241" t="s">
        <v>301</v>
      </c>
      <c r="B91" s="241"/>
      <c r="C91" s="241"/>
      <c r="D91" s="241"/>
      <c r="E91" s="241"/>
      <c r="F91" s="241"/>
      <c r="G91" s="241"/>
      <c r="H91" s="241"/>
      <c r="I91" s="241"/>
      <c r="J91" s="241"/>
      <c r="K91" s="241"/>
      <c r="N91" s="241" t="s">
        <v>301</v>
      </c>
      <c r="O91" s="588"/>
      <c r="P91" s="588"/>
      <c r="Q91" s="588"/>
      <c r="R91" s="588"/>
      <c r="S91" s="588"/>
      <c r="T91" s="588"/>
      <c r="U91" s="588"/>
      <c r="V91" s="588"/>
      <c r="W91" s="588"/>
      <c r="X91" s="588"/>
      <c r="Y91" s="577"/>
      <c r="Z91" s="577"/>
      <c r="AA91" s="585"/>
      <c r="AB91" s="577"/>
    </row>
    <row r="92" spans="1:28" x14ac:dyDescent="0.6">
      <c r="A92" s="581" t="s">
        <v>300</v>
      </c>
      <c r="B92" s="580"/>
      <c r="C92" s="580">
        <v>258008.46136541365</v>
      </c>
      <c r="D92" s="580">
        <v>67043</v>
      </c>
      <c r="E92" s="580">
        <v>172287</v>
      </c>
      <c r="F92" s="580">
        <v>267382</v>
      </c>
      <c r="G92" s="580">
        <v>350259</v>
      </c>
      <c r="H92" s="580">
        <v>88343</v>
      </c>
      <c r="I92" s="580"/>
      <c r="J92" s="580">
        <f>K92-H92</f>
        <v>261516.28816005756</v>
      </c>
      <c r="K92" s="580">
        <f>$K$96*X92</f>
        <v>349859.28816005756</v>
      </c>
      <c r="N92" s="581" t="s">
        <v>300</v>
      </c>
      <c r="O92" s="587"/>
      <c r="P92" s="587">
        <f>C92/$C$96</f>
        <v>0.11833307253460837</v>
      </c>
      <c r="Q92" s="587">
        <f>D92/$D$96</f>
        <v>0.11809104087732926</v>
      </c>
      <c r="R92" s="587">
        <f>D92/$D$96</f>
        <v>0.11809104087732926</v>
      </c>
      <c r="S92" s="587">
        <f>F92/$F$96</f>
        <v>0.16472614744660363</v>
      </c>
      <c r="T92" s="587">
        <f>G92/$G$96</f>
        <v>0.16028223592206708</v>
      </c>
      <c r="U92" s="587">
        <f>H92/$H$96</f>
        <v>0.14791207282505145</v>
      </c>
      <c r="V92" s="587"/>
      <c r="W92" s="587"/>
      <c r="X92" s="587">
        <f>T92</f>
        <v>0.16028223592206708</v>
      </c>
      <c r="Y92" s="577"/>
      <c r="Z92" s="577"/>
      <c r="AA92" s="585"/>
      <c r="AB92" s="577"/>
    </row>
    <row r="93" spans="1:28" x14ac:dyDescent="0.6">
      <c r="A93" s="581" t="s">
        <v>299</v>
      </c>
      <c r="B93" s="580"/>
      <c r="C93" s="580">
        <v>8278.8938964762765</v>
      </c>
      <c r="D93" s="580">
        <v>0</v>
      </c>
      <c r="E93" s="580">
        <v>5219</v>
      </c>
      <c r="F93" s="580">
        <v>11239</v>
      </c>
      <c r="G93" s="580">
        <v>11239</v>
      </c>
      <c r="H93" s="580">
        <v>0</v>
      </c>
      <c r="I93" s="580"/>
      <c r="J93" s="580">
        <f>K93-H93</f>
        <v>11226.174172914578</v>
      </c>
      <c r="K93" s="580">
        <f>$K$96*X93</f>
        <v>11226.174172914578</v>
      </c>
      <c r="N93" s="581" t="s">
        <v>299</v>
      </c>
      <c r="O93" s="587"/>
      <c r="P93" s="587">
        <f>C93/$C$96</f>
        <v>3.7970342010239955E-3</v>
      </c>
      <c r="Q93" s="587">
        <f>D93/$D$96</f>
        <v>0</v>
      </c>
      <c r="R93" s="587">
        <f>D93/$D$96</f>
        <v>0</v>
      </c>
      <c r="S93" s="587">
        <f>F93/$F$96</f>
        <v>6.9240157196534483E-3</v>
      </c>
      <c r="T93" s="587">
        <f>G93/$G$96</f>
        <v>5.1430856866721822E-3</v>
      </c>
      <c r="U93" s="587">
        <f>H93/$H$96</f>
        <v>0</v>
      </c>
      <c r="V93" s="587"/>
      <c r="W93" s="587"/>
      <c r="X93" s="587">
        <f>T93</f>
        <v>5.1430856866721822E-3</v>
      </c>
      <c r="Y93" s="577"/>
      <c r="Z93" s="577"/>
      <c r="AA93" s="585"/>
      <c r="AB93" s="577"/>
    </row>
    <row r="94" spans="1:28" x14ac:dyDescent="0.6">
      <c r="A94" s="581" t="s">
        <v>298</v>
      </c>
      <c r="B94" s="580"/>
      <c r="C94" s="580">
        <v>199990.6447381101</v>
      </c>
      <c r="D94" s="580">
        <v>66737</v>
      </c>
      <c r="E94" s="580"/>
      <c r="F94" s="580">
        <v>205137</v>
      </c>
      <c r="G94" s="580">
        <v>271497</v>
      </c>
      <c r="H94" s="580">
        <v>83300</v>
      </c>
      <c r="I94" s="580"/>
      <c r="J94" s="580">
        <f>K94-H94</f>
        <v>187887.17051550752</v>
      </c>
      <c r="K94" s="580">
        <f>$K$96*X94</f>
        <v>271187.17051550752</v>
      </c>
      <c r="N94" s="581" t="s">
        <v>298</v>
      </c>
      <c r="O94" s="587"/>
      <c r="P94" s="587">
        <f>C94/$C$96</f>
        <v>9.17237649680053E-2</v>
      </c>
      <c r="Q94" s="587">
        <f>D94/$D$96</f>
        <v>0.11755204562788543</v>
      </c>
      <c r="R94" s="587">
        <f>D94/$D$96</f>
        <v>0.11755204562788543</v>
      </c>
      <c r="S94" s="587">
        <f>F94/$F$96</f>
        <v>0.12637884266238539</v>
      </c>
      <c r="T94" s="587">
        <f>G94/$G$96</f>
        <v>0.12423990877074806</v>
      </c>
      <c r="U94" s="587">
        <f>H94/$H$96</f>
        <v>0.13946861286493312</v>
      </c>
      <c r="V94" s="587"/>
      <c r="W94" s="587"/>
      <c r="X94" s="587">
        <f>T94</f>
        <v>0.12423990877074806</v>
      </c>
      <c r="Y94" s="577"/>
      <c r="Z94" s="577"/>
      <c r="AA94" s="585"/>
      <c r="AB94" s="577"/>
    </row>
    <row r="95" spans="1:28" x14ac:dyDescent="0.6">
      <c r="A95" s="581" t="s">
        <v>307</v>
      </c>
      <c r="B95" s="580"/>
      <c r="C95" s="580">
        <f t="shared" ref="C95:K95" si="84">SUM(C92:C94)</f>
        <v>466278</v>
      </c>
      <c r="D95" s="580">
        <f t="shared" si="84"/>
        <v>133780</v>
      </c>
      <c r="E95" s="580">
        <f t="shared" si="84"/>
        <v>177506</v>
      </c>
      <c r="F95" s="580">
        <f t="shared" si="84"/>
        <v>483758</v>
      </c>
      <c r="G95" s="580">
        <f t="shared" si="84"/>
        <v>632995</v>
      </c>
      <c r="H95" s="580">
        <f t="shared" si="84"/>
        <v>171643</v>
      </c>
      <c r="I95" s="580">
        <f t="shared" si="84"/>
        <v>0</v>
      </c>
      <c r="J95" s="580">
        <f t="shared" si="84"/>
        <v>460629.63284847967</v>
      </c>
      <c r="K95" s="580">
        <f t="shared" si="84"/>
        <v>632272.63284847967</v>
      </c>
      <c r="N95" s="581" t="s">
        <v>133</v>
      </c>
      <c r="O95" s="587"/>
      <c r="P95" s="587">
        <f>C95/$C$96</f>
        <v>0.21385387170363765</v>
      </c>
      <c r="Q95" s="587">
        <f>D95/$D$96</f>
        <v>0.23564308650521468</v>
      </c>
      <c r="R95" s="587">
        <f>D95/$D$96</f>
        <v>0.23564308650521468</v>
      </c>
      <c r="S95" s="587">
        <f>F95/$F$96</f>
        <v>0.29802900582864245</v>
      </c>
      <c r="T95" s="587">
        <f>G95/$G$96</f>
        <v>0.28966523037948733</v>
      </c>
      <c r="U95" s="587">
        <f>H95/$H$96</f>
        <v>0.28738068568998454</v>
      </c>
      <c r="V95" s="587"/>
      <c r="W95" s="587"/>
      <c r="X95" s="587">
        <f>T95</f>
        <v>0.28966523037948733</v>
      </c>
      <c r="Y95" s="577"/>
    </row>
    <row r="96" spans="1:28" x14ac:dyDescent="0.6">
      <c r="A96" s="274" t="s">
        <v>310</v>
      </c>
      <c r="B96" s="586">
        <f>E9</f>
        <v>2054380</v>
      </c>
      <c r="C96" s="586">
        <f t="shared" ref="C96:H96" si="85">I9</f>
        <v>2180358</v>
      </c>
      <c r="D96" s="586">
        <f t="shared" si="85"/>
        <v>567723</v>
      </c>
      <c r="E96" s="586">
        <f t="shared" si="85"/>
        <v>1078386</v>
      </c>
      <c r="F96" s="586">
        <f t="shared" si="85"/>
        <v>1623191</v>
      </c>
      <c r="G96" s="586">
        <f t="shared" si="85"/>
        <v>2185264</v>
      </c>
      <c r="H96" s="586">
        <f t="shared" si="85"/>
        <v>597267</v>
      </c>
      <c r="I96" s="586"/>
      <c r="J96" s="586"/>
      <c r="K96" s="586">
        <f>Q9</f>
        <v>2182770.2000000002</v>
      </c>
      <c r="N96" s="577"/>
      <c r="Q96" s="577"/>
      <c r="R96" s="585"/>
      <c r="S96" s="577"/>
      <c r="T96" s="577"/>
      <c r="U96" s="585"/>
      <c r="W96" s="577"/>
      <c r="X96" s="579"/>
      <c r="Y96" s="577"/>
      <c r="Z96" s="577"/>
      <c r="AA96" s="585"/>
      <c r="AB96" s="577"/>
    </row>
    <row r="97" spans="1:28" x14ac:dyDescent="0.6">
      <c r="N97" s="577"/>
      <c r="P97" s="577"/>
      <c r="Q97" s="577"/>
      <c r="R97" s="585"/>
      <c r="U97" s="577"/>
      <c r="V97" s="585"/>
      <c r="W97" s="577"/>
      <c r="X97" s="585"/>
      <c r="Y97" s="577"/>
    </row>
    <row r="98" spans="1:28" x14ac:dyDescent="0.6">
      <c r="N98" s="577"/>
      <c r="P98" s="577"/>
      <c r="Q98" s="579"/>
      <c r="R98" s="585"/>
      <c r="S98" s="577"/>
      <c r="T98" s="577"/>
      <c r="U98" s="577"/>
      <c r="V98" s="585"/>
      <c r="X98" s="585"/>
      <c r="Y98" s="577"/>
      <c r="Z98" s="577"/>
      <c r="AA98" s="585"/>
      <c r="AB98" s="577"/>
    </row>
    <row r="99" spans="1:28" x14ac:dyDescent="0.6">
      <c r="A99" s="581" t="s">
        <v>309</v>
      </c>
      <c r="B99" s="581" t="s">
        <v>78</v>
      </c>
      <c r="C99" s="581" t="s">
        <v>74</v>
      </c>
      <c r="D99" s="581" t="s">
        <v>73</v>
      </c>
      <c r="E99" s="581" t="s">
        <v>72</v>
      </c>
      <c r="F99" s="581" t="s">
        <v>71</v>
      </c>
      <c r="G99" s="581" t="s">
        <v>70</v>
      </c>
      <c r="H99" s="581" t="s">
        <v>69</v>
      </c>
      <c r="I99" s="581" t="s">
        <v>68</v>
      </c>
      <c r="J99" s="581" t="s">
        <v>67</v>
      </c>
      <c r="K99" s="581" t="s">
        <v>66</v>
      </c>
      <c r="N99" s="581" t="s">
        <v>309</v>
      </c>
      <c r="O99" s="581" t="s">
        <v>78</v>
      </c>
      <c r="P99" s="581" t="s">
        <v>74</v>
      </c>
      <c r="Q99" s="581" t="s">
        <v>73</v>
      </c>
      <c r="R99" s="581" t="s">
        <v>72</v>
      </c>
      <c r="S99" s="581" t="s">
        <v>71</v>
      </c>
      <c r="T99" s="581" t="s">
        <v>70</v>
      </c>
      <c r="U99" s="581" t="s">
        <v>69</v>
      </c>
      <c r="V99" s="581" t="s">
        <v>68</v>
      </c>
      <c r="W99" s="581" t="s">
        <v>67</v>
      </c>
      <c r="X99" s="581" t="s">
        <v>66</v>
      </c>
      <c r="Y99" s="577"/>
      <c r="Z99" s="577"/>
      <c r="AA99" s="585"/>
      <c r="AB99" s="577"/>
    </row>
    <row r="100" spans="1:28" x14ac:dyDescent="0.6">
      <c r="A100" s="581" t="s">
        <v>305</v>
      </c>
      <c r="B100" s="580">
        <v>7226995</v>
      </c>
      <c r="C100" s="580">
        <v>10395289</v>
      </c>
      <c r="D100" s="580">
        <v>1667787</v>
      </c>
      <c r="E100" s="580">
        <v>4004081</v>
      </c>
      <c r="F100" s="580">
        <v>6348236</v>
      </c>
      <c r="G100" s="580">
        <v>9849048</v>
      </c>
      <c r="H100" s="580">
        <v>3464674</v>
      </c>
      <c r="I100" s="580"/>
      <c r="J100" s="580">
        <f t="shared" ref="J100:J108" si="86">J81*J119/1000000</f>
        <v>9213242.1437812336</v>
      </c>
      <c r="K100" s="580"/>
      <c r="N100" s="581" t="s">
        <v>305</v>
      </c>
      <c r="O100" s="583">
        <f t="shared" ref="O100:O108" si="87">B100/$B$109</f>
        <v>0.42030857777877551</v>
      </c>
      <c r="P100" s="583">
        <f t="shared" ref="P100:P108" si="88">C100/$C$109</f>
        <v>0.46371759397793239</v>
      </c>
      <c r="Q100" s="583">
        <f t="shared" ref="Q100:Q108" si="89">D100/$D$109</f>
        <v>0.36449253776683965</v>
      </c>
      <c r="R100" s="583">
        <f t="shared" ref="R100:R108" si="90">E100/$E$109</f>
        <v>0.30608180031165588</v>
      </c>
      <c r="S100" s="583">
        <f t="shared" ref="S100:S108" si="91">F100/$F$109</f>
        <v>0.34775574956162381</v>
      </c>
      <c r="T100" s="583">
        <f t="shared" ref="T100:T108" si="92">G100/$G$109</f>
        <v>0.35819196748335419</v>
      </c>
      <c r="U100" s="583">
        <f t="shared" ref="U100:U108" si="93">H100/$H$109</f>
        <v>0.33033159355036718</v>
      </c>
      <c r="V100" s="583"/>
      <c r="W100" s="583"/>
      <c r="X100" s="583"/>
    </row>
    <row r="101" spans="1:28" x14ac:dyDescent="0.6">
      <c r="A101" s="581" t="s">
        <v>246</v>
      </c>
      <c r="B101" s="580">
        <v>116602</v>
      </c>
      <c r="C101" s="580">
        <v>144761</v>
      </c>
      <c r="D101" s="580">
        <v>38461</v>
      </c>
      <c r="E101" s="580">
        <v>73568</v>
      </c>
      <c r="F101" s="580">
        <v>109854</v>
      </c>
      <c r="G101" s="580">
        <v>162532</v>
      </c>
      <c r="H101" s="580">
        <v>69476</v>
      </c>
      <c r="I101" s="580"/>
      <c r="J101" s="580">
        <f t="shared" si="86"/>
        <v>129970.05171454721</v>
      </c>
      <c r="K101" s="580"/>
      <c r="N101" s="581" t="s">
        <v>246</v>
      </c>
      <c r="O101" s="583">
        <f t="shared" si="87"/>
        <v>6.7813552916752787E-3</v>
      </c>
      <c r="P101" s="583">
        <f t="shared" si="88"/>
        <v>6.4575619419373013E-3</v>
      </c>
      <c r="Q101" s="583">
        <f t="shared" si="89"/>
        <v>8.4055982538839922E-3</v>
      </c>
      <c r="R101" s="583">
        <f t="shared" si="90"/>
        <v>5.6237188721526615E-3</v>
      </c>
      <c r="S101" s="583">
        <f t="shared" si="91"/>
        <v>6.0177914167561858E-3</v>
      </c>
      <c r="T101" s="583">
        <f t="shared" si="92"/>
        <v>5.9109933121459582E-3</v>
      </c>
      <c r="U101" s="583">
        <f t="shared" si="93"/>
        <v>6.6240338321889181E-3</v>
      </c>
      <c r="V101" s="583"/>
      <c r="W101" s="583"/>
      <c r="X101" s="583"/>
      <c r="Y101" s="577"/>
      <c r="Z101" s="577"/>
      <c r="AA101" s="585"/>
      <c r="AB101" s="577"/>
    </row>
    <row r="102" spans="1:28" x14ac:dyDescent="0.6">
      <c r="A102" s="581" t="s">
        <v>121</v>
      </c>
      <c r="B102" s="580">
        <v>4359778</v>
      </c>
      <c r="C102" s="580">
        <v>5845179</v>
      </c>
      <c r="D102" s="580">
        <v>1675619</v>
      </c>
      <c r="E102" s="580">
        <v>3386570</v>
      </c>
      <c r="F102" s="580">
        <v>5820766</v>
      </c>
      <c r="G102" s="580">
        <v>8614884</v>
      </c>
      <c r="H102" s="580">
        <v>3099914</v>
      </c>
      <c r="I102" s="580"/>
      <c r="J102" s="580">
        <f t="shared" si="86"/>
        <v>7890081.4987967946</v>
      </c>
      <c r="K102" s="580"/>
      <c r="N102" s="581" t="s">
        <v>121</v>
      </c>
      <c r="O102" s="583">
        <f t="shared" si="87"/>
        <v>0.25355657373655222</v>
      </c>
      <c r="P102" s="583">
        <f t="shared" si="88"/>
        <v>0.26074429890793194</v>
      </c>
      <c r="Q102" s="583">
        <f t="shared" si="89"/>
        <v>0.36620421051389301</v>
      </c>
      <c r="R102" s="583">
        <f t="shared" si="90"/>
        <v>0.25887774060550839</v>
      </c>
      <c r="S102" s="583">
        <f t="shared" si="91"/>
        <v>0.31886099435383547</v>
      </c>
      <c r="T102" s="583">
        <f t="shared" si="92"/>
        <v>0.31330766685276268</v>
      </c>
      <c r="U102" s="583">
        <f t="shared" si="93"/>
        <v>0.2955543671609776</v>
      </c>
      <c r="V102" s="583"/>
      <c r="W102" s="583"/>
      <c r="X102" s="583"/>
      <c r="Y102" s="577"/>
      <c r="AB102" s="577"/>
    </row>
    <row r="103" spans="1:28" x14ac:dyDescent="0.6">
      <c r="A103" s="581" t="s">
        <v>304</v>
      </c>
      <c r="B103" s="580">
        <v>194445</v>
      </c>
      <c r="C103" s="580">
        <v>257019</v>
      </c>
      <c r="D103" s="580">
        <v>57034</v>
      </c>
      <c r="E103" s="580">
        <v>126511</v>
      </c>
      <c r="F103" s="580">
        <v>189833</v>
      </c>
      <c r="G103" s="580">
        <v>286963</v>
      </c>
      <c r="H103" s="580">
        <v>69939</v>
      </c>
      <c r="I103" s="580"/>
      <c r="J103" s="580">
        <f t="shared" si="86"/>
        <v>302012.36667749274</v>
      </c>
      <c r="K103" s="580"/>
      <c r="N103" s="581" t="s">
        <v>304</v>
      </c>
      <c r="O103" s="583">
        <f t="shared" si="87"/>
        <v>1.1308559284487398E-2</v>
      </c>
      <c r="P103" s="583">
        <f t="shared" si="88"/>
        <v>1.1465215857549916E-2</v>
      </c>
      <c r="Q103" s="583">
        <f t="shared" si="89"/>
        <v>1.2464701666935845E-2</v>
      </c>
      <c r="R103" s="583">
        <f t="shared" si="90"/>
        <v>9.670812013849844E-3</v>
      </c>
      <c r="S103" s="583">
        <f t="shared" si="91"/>
        <v>1.0399033244279472E-2</v>
      </c>
      <c r="T103" s="583">
        <f t="shared" si="92"/>
        <v>1.0436322532383411E-2</v>
      </c>
      <c r="U103" s="583">
        <f t="shared" si="93"/>
        <v>6.6681775316578496E-3</v>
      </c>
      <c r="V103" s="583"/>
      <c r="W103" s="583"/>
      <c r="X103" s="583"/>
    </row>
    <row r="104" spans="1:28" x14ac:dyDescent="0.6">
      <c r="A104" s="581" t="s">
        <v>303</v>
      </c>
      <c r="B104" s="580">
        <v>28920</v>
      </c>
      <c r="C104" s="580">
        <v>94996</v>
      </c>
      <c r="D104" s="580">
        <v>1285</v>
      </c>
      <c r="E104" s="580">
        <v>0</v>
      </c>
      <c r="F104" s="580">
        <v>0</v>
      </c>
      <c r="G104" s="580">
        <v>2878</v>
      </c>
      <c r="H104" s="580">
        <v>0</v>
      </c>
      <c r="I104" s="580"/>
      <c r="J104" s="580">
        <f t="shared" si="86"/>
        <v>3600.6185853642887</v>
      </c>
      <c r="K104" s="580"/>
      <c r="N104" s="581" t="s">
        <v>303</v>
      </c>
      <c r="O104" s="583">
        <f t="shared" si="87"/>
        <v>1.6819333719425831E-3</v>
      </c>
      <c r="P104" s="583">
        <f t="shared" si="88"/>
        <v>4.2376230769079785E-3</v>
      </c>
      <c r="Q104" s="583">
        <f t="shared" si="89"/>
        <v>2.8083496935183506E-4</v>
      </c>
      <c r="R104" s="583">
        <f t="shared" si="90"/>
        <v>0</v>
      </c>
      <c r="S104" s="583">
        <f t="shared" si="91"/>
        <v>0</v>
      </c>
      <c r="T104" s="583">
        <f t="shared" si="92"/>
        <v>1.0466762700487329E-4</v>
      </c>
      <c r="U104" s="583">
        <f t="shared" si="93"/>
        <v>0</v>
      </c>
      <c r="V104" s="583"/>
      <c r="W104" s="583"/>
      <c r="X104" s="583"/>
    </row>
    <row r="105" spans="1:28" x14ac:dyDescent="0.6">
      <c r="A105" s="581" t="s">
        <v>302</v>
      </c>
      <c r="B105" s="580">
        <v>2422727</v>
      </c>
      <c r="C105" s="580">
        <v>2286071</v>
      </c>
      <c r="D105" s="580">
        <v>150</v>
      </c>
      <c r="E105" s="580">
        <v>2460263</v>
      </c>
      <c r="F105" s="580">
        <v>74096</v>
      </c>
      <c r="G105" s="580">
        <v>257508</v>
      </c>
      <c r="H105" s="580">
        <v>138592</v>
      </c>
      <c r="I105" s="580"/>
      <c r="J105" s="580">
        <f t="shared" si="86"/>
        <v>168487.2508846875</v>
      </c>
      <c r="K105" s="580"/>
      <c r="N105" s="581" t="s">
        <v>302</v>
      </c>
      <c r="O105" s="583">
        <f t="shared" si="87"/>
        <v>0.14090129296010853</v>
      </c>
      <c r="P105" s="583">
        <f t="shared" si="88"/>
        <v>0.10197805407648848</v>
      </c>
      <c r="Q105" s="583">
        <f t="shared" si="89"/>
        <v>3.2782292142237558E-5</v>
      </c>
      <c r="R105" s="583">
        <f t="shared" si="90"/>
        <v>0.18806855512667089</v>
      </c>
      <c r="S105" s="583">
        <f t="shared" si="91"/>
        <v>4.058971660713004E-3</v>
      </c>
      <c r="T105" s="583">
        <f t="shared" si="92"/>
        <v>9.3650977396702272E-3</v>
      </c>
      <c r="U105" s="583">
        <f t="shared" si="93"/>
        <v>1.3213744269542383E-2</v>
      </c>
      <c r="V105" s="583"/>
      <c r="W105" s="583"/>
      <c r="X105" s="583"/>
    </row>
    <row r="106" spans="1:28" x14ac:dyDescent="0.6">
      <c r="A106" s="581" t="s">
        <v>120</v>
      </c>
      <c r="B106" s="580">
        <v>837377</v>
      </c>
      <c r="C106" s="580">
        <v>1029619</v>
      </c>
      <c r="D106" s="580">
        <v>283053</v>
      </c>
      <c r="E106" s="580">
        <v>1065030</v>
      </c>
      <c r="F106" s="580">
        <v>2459471</v>
      </c>
      <c r="G106" s="580">
        <v>3996230</v>
      </c>
      <c r="H106" s="580">
        <v>2279949</v>
      </c>
      <c r="I106" s="580"/>
      <c r="J106" s="580">
        <f t="shared" si="86"/>
        <v>2459394.9772754912</v>
      </c>
      <c r="K106" s="580"/>
      <c r="N106" s="581" t="s">
        <v>120</v>
      </c>
      <c r="O106" s="583">
        <f t="shared" si="87"/>
        <v>4.8700287731575531E-2</v>
      </c>
      <c r="P106" s="583">
        <f t="shared" si="88"/>
        <v>4.5929694248420104E-2</v>
      </c>
      <c r="Q106" s="583">
        <f t="shared" si="89"/>
        <v>6.1860840918245119E-2</v>
      </c>
      <c r="R106" s="583">
        <f t="shared" si="90"/>
        <v>8.1413512810036281E-2</v>
      </c>
      <c r="S106" s="583">
        <f t="shared" si="91"/>
        <v>0.13472958174996591</v>
      </c>
      <c r="T106" s="583">
        <f t="shared" si="92"/>
        <v>0.14533561885534566</v>
      </c>
      <c r="U106" s="583">
        <f t="shared" si="93"/>
        <v>0.21737663814360775</v>
      </c>
      <c r="V106" s="583"/>
      <c r="W106" s="583"/>
      <c r="X106" s="583"/>
    </row>
    <row r="107" spans="1:28" x14ac:dyDescent="0.6">
      <c r="A107" s="581" t="s">
        <v>119</v>
      </c>
      <c r="B107" s="580">
        <v>469934</v>
      </c>
      <c r="C107" s="580">
        <v>89124</v>
      </c>
      <c r="D107" s="580">
        <v>27518</v>
      </c>
      <c r="E107" s="580">
        <v>50164</v>
      </c>
      <c r="F107" s="580">
        <v>60715</v>
      </c>
      <c r="G107" s="580">
        <v>154818</v>
      </c>
      <c r="H107" s="580">
        <v>76321</v>
      </c>
      <c r="I107" s="580"/>
      <c r="J107" s="580">
        <f t="shared" si="86"/>
        <v>133865.60125979772</v>
      </c>
      <c r="K107" s="580"/>
      <c r="N107" s="581" t="s">
        <v>119</v>
      </c>
      <c r="O107" s="583">
        <f t="shared" si="87"/>
        <v>2.7330486763847365E-2</v>
      </c>
      <c r="P107" s="583">
        <f t="shared" si="88"/>
        <v>3.9756823351124963E-3</v>
      </c>
      <c r="Q107" s="583">
        <f t="shared" si="89"/>
        <v>6.014020767800621E-3</v>
      </c>
      <c r="R107" s="583">
        <f t="shared" si="90"/>
        <v>3.8346595463063576E-3</v>
      </c>
      <c r="S107" s="583">
        <f t="shared" si="91"/>
        <v>3.3259617844443702E-3</v>
      </c>
      <c r="T107" s="583">
        <f t="shared" si="92"/>
        <v>5.6304491583184417E-3</v>
      </c>
      <c r="U107" s="583">
        <f t="shared" si="93"/>
        <v>7.2766550478797053E-3</v>
      </c>
      <c r="V107" s="583"/>
      <c r="W107" s="583"/>
      <c r="X107" s="583"/>
    </row>
    <row r="108" spans="1:28" x14ac:dyDescent="0.6">
      <c r="A108" s="581" t="s">
        <v>118</v>
      </c>
      <c r="B108" s="580">
        <v>1537720</v>
      </c>
      <c r="C108" s="580">
        <v>2275226</v>
      </c>
      <c r="D108" s="580">
        <v>824734</v>
      </c>
      <c r="E108" s="580">
        <v>1915548</v>
      </c>
      <c r="F108" s="580">
        <v>3191899</v>
      </c>
      <c r="G108" s="580">
        <v>4171702</v>
      </c>
      <c r="H108" s="580">
        <v>1289608</v>
      </c>
      <c r="I108" s="580"/>
      <c r="J108" s="580">
        <f t="shared" si="86"/>
        <v>4234595.9915396655</v>
      </c>
      <c r="K108" s="580"/>
      <c r="N108" s="581" t="s">
        <v>118</v>
      </c>
      <c r="O108" s="583">
        <f t="shared" si="87"/>
        <v>8.9430933081035571E-2</v>
      </c>
      <c r="P108" s="583">
        <f t="shared" si="88"/>
        <v>0.10149427557771941</v>
      </c>
      <c r="Q108" s="583">
        <f t="shared" si="89"/>
        <v>0.18024447285090767</v>
      </c>
      <c r="R108" s="583">
        <f t="shared" si="90"/>
        <v>0.14642920071381968</v>
      </c>
      <c r="S108" s="583">
        <f t="shared" si="91"/>
        <v>0.17485191622838181</v>
      </c>
      <c r="T108" s="583">
        <f t="shared" si="92"/>
        <v>0.15171721643901459</v>
      </c>
      <c r="U108" s="583">
        <f t="shared" si="93"/>
        <v>0.12295479046377866</v>
      </c>
      <c r="V108" s="583"/>
      <c r="W108" s="583"/>
      <c r="X108" s="583"/>
    </row>
    <row r="109" spans="1:28" x14ac:dyDescent="0.6">
      <c r="A109" s="581" t="s">
        <v>308</v>
      </c>
      <c r="B109" s="580">
        <f t="shared" ref="B109:H109" si="94">SUM(B100:B108)</f>
        <v>17194498</v>
      </c>
      <c r="C109" s="580">
        <f t="shared" si="94"/>
        <v>22417284</v>
      </c>
      <c r="D109" s="580">
        <f t="shared" si="94"/>
        <v>4575641</v>
      </c>
      <c r="E109" s="580">
        <f t="shared" si="94"/>
        <v>13081735</v>
      </c>
      <c r="F109" s="580">
        <f t="shared" si="94"/>
        <v>18254870</v>
      </c>
      <c r="G109" s="580">
        <f t="shared" si="94"/>
        <v>27496563</v>
      </c>
      <c r="H109" s="580">
        <f t="shared" si="94"/>
        <v>10488473</v>
      </c>
      <c r="I109" s="580"/>
      <c r="J109" s="580">
        <f>SUM(J100:J108)</f>
        <v>24535250.50051507</v>
      </c>
      <c r="K109" s="580"/>
      <c r="N109" s="581" t="s">
        <v>308</v>
      </c>
      <c r="O109" s="583">
        <f t="shared" ref="O109:U109" si="95">B109/B115</f>
        <v>1</v>
      </c>
      <c r="P109" s="583">
        <f t="shared" si="95"/>
        <v>0.80723339948623918</v>
      </c>
      <c r="Q109" s="583">
        <f t="shared" si="95"/>
        <v>0.65685974872282005</v>
      </c>
      <c r="R109" s="583">
        <f t="shared" si="95"/>
        <v>0.86373165383136663</v>
      </c>
      <c r="S109" s="583">
        <f t="shared" si="95"/>
        <v>0.64721782458027777</v>
      </c>
      <c r="T109" s="583">
        <f t="shared" si="95"/>
        <v>0.63697970959082861</v>
      </c>
      <c r="U109" s="583">
        <f t="shared" si="95"/>
        <v>0.66382152310042819</v>
      </c>
      <c r="V109" s="583"/>
      <c r="W109" s="583"/>
      <c r="X109" s="583"/>
    </row>
    <row r="110" spans="1:28" x14ac:dyDescent="0.6">
      <c r="A110" s="241" t="s">
        <v>301</v>
      </c>
      <c r="B110" s="241" t="s">
        <v>78</v>
      </c>
      <c r="C110" s="241"/>
      <c r="D110" s="241"/>
      <c r="E110" s="241"/>
      <c r="F110" s="241"/>
      <c r="G110" s="241"/>
      <c r="H110" s="241"/>
      <c r="I110" s="241"/>
      <c r="J110" s="241"/>
      <c r="K110" s="241"/>
      <c r="N110" s="241" t="s">
        <v>301</v>
      </c>
      <c r="O110" s="584"/>
      <c r="P110" s="584"/>
      <c r="Q110" s="584"/>
      <c r="R110" s="584"/>
      <c r="S110" s="584"/>
      <c r="T110" s="584"/>
      <c r="U110" s="584"/>
      <c r="V110" s="584"/>
      <c r="W110" s="584"/>
      <c r="X110" s="584"/>
    </row>
    <row r="111" spans="1:28" x14ac:dyDescent="0.6">
      <c r="A111" s="581" t="s">
        <v>300</v>
      </c>
      <c r="B111" s="580"/>
      <c r="C111" s="580"/>
      <c r="D111" s="580">
        <v>1056631</v>
      </c>
      <c r="E111" s="580">
        <v>1961391</v>
      </c>
      <c r="F111" s="580">
        <v>3254302</v>
      </c>
      <c r="G111" s="580">
        <v>5476402</v>
      </c>
      <c r="H111" s="580">
        <v>2198844</v>
      </c>
      <c r="I111" s="580"/>
      <c r="J111" s="580">
        <f>J92*J130/1000000</f>
        <v>6402006.9100095006</v>
      </c>
      <c r="K111" s="580"/>
      <c r="N111" s="581" t="s">
        <v>300</v>
      </c>
      <c r="O111" s="583"/>
      <c r="P111" s="583"/>
      <c r="Q111" s="583">
        <f>D111/$D$114</f>
        <v>0.44205101301430955</v>
      </c>
      <c r="R111" s="583">
        <f>E111/$E$114</f>
        <v>0.9503480361612624</v>
      </c>
      <c r="S111" s="583">
        <f>F111/$F$114</f>
        <v>0.32705661986492629</v>
      </c>
      <c r="T111" s="583">
        <f>G111/$G$114</f>
        <v>0.34947137400768358</v>
      </c>
      <c r="U111" s="583">
        <f>H111/$H$114</f>
        <v>0.41396495676404416</v>
      </c>
      <c r="V111" s="583"/>
      <c r="W111" s="583"/>
      <c r="X111" s="583"/>
    </row>
    <row r="112" spans="1:28" x14ac:dyDescent="0.6">
      <c r="A112" s="581" t="s">
        <v>299</v>
      </c>
      <c r="B112" s="580"/>
      <c r="C112" s="580"/>
      <c r="D112" s="580">
        <v>0</v>
      </c>
      <c r="E112" s="580">
        <v>102475</v>
      </c>
      <c r="F112" s="580">
        <v>219667</v>
      </c>
      <c r="G112" s="580">
        <v>219666</v>
      </c>
      <c r="H112" s="580"/>
      <c r="I112" s="580"/>
      <c r="J112" s="580">
        <f>J93*J131/1000000</f>
        <v>516581.07187038939</v>
      </c>
      <c r="K112" s="580"/>
      <c r="N112" s="581" t="s">
        <v>299</v>
      </c>
      <c r="O112" s="583"/>
      <c r="P112" s="583"/>
      <c r="Q112" s="583">
        <f>D112/$D$114</f>
        <v>0</v>
      </c>
      <c r="R112" s="583">
        <f>E112/$E$114</f>
        <v>4.9651963838737594E-2</v>
      </c>
      <c r="S112" s="583">
        <f>F112/$F$114</f>
        <v>2.2076484148019687E-2</v>
      </c>
      <c r="T112" s="583">
        <f>G112/$G$114</f>
        <v>1.4017776423785511E-2</v>
      </c>
      <c r="U112" s="583">
        <f>H112/$H$114</f>
        <v>0</v>
      </c>
      <c r="V112" s="583"/>
      <c r="W112" s="583"/>
      <c r="X112" s="583"/>
    </row>
    <row r="113" spans="1:24" x14ac:dyDescent="0.6">
      <c r="A113" s="581" t="s">
        <v>298</v>
      </c>
      <c r="B113" s="580"/>
      <c r="C113" s="580"/>
      <c r="D113" s="580">
        <v>1333661</v>
      </c>
      <c r="E113" s="580"/>
      <c r="F113" s="580">
        <v>6476302</v>
      </c>
      <c r="G113" s="580">
        <v>9974463</v>
      </c>
      <c r="H113" s="580">
        <v>3112823</v>
      </c>
      <c r="I113" s="580"/>
      <c r="J113" s="580">
        <f>J94*J132/1000000</f>
        <v>0</v>
      </c>
      <c r="K113" s="580"/>
      <c r="N113" s="581" t="s">
        <v>298</v>
      </c>
      <c r="O113" s="583"/>
      <c r="P113" s="583"/>
      <c r="Q113" s="583">
        <f>D113/$D$114</f>
        <v>0.5579489869856904</v>
      </c>
      <c r="R113" s="583">
        <f>E113/$E$114</f>
        <v>0</v>
      </c>
      <c r="S113" s="583">
        <f>F113/$F$114</f>
        <v>0.65086689598705405</v>
      </c>
      <c r="T113" s="583">
        <f>G113/$G$114</f>
        <v>0.63651084956853088</v>
      </c>
      <c r="U113" s="583">
        <f>H113/$H$114</f>
        <v>0.5860350432359559</v>
      </c>
      <c r="V113" s="583"/>
      <c r="W113" s="583"/>
      <c r="X113" s="583"/>
    </row>
    <row r="114" spans="1:24" x14ac:dyDescent="0.6">
      <c r="A114" s="581" t="s">
        <v>307</v>
      </c>
      <c r="B114" s="580">
        <f>SUM(B111:B113)</f>
        <v>0</v>
      </c>
      <c r="C114" s="580">
        <v>5353227</v>
      </c>
      <c r="D114" s="580">
        <f>SUM(D111:D113)</f>
        <v>2390292</v>
      </c>
      <c r="E114" s="580">
        <f>SUM(E111:E113)</f>
        <v>2063866</v>
      </c>
      <c r="F114" s="580">
        <f>SUM(F111:F113)</f>
        <v>9950271</v>
      </c>
      <c r="G114" s="580">
        <f>SUM(G111:G113)</f>
        <v>15670531</v>
      </c>
      <c r="H114" s="580">
        <f>SUM(H111:H113)</f>
        <v>5311667</v>
      </c>
      <c r="I114" s="580"/>
      <c r="J114" s="580">
        <f>SUM(J111:J113)</f>
        <v>6918587.98187989</v>
      </c>
      <c r="K114" s="580"/>
      <c r="N114" s="581" t="s">
        <v>307</v>
      </c>
      <c r="O114" s="583">
        <f t="shared" ref="O114:U114" si="96">B114/B115</f>
        <v>0</v>
      </c>
      <c r="P114" s="583">
        <f t="shared" si="96"/>
        <v>0.19276660051376079</v>
      </c>
      <c r="Q114" s="583">
        <f t="shared" si="96"/>
        <v>0.34314025127717995</v>
      </c>
      <c r="R114" s="583">
        <f t="shared" si="96"/>
        <v>0.1362683461686334</v>
      </c>
      <c r="S114" s="583">
        <f t="shared" si="96"/>
        <v>0.35278217541972223</v>
      </c>
      <c r="T114" s="583">
        <f t="shared" si="96"/>
        <v>0.36302029040917139</v>
      </c>
      <c r="U114" s="583">
        <f t="shared" si="96"/>
        <v>0.33617847689957175</v>
      </c>
      <c r="V114" s="583"/>
      <c r="W114" s="583"/>
      <c r="X114" s="583"/>
    </row>
    <row r="115" spans="1:24" x14ac:dyDescent="0.6">
      <c r="A115" s="581" t="s">
        <v>197</v>
      </c>
      <c r="B115" s="580">
        <f t="shared" ref="B115:J115" si="97">B114+B109</f>
        <v>17194498</v>
      </c>
      <c r="C115" s="580">
        <f t="shared" si="97"/>
        <v>27770511</v>
      </c>
      <c r="D115" s="580">
        <f t="shared" si="97"/>
        <v>6965933</v>
      </c>
      <c r="E115" s="580">
        <f t="shared" si="97"/>
        <v>15145601</v>
      </c>
      <c r="F115" s="580">
        <f t="shared" si="97"/>
        <v>28205141</v>
      </c>
      <c r="G115" s="580">
        <f t="shared" si="97"/>
        <v>43167094</v>
      </c>
      <c r="H115" s="580">
        <f t="shared" si="97"/>
        <v>15800140</v>
      </c>
      <c r="I115" s="580">
        <f t="shared" si="97"/>
        <v>0</v>
      </c>
      <c r="J115" s="580">
        <f t="shared" si="97"/>
        <v>31453838.48239496</v>
      </c>
      <c r="K115" s="580">
        <f>J115+H115</f>
        <v>47253978.482394964</v>
      </c>
      <c r="N115" s="581" t="s">
        <v>197</v>
      </c>
      <c r="O115" s="583"/>
      <c r="P115" s="583"/>
      <c r="Q115" s="583"/>
      <c r="R115" s="583"/>
      <c r="S115" s="583"/>
      <c r="T115" s="583"/>
      <c r="U115" s="583"/>
      <c r="V115" s="583"/>
      <c r="W115" s="583"/>
      <c r="X115" s="583"/>
    </row>
    <row r="118" spans="1:24" x14ac:dyDescent="0.6">
      <c r="A118" s="581" t="s">
        <v>306</v>
      </c>
      <c r="B118" s="581" t="s">
        <v>78</v>
      </c>
      <c r="C118" s="581" t="s">
        <v>74</v>
      </c>
      <c r="D118" s="581" t="s">
        <v>73</v>
      </c>
      <c r="E118" s="581" t="s">
        <v>72</v>
      </c>
      <c r="F118" s="581" t="s">
        <v>71</v>
      </c>
      <c r="G118" s="581" t="s">
        <v>70</v>
      </c>
      <c r="H118" s="581" t="s">
        <v>69</v>
      </c>
      <c r="I118" s="581" t="s">
        <v>68</v>
      </c>
      <c r="J118" s="581" t="s">
        <v>67</v>
      </c>
      <c r="K118" s="581" t="s">
        <v>66</v>
      </c>
      <c r="N118" s="581" t="s">
        <v>306</v>
      </c>
      <c r="O118" s="581" t="s">
        <v>78</v>
      </c>
      <c r="P118" s="581" t="s">
        <v>74</v>
      </c>
      <c r="Q118" s="581" t="s">
        <v>73</v>
      </c>
      <c r="R118" s="581" t="s">
        <v>72</v>
      </c>
      <c r="S118" s="581" t="s">
        <v>71</v>
      </c>
      <c r="T118" s="581" t="s">
        <v>70</v>
      </c>
      <c r="U118" s="581" t="s">
        <v>69</v>
      </c>
      <c r="V118" s="581" t="s">
        <v>68</v>
      </c>
      <c r="W118" s="581" t="s">
        <v>67</v>
      </c>
      <c r="X118" s="581" t="s">
        <v>66</v>
      </c>
    </row>
    <row r="119" spans="1:24" x14ac:dyDescent="0.6">
      <c r="A119" s="581" t="s">
        <v>305</v>
      </c>
      <c r="B119" s="580">
        <f t="shared" ref="B119:H122" si="98">B100*1000000/B81</f>
        <v>5209685.1047019837</v>
      </c>
      <c r="C119" s="580">
        <f t="shared" si="98"/>
        <v>6388436.2378656883</v>
      </c>
      <c r="D119" s="580">
        <f t="shared" si="98"/>
        <v>6325137.6689573564</v>
      </c>
      <c r="E119" s="580">
        <f t="shared" si="98"/>
        <v>6422467.5955852047</v>
      </c>
      <c r="F119" s="580">
        <f t="shared" si="98"/>
        <v>6832187.1441701483</v>
      </c>
      <c r="G119" s="580">
        <f t="shared" si="98"/>
        <v>7732263.5347318174</v>
      </c>
      <c r="H119" s="580">
        <f t="shared" si="98"/>
        <v>10793612.321764026</v>
      </c>
      <c r="I119" s="580"/>
      <c r="J119" s="580">
        <f>$J$121*X119</f>
        <v>9684760.2028944753</v>
      </c>
      <c r="K119" s="580"/>
      <c r="N119" s="581" t="s">
        <v>305</v>
      </c>
      <c r="O119" s="583">
        <f t="shared" ref="O119:O127" si="99">B119/$B$121</f>
        <v>3.7563825900155239</v>
      </c>
      <c r="P119" s="583">
        <f t="shared" ref="P119:P127" si="100">C119/$C$121</f>
        <v>3.613923340563503</v>
      </c>
      <c r="Q119" s="583">
        <f t="shared" ref="Q119:Q127" si="101">D119/$D$121</f>
        <v>3.1200135522152337</v>
      </c>
      <c r="R119" s="583">
        <f t="shared" ref="R119:R127" si="102">E119/$E$121</f>
        <v>3.0032176625416094</v>
      </c>
      <c r="S119" s="583">
        <f t="shared" ref="S119:S127" si="103">F119/$F$121</f>
        <v>2.7087066526288393</v>
      </c>
      <c r="T119" s="583">
        <f t="shared" ref="T119:T127" si="104">G119/$G$121</f>
        <v>2.7402774963699814</v>
      </c>
      <c r="U119" s="583">
        <f t="shared" ref="U119:U127" si="105">H119/$H$121</f>
        <v>2.8451080099193868</v>
      </c>
      <c r="V119" s="583"/>
      <c r="W119" s="583"/>
      <c r="X119" s="583">
        <f t="shared" ref="X119:X127" si="106">T119</f>
        <v>2.7402774963699814</v>
      </c>
    </row>
    <row r="120" spans="1:24" x14ac:dyDescent="0.6">
      <c r="A120" s="581" t="s">
        <v>246</v>
      </c>
      <c r="B120" s="580">
        <f t="shared" si="98"/>
        <v>212338.35883110284</v>
      </c>
      <c r="C120" s="580">
        <f t="shared" si="98"/>
        <v>217137.80865725284</v>
      </c>
      <c r="D120" s="580">
        <f t="shared" si="98"/>
        <v>223601.36506072426</v>
      </c>
      <c r="E120" s="580">
        <f t="shared" si="98"/>
        <v>238307.02501692521</v>
      </c>
      <c r="F120" s="580">
        <f t="shared" si="98"/>
        <v>252914.10442658392</v>
      </c>
      <c r="G120" s="580">
        <f t="shared" si="98"/>
        <v>282477.66693315719</v>
      </c>
      <c r="H120" s="580">
        <f t="shared" si="98"/>
        <v>335024.30368027161</v>
      </c>
      <c r="I120" s="580"/>
      <c r="J120" s="580">
        <f>$J$121*X120</f>
        <v>353806.93565763289</v>
      </c>
      <c r="K120" s="580"/>
      <c r="N120" s="581" t="s">
        <v>246</v>
      </c>
      <c r="O120" s="583">
        <f t="shared" si="99"/>
        <v>0.15310409329456992</v>
      </c>
      <c r="P120" s="583">
        <f t="shared" si="100"/>
        <v>0.12283434718719596</v>
      </c>
      <c r="Q120" s="583">
        <f t="shared" si="101"/>
        <v>0.11029630117098863</v>
      </c>
      <c r="R120" s="583">
        <f t="shared" si="102"/>
        <v>0.11143502960303572</v>
      </c>
      <c r="S120" s="583">
        <f t="shared" si="103"/>
        <v>0.10027098244645095</v>
      </c>
      <c r="T120" s="583">
        <f t="shared" si="104"/>
        <v>0.10010874441191338</v>
      </c>
      <c r="U120" s="583">
        <f t="shared" si="105"/>
        <v>8.8309668858166421E-2</v>
      </c>
      <c r="V120" s="583"/>
      <c r="W120" s="583"/>
      <c r="X120" s="583">
        <f t="shared" si="106"/>
        <v>0.10010874441191338</v>
      </c>
    </row>
    <row r="121" spans="1:24" x14ac:dyDescent="0.6">
      <c r="A121" s="581" t="s">
        <v>121</v>
      </c>
      <c r="B121" s="580">
        <f t="shared" si="98"/>
        <v>1386888.8431517445</v>
      </c>
      <c r="C121" s="580">
        <f t="shared" si="98"/>
        <v>1767728.7634080162</v>
      </c>
      <c r="D121" s="580">
        <f t="shared" si="98"/>
        <v>2027278.9086016822</v>
      </c>
      <c r="E121" s="580">
        <f t="shared" si="98"/>
        <v>2138528.8438101085</v>
      </c>
      <c r="F121" s="580">
        <f t="shared" si="98"/>
        <v>2522306.0376580134</v>
      </c>
      <c r="G121" s="580">
        <f t="shared" si="98"/>
        <v>2821708.219322558</v>
      </c>
      <c r="H121" s="580">
        <f t="shared" si="98"/>
        <v>3793744.3092256631</v>
      </c>
      <c r="I121" s="580"/>
      <c r="J121" s="580">
        <f>B217</f>
        <v>3534226.0832064566</v>
      </c>
      <c r="K121" s="580"/>
      <c r="N121" s="581" t="s">
        <v>121</v>
      </c>
      <c r="O121" s="583">
        <f t="shared" si="99"/>
        <v>1</v>
      </c>
      <c r="P121" s="583">
        <f t="shared" si="100"/>
        <v>1</v>
      </c>
      <c r="Q121" s="583">
        <f t="shared" si="101"/>
        <v>1</v>
      </c>
      <c r="R121" s="583">
        <f t="shared" si="102"/>
        <v>1</v>
      </c>
      <c r="S121" s="583">
        <f t="shared" si="103"/>
        <v>1</v>
      </c>
      <c r="T121" s="583">
        <f t="shared" si="104"/>
        <v>1</v>
      </c>
      <c r="U121" s="583">
        <f t="shared" si="105"/>
        <v>1</v>
      </c>
      <c r="V121" s="583"/>
      <c r="W121" s="583"/>
      <c r="X121" s="583">
        <f t="shared" si="106"/>
        <v>1</v>
      </c>
    </row>
    <row r="122" spans="1:24" x14ac:dyDescent="0.6">
      <c r="A122" s="581" t="s">
        <v>304</v>
      </c>
      <c r="B122" s="580">
        <f t="shared" si="98"/>
        <v>2440722.0053472579</v>
      </c>
      <c r="C122" s="580">
        <f t="shared" si="98"/>
        <v>2573715.9909075433</v>
      </c>
      <c r="D122" s="580">
        <f t="shared" si="98"/>
        <v>2638142.3747629402</v>
      </c>
      <c r="E122" s="580">
        <f t="shared" si="98"/>
        <v>2829717.2765500583</v>
      </c>
      <c r="F122" s="580">
        <f t="shared" si="98"/>
        <v>2979501.8285122346</v>
      </c>
      <c r="G122" s="580">
        <f t="shared" si="98"/>
        <v>3468249.9395697364</v>
      </c>
      <c r="H122" s="580">
        <f t="shared" si="98"/>
        <v>5329903.9780521262</v>
      </c>
      <c r="I122" s="580"/>
      <c r="J122" s="580">
        <f t="shared" ref="J122:J127" si="107">$J$121*X122</f>
        <v>4344027.9599318057</v>
      </c>
      <c r="K122" s="580"/>
      <c r="N122" s="581" t="s">
        <v>304</v>
      </c>
      <c r="O122" s="583">
        <f t="shared" si="99"/>
        <v>1.7598540916953715</v>
      </c>
      <c r="P122" s="583">
        <f t="shared" si="100"/>
        <v>1.4559450771993203</v>
      </c>
      <c r="Q122" s="583">
        <f t="shared" si="101"/>
        <v>1.3013218672425304</v>
      </c>
      <c r="R122" s="583">
        <f t="shared" si="102"/>
        <v>1.3232074398905438</v>
      </c>
      <c r="S122" s="583">
        <f t="shared" si="103"/>
        <v>1.1812610301955</v>
      </c>
      <c r="T122" s="583">
        <f t="shared" si="104"/>
        <v>1.2291313169163895</v>
      </c>
      <c r="U122" s="583">
        <f t="shared" si="105"/>
        <v>1.4049191362451117</v>
      </c>
      <c r="V122" s="583"/>
      <c r="W122" s="583"/>
      <c r="X122" s="583">
        <f t="shared" si="106"/>
        <v>1.2291313169163895</v>
      </c>
    </row>
    <row r="123" spans="1:24" x14ac:dyDescent="0.6">
      <c r="A123" s="581" t="s">
        <v>303</v>
      </c>
      <c r="B123" s="580">
        <f t="shared" ref="B123:D127" si="108">B104*1000000/B85</f>
        <v>16274620.146314012</v>
      </c>
      <c r="C123" s="580">
        <f t="shared" si="108"/>
        <v>19659768.21192053</v>
      </c>
      <c r="D123" s="580">
        <f t="shared" si="108"/>
        <v>19469696.969696969</v>
      </c>
      <c r="E123" s="580">
        <v>0</v>
      </c>
      <c r="F123" s="580">
        <v>0</v>
      </c>
      <c r="G123" s="580">
        <f>G104*1000000/G85</f>
        <v>15390374.331550803</v>
      </c>
      <c r="H123" s="580">
        <v>0</v>
      </c>
      <c r="I123" s="580"/>
      <c r="J123" s="580">
        <f t="shared" si="107"/>
        <v>19276643.141343933</v>
      </c>
      <c r="K123" s="580"/>
      <c r="N123" s="581" t="s">
        <v>303</v>
      </c>
      <c r="O123" s="583">
        <f t="shared" si="99"/>
        <v>11.734624751418053</v>
      </c>
      <c r="P123" s="583">
        <f t="shared" si="100"/>
        <v>11.121484595871106</v>
      </c>
      <c r="Q123" s="583">
        <f t="shared" si="101"/>
        <v>9.6038571146217926</v>
      </c>
      <c r="R123" s="583">
        <f t="shared" si="102"/>
        <v>0</v>
      </c>
      <c r="S123" s="583">
        <f t="shared" si="103"/>
        <v>0</v>
      </c>
      <c r="T123" s="583">
        <f t="shared" si="104"/>
        <v>5.4542756143814755</v>
      </c>
      <c r="U123" s="583">
        <f t="shared" si="105"/>
        <v>0</v>
      </c>
      <c r="V123" s="583"/>
      <c r="W123" s="583"/>
      <c r="X123" s="583">
        <f t="shared" si="106"/>
        <v>5.4542756143814755</v>
      </c>
    </row>
    <row r="124" spans="1:24" x14ac:dyDescent="0.6">
      <c r="A124" s="581" t="s">
        <v>302</v>
      </c>
      <c r="B124" s="580">
        <f t="shared" si="108"/>
        <v>7829948.4839278907</v>
      </c>
      <c r="C124" s="580">
        <f t="shared" si="108"/>
        <v>10405657.843828944</v>
      </c>
      <c r="D124" s="580">
        <f t="shared" si="108"/>
        <v>7500000</v>
      </c>
      <c r="E124" s="580">
        <f t="shared" ref="E124:F127" si="109">E105*1000000/E86</f>
        <v>20065106.757792749</v>
      </c>
      <c r="F124" s="580">
        <f t="shared" si="109"/>
        <v>17324292.728548046</v>
      </c>
      <c r="G124" s="580">
        <f>G105*1000000/G86</f>
        <v>18876117.871279869</v>
      </c>
      <c r="H124" s="580">
        <f>H105*1000000/H86</f>
        <v>21321846.153846152</v>
      </c>
      <c r="I124" s="580"/>
      <c r="J124" s="580">
        <f t="shared" si="107"/>
        <v>23642582.062001199</v>
      </c>
      <c r="K124" s="580"/>
      <c r="N124" s="581" t="s">
        <v>302</v>
      </c>
      <c r="O124" s="583">
        <f t="shared" si="99"/>
        <v>5.6456928921095866</v>
      </c>
      <c r="P124" s="583">
        <f t="shared" si="100"/>
        <v>5.8864561460027423</v>
      </c>
      <c r="Q124" s="583">
        <f t="shared" si="101"/>
        <v>3.6995402892901073</v>
      </c>
      <c r="R124" s="583">
        <f t="shared" si="102"/>
        <v>9.3826682842602036</v>
      </c>
      <c r="S124" s="583">
        <f t="shared" si="103"/>
        <v>6.8684340717963899</v>
      </c>
      <c r="T124" s="583">
        <f t="shared" si="104"/>
        <v>6.6896065801628808</v>
      </c>
      <c r="U124" s="583">
        <f t="shared" si="105"/>
        <v>5.6202644184521047</v>
      </c>
      <c r="V124" s="583"/>
      <c r="W124" s="583"/>
      <c r="X124" s="583">
        <f t="shared" si="106"/>
        <v>6.6896065801628808</v>
      </c>
    </row>
    <row r="125" spans="1:24" x14ac:dyDescent="0.6">
      <c r="A125" s="581" t="s">
        <v>120</v>
      </c>
      <c r="B125" s="580">
        <f t="shared" si="108"/>
        <v>3124890.8459902229</v>
      </c>
      <c r="C125" s="580">
        <f t="shared" si="108"/>
        <v>4171909.8209872041</v>
      </c>
      <c r="D125" s="580">
        <f t="shared" si="108"/>
        <v>4407140.4104256844</v>
      </c>
      <c r="E125" s="580">
        <f t="shared" si="109"/>
        <v>5275847.2078427095</v>
      </c>
      <c r="F125" s="580">
        <f t="shared" si="109"/>
        <v>6535323.5813836074</v>
      </c>
      <c r="G125" s="580">
        <f>G106*1000000/G87</f>
        <v>7087223.1601946568</v>
      </c>
      <c r="H125" s="580">
        <f>H106*1000000/H87</f>
        <v>7967308.8414644804</v>
      </c>
      <c r="I125" s="580"/>
      <c r="J125" s="580">
        <f t="shared" si="107"/>
        <v>8876838.7811119575</v>
      </c>
      <c r="K125" s="580"/>
      <c r="L125" s="2" t="s">
        <v>126</v>
      </c>
      <c r="N125" s="581" t="s">
        <v>120</v>
      </c>
      <c r="O125" s="583">
        <f t="shared" si="99"/>
        <v>2.2531660424124684</v>
      </c>
      <c r="P125" s="583">
        <f t="shared" si="100"/>
        <v>2.3600395645224164</v>
      </c>
      <c r="Q125" s="583">
        <f t="shared" si="101"/>
        <v>2.1739191345237812</v>
      </c>
      <c r="R125" s="583">
        <f t="shared" si="102"/>
        <v>2.4670451479359055</v>
      </c>
      <c r="S125" s="583">
        <f t="shared" si="103"/>
        <v>2.5910113538211728</v>
      </c>
      <c r="T125" s="583">
        <f t="shared" si="104"/>
        <v>2.5116782492472498</v>
      </c>
      <c r="U125" s="583">
        <f t="shared" si="105"/>
        <v>2.1001175071523677</v>
      </c>
      <c r="V125" s="583"/>
      <c r="W125" s="583"/>
      <c r="X125" s="583">
        <f t="shared" si="106"/>
        <v>2.5116782492472498</v>
      </c>
    </row>
    <row r="126" spans="1:24" x14ac:dyDescent="0.6">
      <c r="A126" s="581" t="s">
        <v>119</v>
      </c>
      <c r="B126" s="580">
        <f t="shared" si="108"/>
        <v>9603425.0214574728</v>
      </c>
      <c r="C126" s="580">
        <f t="shared" si="108"/>
        <v>8129526.5894371979</v>
      </c>
      <c r="D126" s="580">
        <f t="shared" si="108"/>
        <v>7716769.4896242293</v>
      </c>
      <c r="E126" s="580">
        <f t="shared" si="109"/>
        <v>7355425.2199413488</v>
      </c>
      <c r="F126" s="580">
        <f t="shared" si="109"/>
        <v>7077990.2075075777</v>
      </c>
      <c r="G126" s="580">
        <f>G107*1000000/G88</f>
        <v>7360718.8703465983</v>
      </c>
      <c r="H126" s="580">
        <f>H107*1000000/H88</f>
        <v>11761596.548004314</v>
      </c>
      <c r="I126" s="580"/>
      <c r="J126" s="580">
        <f t="shared" si="107"/>
        <v>9219395.6995931044</v>
      </c>
      <c r="K126" s="580"/>
      <c r="N126" s="581" t="s">
        <v>119</v>
      </c>
      <c r="O126" s="583">
        <f t="shared" si="99"/>
        <v>6.9244374333803247</v>
      </c>
      <c r="P126" s="583">
        <f t="shared" si="100"/>
        <v>4.5988540536978242</v>
      </c>
      <c r="Q126" s="583">
        <f t="shared" si="101"/>
        <v>3.8064666173372657</v>
      </c>
      <c r="R126" s="583">
        <f t="shared" si="102"/>
        <v>3.4394790798503143</v>
      </c>
      <c r="S126" s="583">
        <f t="shared" si="103"/>
        <v>2.8061583732636834</v>
      </c>
      <c r="T126" s="583">
        <f t="shared" si="104"/>
        <v>2.6086038308077706</v>
      </c>
      <c r="U126" s="583">
        <f t="shared" si="105"/>
        <v>3.100260742244108</v>
      </c>
      <c r="V126" s="583"/>
      <c r="W126" s="583"/>
      <c r="X126" s="583">
        <f t="shared" si="106"/>
        <v>2.6086038308077706</v>
      </c>
    </row>
    <row r="127" spans="1:24" x14ac:dyDescent="0.6">
      <c r="A127" s="581" t="s">
        <v>118</v>
      </c>
      <c r="B127" s="580">
        <f t="shared" si="108"/>
        <v>4839523.8904520022</v>
      </c>
      <c r="C127" s="580">
        <f t="shared" si="108"/>
        <v>4273631.7753814422</v>
      </c>
      <c r="D127" s="580">
        <f t="shared" si="108"/>
        <v>4012269.3417269513</v>
      </c>
      <c r="E127" s="580">
        <f t="shared" si="109"/>
        <v>4927023.7458331622</v>
      </c>
      <c r="F127" s="580">
        <f t="shared" si="109"/>
        <v>5545872.1733313641</v>
      </c>
      <c r="G127" s="580">
        <f>G108*1000000/G89</f>
        <v>5386490.2030407693</v>
      </c>
      <c r="H127" s="580">
        <f>H108*1000000/H89</f>
        <v>8837047.3919359706</v>
      </c>
      <c r="I127" s="580"/>
      <c r="J127" s="580">
        <f t="shared" si="107"/>
        <v>6746648.7293619579</v>
      </c>
      <c r="K127" s="580"/>
      <c r="N127" s="581" t="s">
        <v>118</v>
      </c>
      <c r="O127" s="583">
        <f t="shared" si="99"/>
        <v>3.4894821703620069</v>
      </c>
      <c r="P127" s="583">
        <f t="shared" si="100"/>
        <v>2.417583434656728</v>
      </c>
      <c r="Q127" s="583">
        <f t="shared" si="101"/>
        <v>1.9791402774936471</v>
      </c>
      <c r="R127" s="583">
        <f t="shared" si="102"/>
        <v>2.3039313966207411</v>
      </c>
      <c r="S127" s="583">
        <f t="shared" si="103"/>
        <v>2.1987308798105887</v>
      </c>
      <c r="T127" s="583">
        <f t="shared" si="104"/>
        <v>1.9089465615739567</v>
      </c>
      <c r="U127" s="583">
        <f t="shared" si="105"/>
        <v>2.3293734821416288</v>
      </c>
      <c r="V127" s="583"/>
      <c r="W127" s="583"/>
      <c r="X127" s="583">
        <f t="shared" si="106"/>
        <v>1.9089465615739567</v>
      </c>
    </row>
    <row r="128" spans="1:24" x14ac:dyDescent="0.6">
      <c r="A128" s="241" t="s">
        <v>301</v>
      </c>
      <c r="B128" s="241"/>
      <c r="C128" s="241"/>
      <c r="D128" s="241"/>
      <c r="E128" s="241"/>
      <c r="F128" s="241"/>
      <c r="G128" s="241"/>
      <c r="H128" s="241"/>
      <c r="I128" s="241"/>
      <c r="J128" s="241"/>
      <c r="K128" s="241"/>
      <c r="N128" s="241" t="s">
        <v>301</v>
      </c>
      <c r="O128" s="584"/>
      <c r="P128" s="584"/>
      <c r="Q128" s="584"/>
      <c r="R128" s="584"/>
      <c r="S128" s="584"/>
      <c r="T128" s="584"/>
      <c r="U128" s="584"/>
      <c r="V128" s="584"/>
      <c r="W128" s="584"/>
      <c r="X128" s="584"/>
    </row>
    <row r="129" spans="1:24" x14ac:dyDescent="0.6">
      <c r="A129" s="581" t="s">
        <v>300</v>
      </c>
      <c r="B129" s="580"/>
      <c r="C129" s="580"/>
      <c r="D129" s="580">
        <f>D111*1000000/D92</f>
        <v>15760496.994466238</v>
      </c>
      <c r="E129" s="580">
        <f>E111*1000000/E92</f>
        <v>11384439.917115046</v>
      </c>
      <c r="F129" s="580">
        <f>F111*1000000/F92</f>
        <v>12170983.835860305</v>
      </c>
      <c r="G129" s="580">
        <f>G111*1000000/G92</f>
        <v>15635292.740514876</v>
      </c>
      <c r="H129" s="580">
        <f>H111*1000000/H92</f>
        <v>24889849.79002298</v>
      </c>
      <c r="I129" s="580"/>
      <c r="J129" s="580">
        <f>$J$121*X129</f>
        <v>19583406.620037723</v>
      </c>
      <c r="K129" s="580"/>
      <c r="N129" s="581" t="s">
        <v>300</v>
      </c>
      <c r="O129" s="583"/>
      <c r="P129" s="583"/>
      <c r="Q129" s="583">
        <f>D129/$D$121</f>
        <v>7.7742124813684654</v>
      </c>
      <c r="R129" s="583">
        <f>E129/$E$121</f>
        <v>5.3234914039466332</v>
      </c>
      <c r="S129" s="583">
        <f>F129/$F$121</f>
        <v>4.8253398493868671</v>
      </c>
      <c r="T129" s="583">
        <f>G129/$G$121</f>
        <v>5.5410735360400345</v>
      </c>
      <c r="U129" s="583">
        <f>H129/$H$121</f>
        <v>6.5607610216364893</v>
      </c>
      <c r="V129" s="583"/>
      <c r="W129" s="583"/>
      <c r="X129" s="583">
        <f>T129</f>
        <v>5.5410735360400345</v>
      </c>
    </row>
    <row r="130" spans="1:24" x14ac:dyDescent="0.6">
      <c r="A130" s="581" t="s">
        <v>299</v>
      </c>
      <c r="B130" s="580"/>
      <c r="C130" s="580"/>
      <c r="D130" s="580">
        <v>0</v>
      </c>
      <c r="E130" s="580">
        <f>E112*1000000/E93</f>
        <v>19634987.545506801</v>
      </c>
      <c r="F130" s="580">
        <f>F112*1000000/F93</f>
        <v>19545066.287036214</v>
      </c>
      <c r="G130" s="580">
        <f>G112*1000000/G93</f>
        <v>19544977.311148677</v>
      </c>
      <c r="H130" s="580">
        <v>0</v>
      </c>
      <c r="I130" s="580"/>
      <c r="J130" s="580">
        <f>$J$121*X130</f>
        <v>24480337.171546414</v>
      </c>
      <c r="K130" s="580"/>
      <c r="N130" s="581" t="s">
        <v>299</v>
      </c>
      <c r="O130" s="583"/>
      <c r="P130" s="583"/>
      <c r="Q130" s="583">
        <f>D130/$D$121</f>
        <v>0</v>
      </c>
      <c r="R130" s="583">
        <f>E130/$E$121</f>
        <v>9.1815397310817364</v>
      </c>
      <c r="S130" s="583">
        <f>F130/$F$121</f>
        <v>7.7488877222781438</v>
      </c>
      <c r="T130" s="583">
        <f>G130/$G$121</f>
        <v>6.926647190984573</v>
      </c>
      <c r="U130" s="583">
        <f>H130/$H$121</f>
        <v>0</v>
      </c>
      <c r="V130" s="583"/>
      <c r="W130" s="583"/>
      <c r="X130" s="583">
        <f>T130</f>
        <v>6.926647190984573</v>
      </c>
    </row>
    <row r="131" spans="1:24" x14ac:dyDescent="0.6">
      <c r="A131" s="581" t="s">
        <v>298</v>
      </c>
      <c r="B131" s="580"/>
      <c r="C131" s="580"/>
      <c r="D131" s="580">
        <f>D113*1000000/D94</f>
        <v>19983832.057179675</v>
      </c>
      <c r="E131" s="580">
        <v>0</v>
      </c>
      <c r="F131" s="580">
        <f>F113*1000000/F94</f>
        <v>31570618.659724966</v>
      </c>
      <c r="G131" s="580">
        <f>G113*1000000/G94</f>
        <v>36738759.544304356</v>
      </c>
      <c r="H131" s="580">
        <f>H113*1000000/H94</f>
        <v>37368823.529411763</v>
      </c>
      <c r="I131" s="580"/>
      <c r="J131" s="580">
        <f>$J$121*X131</f>
        <v>46015772.062110528</v>
      </c>
      <c r="K131" s="580"/>
      <c r="N131" s="581" t="s">
        <v>298</v>
      </c>
      <c r="O131" s="580"/>
      <c r="P131" s="580"/>
      <c r="Q131" s="580">
        <f>D131/$D$121</f>
        <v>9.8574655773257884</v>
      </c>
      <c r="R131" s="580">
        <f>E131/$E$121</f>
        <v>0</v>
      </c>
      <c r="S131" s="580">
        <f>F131/$F$121</f>
        <v>12.516569436212666</v>
      </c>
      <c r="T131" s="580">
        <f>G131/$G$121</f>
        <v>13.020042006017432</v>
      </c>
      <c r="U131" s="580">
        <f>H131/$H$121</f>
        <v>9.8501165296084672</v>
      </c>
      <c r="V131" s="583"/>
      <c r="W131" s="583"/>
      <c r="X131" s="583">
        <f>T131</f>
        <v>13.020042006017432</v>
      </c>
    </row>
    <row r="134" spans="1:24" x14ac:dyDescent="0.6">
      <c r="A134" s="581" t="s">
        <v>114</v>
      </c>
      <c r="B134" s="581" t="s">
        <v>74</v>
      </c>
      <c r="C134" s="581" t="s">
        <v>73</v>
      </c>
      <c r="D134" s="581" t="s">
        <v>72</v>
      </c>
      <c r="E134" s="581" t="s">
        <v>71</v>
      </c>
      <c r="F134" s="581" t="s">
        <v>70</v>
      </c>
      <c r="G134" s="581" t="s">
        <v>69</v>
      </c>
      <c r="H134" s="581" t="s">
        <v>113</v>
      </c>
      <c r="I134" s="581" t="s">
        <v>68</v>
      </c>
      <c r="J134" s="581" t="s">
        <v>67</v>
      </c>
      <c r="K134" s="581" t="s">
        <v>66</v>
      </c>
    </row>
    <row r="135" spans="1:24" x14ac:dyDescent="0.6">
      <c r="A135" s="581" t="s">
        <v>110</v>
      </c>
      <c r="B135" s="582">
        <v>7293157</v>
      </c>
      <c r="C135" s="582">
        <v>2175482</v>
      </c>
      <c r="D135" s="582">
        <v>4488901</v>
      </c>
      <c r="E135" s="582">
        <v>6682413</v>
      </c>
      <c r="F135" s="582">
        <v>9071059</v>
      </c>
      <c r="G135" s="582">
        <v>2836017</v>
      </c>
      <c r="H135" s="582">
        <v>8492857</v>
      </c>
      <c r="I135" s="582"/>
      <c r="J135" s="582">
        <f t="shared" ref="J135:J145" si="110">K135-G135</f>
        <v>8956359.7000000011</v>
      </c>
      <c r="K135" s="582">
        <f t="shared" ref="K135:K145" si="111">F135*1.3</f>
        <v>11792376.700000001</v>
      </c>
      <c r="N135" s="577"/>
      <c r="O135" s="577"/>
      <c r="Q135" s="577"/>
      <c r="R135" s="577"/>
      <c r="T135" s="577"/>
      <c r="U135" s="577"/>
    </row>
    <row r="136" spans="1:24" x14ac:dyDescent="0.6">
      <c r="A136" s="581" t="s">
        <v>109</v>
      </c>
      <c r="B136" s="582">
        <v>1704013</v>
      </c>
      <c r="C136" s="582">
        <v>323937</v>
      </c>
      <c r="D136" s="582">
        <v>943235</v>
      </c>
      <c r="E136" s="582">
        <v>1430384</v>
      </c>
      <c r="F136" s="582">
        <v>2429858</v>
      </c>
      <c r="G136" s="582">
        <v>609990</v>
      </c>
      <c r="H136" s="582">
        <v>2191115</v>
      </c>
      <c r="I136" s="582"/>
      <c r="J136" s="582">
        <f t="shared" si="110"/>
        <v>2548825.4</v>
      </c>
      <c r="K136" s="582">
        <f t="shared" si="111"/>
        <v>3158815.4</v>
      </c>
      <c r="N136" s="577"/>
      <c r="O136" s="577"/>
      <c r="Q136" s="577"/>
      <c r="R136" s="577"/>
      <c r="T136" s="577"/>
      <c r="U136" s="577"/>
    </row>
    <row r="137" spans="1:24" x14ac:dyDescent="0.6">
      <c r="A137" s="581" t="s">
        <v>108</v>
      </c>
      <c r="B137" s="582">
        <v>1328139</v>
      </c>
      <c r="C137" s="582">
        <v>592271</v>
      </c>
      <c r="D137" s="582">
        <v>1185207</v>
      </c>
      <c r="E137" s="582">
        <v>1588834</v>
      </c>
      <c r="F137" s="582">
        <v>1878532</v>
      </c>
      <c r="G137" s="582">
        <v>813473</v>
      </c>
      <c r="H137" s="582">
        <v>2386998</v>
      </c>
      <c r="I137" s="582"/>
      <c r="J137" s="582">
        <f t="shared" si="110"/>
        <v>1628618.6</v>
      </c>
      <c r="K137" s="582">
        <f t="shared" si="111"/>
        <v>2442091.6</v>
      </c>
      <c r="N137" s="577"/>
      <c r="O137" s="577"/>
      <c r="Q137" s="577"/>
      <c r="R137" s="579"/>
      <c r="T137" s="579"/>
      <c r="U137" s="579"/>
    </row>
    <row r="138" spans="1:24" x14ac:dyDescent="0.6">
      <c r="A138" s="581" t="s">
        <v>107</v>
      </c>
      <c r="B138" s="582">
        <v>1086563</v>
      </c>
      <c r="C138" s="582">
        <v>338164</v>
      </c>
      <c r="D138" s="582">
        <v>617205</v>
      </c>
      <c r="E138" s="582">
        <v>1223001</v>
      </c>
      <c r="F138" s="582">
        <v>2138795</v>
      </c>
      <c r="G138" s="582">
        <v>623200</v>
      </c>
      <c r="H138" s="582">
        <v>2499203</v>
      </c>
      <c r="I138" s="582"/>
      <c r="J138" s="582">
        <f t="shared" si="110"/>
        <v>2157233.5</v>
      </c>
      <c r="K138" s="582">
        <f t="shared" si="111"/>
        <v>2780433.5</v>
      </c>
      <c r="N138" s="577"/>
      <c r="O138" s="577"/>
      <c r="Q138" s="577"/>
      <c r="R138" s="579"/>
      <c r="T138" s="579"/>
      <c r="U138" s="579"/>
    </row>
    <row r="139" spans="1:24" x14ac:dyDescent="0.6">
      <c r="A139" s="581" t="s">
        <v>106</v>
      </c>
      <c r="B139" s="582">
        <v>0</v>
      </c>
      <c r="C139" s="582">
        <v>0</v>
      </c>
      <c r="D139" s="582">
        <v>0</v>
      </c>
      <c r="E139" s="582">
        <v>0</v>
      </c>
      <c r="F139" s="582">
        <v>0</v>
      </c>
      <c r="G139" s="582">
        <v>0</v>
      </c>
      <c r="H139" s="582">
        <v>0</v>
      </c>
      <c r="I139" s="582"/>
      <c r="J139" s="582">
        <f t="shared" si="110"/>
        <v>0</v>
      </c>
      <c r="K139" s="582">
        <f t="shared" si="111"/>
        <v>0</v>
      </c>
      <c r="N139" s="579"/>
      <c r="O139" s="579"/>
      <c r="Q139" s="579"/>
      <c r="R139" s="579"/>
      <c r="T139" s="577"/>
      <c r="U139" s="577"/>
    </row>
    <row r="140" spans="1:24" x14ac:dyDescent="0.6">
      <c r="A140" s="581" t="s">
        <v>105</v>
      </c>
      <c r="B140" s="582">
        <v>0</v>
      </c>
      <c r="C140" s="582">
        <v>0</v>
      </c>
      <c r="D140" s="582">
        <v>0</v>
      </c>
      <c r="E140" s="582">
        <v>0</v>
      </c>
      <c r="F140" s="582">
        <v>0</v>
      </c>
      <c r="G140" s="582">
        <v>0</v>
      </c>
      <c r="H140" s="582">
        <v>0</v>
      </c>
      <c r="I140" s="582"/>
      <c r="J140" s="582">
        <f t="shared" si="110"/>
        <v>0</v>
      </c>
      <c r="K140" s="582">
        <f t="shared" si="111"/>
        <v>0</v>
      </c>
      <c r="N140" s="579"/>
      <c r="O140" s="579"/>
      <c r="Q140" s="579"/>
      <c r="R140" s="577"/>
      <c r="T140" s="577"/>
      <c r="U140" s="577"/>
    </row>
    <row r="141" spans="1:24" x14ac:dyDescent="0.6">
      <c r="A141" s="581" t="s">
        <v>104</v>
      </c>
      <c r="B141" s="582">
        <v>0</v>
      </c>
      <c r="C141" s="582">
        <v>0</v>
      </c>
      <c r="D141" s="582">
        <v>0</v>
      </c>
      <c r="E141" s="582">
        <v>0</v>
      </c>
      <c r="F141" s="582">
        <v>0</v>
      </c>
      <c r="G141" s="582">
        <v>0</v>
      </c>
      <c r="H141" s="582">
        <v>0</v>
      </c>
      <c r="I141" s="582"/>
      <c r="J141" s="582">
        <f t="shared" si="110"/>
        <v>0</v>
      </c>
      <c r="K141" s="582">
        <f t="shared" si="111"/>
        <v>0</v>
      </c>
      <c r="N141" s="579"/>
      <c r="O141" s="579"/>
      <c r="Q141" s="579"/>
      <c r="R141" s="579"/>
      <c r="T141" s="579"/>
      <c r="U141" s="579"/>
    </row>
    <row r="142" spans="1:24" x14ac:dyDescent="0.6">
      <c r="A142" s="581" t="s">
        <v>103</v>
      </c>
      <c r="B142" s="582">
        <v>0</v>
      </c>
      <c r="C142" s="582">
        <v>0</v>
      </c>
      <c r="D142" s="582">
        <v>0</v>
      </c>
      <c r="E142" s="582">
        <v>0</v>
      </c>
      <c r="F142" s="582">
        <v>0</v>
      </c>
      <c r="G142" s="582">
        <v>0</v>
      </c>
      <c r="H142" s="582">
        <v>0</v>
      </c>
      <c r="I142" s="582"/>
      <c r="J142" s="582">
        <f t="shared" si="110"/>
        <v>0</v>
      </c>
      <c r="K142" s="582">
        <f t="shared" si="111"/>
        <v>0</v>
      </c>
      <c r="N142" s="579"/>
      <c r="O142" s="579"/>
      <c r="Q142" s="579"/>
      <c r="R142" s="579"/>
      <c r="T142" s="579"/>
      <c r="U142" s="579"/>
    </row>
    <row r="143" spans="1:24" x14ac:dyDescent="0.6">
      <c r="A143" s="581" t="s">
        <v>102</v>
      </c>
      <c r="B143" s="582">
        <v>0</v>
      </c>
      <c r="C143" s="582">
        <v>0</v>
      </c>
      <c r="D143" s="582">
        <v>0</v>
      </c>
      <c r="E143" s="582">
        <v>0</v>
      </c>
      <c r="F143" s="582">
        <v>0</v>
      </c>
      <c r="G143" s="582">
        <v>0</v>
      </c>
      <c r="H143" s="582">
        <v>0</v>
      </c>
      <c r="I143" s="582"/>
      <c r="J143" s="582">
        <f t="shared" si="110"/>
        <v>0</v>
      </c>
      <c r="K143" s="582">
        <f t="shared" si="111"/>
        <v>0</v>
      </c>
      <c r="N143" s="579"/>
      <c r="O143" s="579"/>
      <c r="Q143" s="579"/>
      <c r="R143" s="577"/>
      <c r="T143" s="579"/>
      <c r="U143" s="579"/>
    </row>
    <row r="144" spans="1:24" x14ac:dyDescent="0.6">
      <c r="A144" s="581" t="s">
        <v>101</v>
      </c>
      <c r="B144" s="582">
        <v>1015299</v>
      </c>
      <c r="C144" s="582">
        <v>277174</v>
      </c>
      <c r="D144" s="582">
        <v>671309</v>
      </c>
      <c r="E144" s="582">
        <v>907389</v>
      </c>
      <c r="F144" s="582">
        <v>1828691</v>
      </c>
      <c r="G144" s="582">
        <v>423206</v>
      </c>
      <c r="H144" s="582">
        <v>2163588</v>
      </c>
      <c r="I144" s="582"/>
      <c r="J144" s="582">
        <f t="shared" si="110"/>
        <v>1954092.3000000003</v>
      </c>
      <c r="K144" s="582">
        <f t="shared" si="111"/>
        <v>2377298.3000000003</v>
      </c>
      <c r="N144" s="577"/>
      <c r="O144" s="577"/>
      <c r="Q144" s="577"/>
      <c r="R144" s="577"/>
      <c r="T144" s="577"/>
      <c r="U144" s="577"/>
    </row>
    <row r="145" spans="1:21" x14ac:dyDescent="0.6">
      <c r="A145" s="581" t="s">
        <v>100</v>
      </c>
      <c r="B145" s="582">
        <v>12427171</v>
      </c>
      <c r="C145" s="582">
        <v>3807038</v>
      </c>
      <c r="D145" s="582">
        <v>7905857</v>
      </c>
      <c r="E145" s="582">
        <v>11832021</v>
      </c>
      <c r="F145" s="582">
        <v>17346935</v>
      </c>
      <c r="G145" s="582">
        <v>5305886</v>
      </c>
      <c r="H145" s="582">
        <v>17733761</v>
      </c>
      <c r="I145" s="582"/>
      <c r="J145" s="582">
        <f t="shared" si="110"/>
        <v>17245129.5</v>
      </c>
      <c r="K145" s="582">
        <f t="shared" si="111"/>
        <v>22551015.5</v>
      </c>
      <c r="N145" s="577"/>
      <c r="O145" s="577"/>
      <c r="Q145" s="577"/>
      <c r="R145" s="577"/>
      <c r="T145" s="577"/>
      <c r="U145" s="577"/>
    </row>
    <row r="146" spans="1:21" x14ac:dyDescent="0.6">
      <c r="P146" s="577"/>
      <c r="S146" s="577"/>
    </row>
    <row r="148" spans="1:21" x14ac:dyDescent="0.6">
      <c r="A148" s="581" t="s">
        <v>112</v>
      </c>
      <c r="B148" s="581" t="s">
        <v>74</v>
      </c>
      <c r="C148" s="581" t="s">
        <v>73</v>
      </c>
      <c r="D148" s="581" t="s">
        <v>72</v>
      </c>
      <c r="E148" s="581" t="s">
        <v>71</v>
      </c>
      <c r="F148" s="581" t="s">
        <v>70</v>
      </c>
      <c r="G148" s="581" t="s">
        <v>69</v>
      </c>
      <c r="H148" s="581" t="s">
        <v>113</v>
      </c>
      <c r="I148" s="581" t="s">
        <v>68</v>
      </c>
      <c r="J148" s="581" t="s">
        <v>67</v>
      </c>
      <c r="K148" s="581" t="s">
        <v>66</v>
      </c>
    </row>
    <row r="149" spans="1:21" x14ac:dyDescent="0.6">
      <c r="A149" s="581" t="s">
        <v>110</v>
      </c>
      <c r="B149" s="582">
        <v>761657</v>
      </c>
      <c r="C149" s="582">
        <v>186396</v>
      </c>
      <c r="D149" s="582">
        <v>568325</v>
      </c>
      <c r="E149" s="582">
        <v>303487</v>
      </c>
      <c r="F149" s="582">
        <v>1002592</v>
      </c>
      <c r="G149" s="582">
        <v>272322</v>
      </c>
      <c r="H149" s="582">
        <v>998923</v>
      </c>
      <c r="I149" s="582"/>
      <c r="J149" s="582">
        <f t="shared" ref="J149:J159" si="112">K149-G149</f>
        <v>1031047.6000000001</v>
      </c>
      <c r="K149" s="582">
        <f t="shared" ref="K149:K159" si="113">F149*1.3</f>
        <v>1303369.6000000001</v>
      </c>
    </row>
    <row r="150" spans="1:21" x14ac:dyDescent="0.6">
      <c r="A150" s="581" t="s">
        <v>109</v>
      </c>
      <c r="B150" s="582">
        <v>20488</v>
      </c>
      <c r="C150" s="582">
        <v>6935</v>
      </c>
      <c r="D150" s="582">
        <v>14865</v>
      </c>
      <c r="E150" s="582">
        <v>20397</v>
      </c>
      <c r="F150" s="582">
        <v>80874</v>
      </c>
      <c r="G150" s="582">
        <v>11738</v>
      </c>
      <c r="H150" s="582">
        <v>40331</v>
      </c>
      <c r="I150" s="582"/>
      <c r="J150" s="582">
        <f t="shared" si="112"/>
        <v>93398.2</v>
      </c>
      <c r="K150" s="582">
        <f t="shared" si="113"/>
        <v>105136.2</v>
      </c>
    </row>
    <row r="151" spans="1:21" x14ac:dyDescent="0.6">
      <c r="A151" s="581" t="s">
        <v>108</v>
      </c>
      <c r="B151" s="582">
        <v>0</v>
      </c>
      <c r="C151" s="582">
        <v>0</v>
      </c>
      <c r="D151" s="582">
        <v>0</v>
      </c>
      <c r="E151" s="582">
        <v>0</v>
      </c>
      <c r="F151" s="582">
        <v>0</v>
      </c>
      <c r="G151" s="582">
        <v>0</v>
      </c>
      <c r="H151" s="582">
        <v>0</v>
      </c>
      <c r="I151" s="582"/>
      <c r="J151" s="582">
        <f t="shared" si="112"/>
        <v>0</v>
      </c>
      <c r="K151" s="582">
        <f t="shared" si="113"/>
        <v>0</v>
      </c>
    </row>
    <row r="152" spans="1:21" x14ac:dyDescent="0.6">
      <c r="A152" s="581" t="s">
        <v>107</v>
      </c>
      <c r="B152" s="582">
        <v>0</v>
      </c>
      <c r="C152" s="582">
        <v>0</v>
      </c>
      <c r="D152" s="582">
        <v>0</v>
      </c>
      <c r="E152" s="582">
        <v>0</v>
      </c>
      <c r="F152" s="582">
        <v>0</v>
      </c>
      <c r="G152" s="582">
        <v>0</v>
      </c>
      <c r="H152" s="582">
        <v>0</v>
      </c>
      <c r="I152" s="582"/>
      <c r="J152" s="582">
        <f t="shared" si="112"/>
        <v>0</v>
      </c>
      <c r="K152" s="582">
        <f t="shared" si="113"/>
        <v>0</v>
      </c>
    </row>
    <row r="153" spans="1:21" x14ac:dyDescent="0.6">
      <c r="A153" s="581" t="s">
        <v>106</v>
      </c>
      <c r="B153" s="582">
        <v>18000</v>
      </c>
      <c r="C153" s="582">
        <v>0</v>
      </c>
      <c r="D153" s="582">
        <v>92</v>
      </c>
      <c r="E153" s="582">
        <v>171</v>
      </c>
      <c r="F153" s="582">
        <v>0</v>
      </c>
      <c r="G153" s="582">
        <v>0</v>
      </c>
      <c r="H153" s="582">
        <v>0</v>
      </c>
      <c r="I153" s="582"/>
      <c r="J153" s="582">
        <f t="shared" si="112"/>
        <v>0</v>
      </c>
      <c r="K153" s="582">
        <f t="shared" si="113"/>
        <v>0</v>
      </c>
    </row>
    <row r="154" spans="1:21" x14ac:dyDescent="0.6">
      <c r="A154" s="581" t="s">
        <v>105</v>
      </c>
      <c r="B154" s="582">
        <v>25919</v>
      </c>
      <c r="C154" s="582">
        <v>5892</v>
      </c>
      <c r="D154" s="582">
        <v>12948</v>
      </c>
      <c r="E154" s="582">
        <v>35548</v>
      </c>
      <c r="F154" s="582">
        <v>64862</v>
      </c>
      <c r="G154" s="582">
        <v>16629</v>
      </c>
      <c r="H154" s="582">
        <v>63598</v>
      </c>
      <c r="I154" s="582"/>
      <c r="J154" s="582">
        <f t="shared" si="112"/>
        <v>67691.600000000006</v>
      </c>
      <c r="K154" s="582">
        <f t="shared" si="113"/>
        <v>84320.6</v>
      </c>
    </row>
    <row r="155" spans="1:21" x14ac:dyDescent="0.6">
      <c r="A155" s="581" t="s">
        <v>104</v>
      </c>
      <c r="B155" s="582">
        <v>0</v>
      </c>
      <c r="C155" s="582"/>
      <c r="D155" s="582">
        <v>0</v>
      </c>
      <c r="E155" s="582">
        <v>0</v>
      </c>
      <c r="F155" s="582">
        <v>0</v>
      </c>
      <c r="G155" s="582">
        <v>0</v>
      </c>
      <c r="H155" s="582">
        <v>0</v>
      </c>
      <c r="I155" s="582"/>
      <c r="J155" s="582">
        <f t="shared" si="112"/>
        <v>0</v>
      </c>
      <c r="K155" s="582">
        <f t="shared" si="113"/>
        <v>0</v>
      </c>
    </row>
    <row r="156" spans="1:21" x14ac:dyDescent="0.6">
      <c r="A156" s="581" t="s">
        <v>103</v>
      </c>
      <c r="B156" s="582">
        <v>0</v>
      </c>
      <c r="C156" s="582"/>
      <c r="D156" s="582">
        <v>0</v>
      </c>
      <c r="E156" s="582">
        <v>0</v>
      </c>
      <c r="F156" s="582">
        <v>0</v>
      </c>
      <c r="G156" s="582">
        <v>0</v>
      </c>
      <c r="H156" s="582">
        <v>0</v>
      </c>
      <c r="I156" s="582"/>
      <c r="J156" s="582">
        <f t="shared" si="112"/>
        <v>0</v>
      </c>
      <c r="K156" s="582">
        <f t="shared" si="113"/>
        <v>0</v>
      </c>
    </row>
    <row r="157" spans="1:21" x14ac:dyDescent="0.6">
      <c r="A157" s="581" t="s">
        <v>102</v>
      </c>
      <c r="B157" s="582">
        <v>429092</v>
      </c>
      <c r="C157" s="582">
        <v>89298</v>
      </c>
      <c r="D157" s="582">
        <v>294403</v>
      </c>
      <c r="E157" s="582">
        <v>339701</v>
      </c>
      <c r="F157" s="582">
        <v>459389</v>
      </c>
      <c r="G157" s="582">
        <v>277146</v>
      </c>
      <c r="H157" s="582">
        <v>647254</v>
      </c>
      <c r="I157" s="582"/>
      <c r="J157" s="582">
        <f t="shared" si="112"/>
        <v>320059.70000000007</v>
      </c>
      <c r="K157" s="582">
        <f t="shared" si="113"/>
        <v>597205.70000000007</v>
      </c>
    </row>
    <row r="158" spans="1:21" x14ac:dyDescent="0.6">
      <c r="A158" s="581" t="s">
        <v>101</v>
      </c>
      <c r="B158" s="582">
        <v>1175278</v>
      </c>
      <c r="C158" s="582">
        <f>107580+124595+128665</f>
        <v>360840</v>
      </c>
      <c r="D158" s="582">
        <v>764957</v>
      </c>
      <c r="E158" s="582">
        <v>1693553</v>
      </c>
      <c r="F158" s="582">
        <v>2069517</v>
      </c>
      <c r="G158" s="582">
        <v>504126</v>
      </c>
      <c r="H158" s="582">
        <v>2180970</v>
      </c>
      <c r="I158" s="582"/>
      <c r="J158" s="582">
        <f t="shared" si="112"/>
        <v>2186246.1</v>
      </c>
      <c r="K158" s="582">
        <f t="shared" si="113"/>
        <v>2690372.1</v>
      </c>
    </row>
    <row r="159" spans="1:21" x14ac:dyDescent="0.6">
      <c r="A159" s="581" t="s">
        <v>100</v>
      </c>
      <c r="B159" s="582">
        <v>2430434</v>
      </c>
      <c r="C159" s="582">
        <v>649372</v>
      </c>
      <c r="D159" s="582">
        <v>1655590</v>
      </c>
      <c r="E159" s="582">
        <v>2392857</v>
      </c>
      <c r="F159" s="582">
        <v>3677234</v>
      </c>
      <c r="G159" s="582">
        <v>1081961</v>
      </c>
      <c r="H159" s="582">
        <v>3931076</v>
      </c>
      <c r="I159" s="582"/>
      <c r="J159" s="582">
        <f t="shared" si="112"/>
        <v>3698443.2</v>
      </c>
      <c r="K159" s="582">
        <f t="shared" si="113"/>
        <v>4780404.2</v>
      </c>
    </row>
    <row r="162" spans="1:23" x14ac:dyDescent="0.6">
      <c r="A162" s="581" t="s">
        <v>99</v>
      </c>
      <c r="B162" s="581" t="s">
        <v>81</v>
      </c>
      <c r="C162" s="581" t="s">
        <v>80</v>
      </c>
      <c r="D162" s="581" t="s">
        <v>79</v>
      </c>
      <c r="E162" s="581" t="s">
        <v>78</v>
      </c>
      <c r="F162" s="581" t="s">
        <v>77</v>
      </c>
      <c r="G162" s="581" t="s">
        <v>76</v>
      </c>
      <c r="H162" s="581" t="s">
        <v>75</v>
      </c>
      <c r="I162" s="581" t="s">
        <v>74</v>
      </c>
      <c r="J162" s="581" t="s">
        <v>73</v>
      </c>
      <c r="K162" s="581" t="s">
        <v>72</v>
      </c>
      <c r="L162" s="581" t="s">
        <v>71</v>
      </c>
      <c r="M162" s="581" t="s">
        <v>70</v>
      </c>
      <c r="N162" s="581" t="s">
        <v>69</v>
      </c>
      <c r="O162" s="581" t="s">
        <v>68</v>
      </c>
      <c r="P162" s="581" t="s">
        <v>67</v>
      </c>
      <c r="Q162" s="581" t="s">
        <v>66</v>
      </c>
    </row>
    <row r="163" spans="1:23" x14ac:dyDescent="0.6">
      <c r="A163" s="581" t="s">
        <v>98</v>
      </c>
      <c r="B163" s="580">
        <v>39816249</v>
      </c>
      <c r="C163" s="580">
        <v>43125944</v>
      </c>
      <c r="D163" s="580">
        <v>28675311</v>
      </c>
      <c r="E163" s="580">
        <v>33310613</v>
      </c>
      <c r="F163" s="580">
        <v>7374544</v>
      </c>
      <c r="G163" s="580">
        <v>18481704</v>
      </c>
      <c r="H163" s="580">
        <v>28421726</v>
      </c>
      <c r="I163" s="580">
        <v>44670606</v>
      </c>
      <c r="J163" s="580">
        <v>10961873</v>
      </c>
      <c r="K163" s="580">
        <v>27854568</v>
      </c>
      <c r="L163" s="580">
        <v>47185456</v>
      </c>
      <c r="M163" s="580">
        <v>72003202</v>
      </c>
      <c r="N163" s="580">
        <v>23695334</v>
      </c>
      <c r="O163" s="580"/>
      <c r="P163" s="580">
        <f>P44</f>
        <v>70336880.576708406</v>
      </c>
      <c r="Q163" s="580">
        <f>P163+N163</f>
        <v>94032214.576708406</v>
      </c>
    </row>
    <row r="164" spans="1:23" x14ac:dyDescent="0.6">
      <c r="A164" s="581" t="s">
        <v>97</v>
      </c>
      <c r="B164" s="580">
        <v>-29376789</v>
      </c>
      <c r="C164" s="580">
        <v>-36280287</v>
      </c>
      <c r="D164" s="580">
        <v>-30981996</v>
      </c>
      <c r="E164" s="580">
        <v>-33101836</v>
      </c>
      <c r="F164" s="580">
        <v>-6352837</v>
      </c>
      <c r="G164" s="580">
        <v>-16362429</v>
      </c>
      <c r="H164" s="580">
        <v>-23568777</v>
      </c>
      <c r="I164" s="580">
        <v>-35835537</v>
      </c>
      <c r="J164" s="580">
        <v>-7861307</v>
      </c>
      <c r="K164" s="580">
        <v>-18562773</v>
      </c>
      <c r="L164" s="580">
        <v>-32543659</v>
      </c>
      <c r="M164" s="580">
        <v>-53713597</v>
      </c>
      <c r="N164" s="580">
        <v>-17830923</v>
      </c>
      <c r="O164" s="580"/>
      <c r="P164" s="580">
        <f>-J77</f>
        <v>-44650437.682394959</v>
      </c>
      <c r="Q164" s="580">
        <f>P164+N164</f>
        <v>-62481360.682394959</v>
      </c>
      <c r="T164" s="577"/>
      <c r="U164" s="577"/>
      <c r="V164" s="579"/>
      <c r="W164" s="577"/>
    </row>
    <row r="165" spans="1:23" x14ac:dyDescent="0.6">
      <c r="A165" s="581" t="s">
        <v>96</v>
      </c>
      <c r="B165" s="580">
        <v>10439460</v>
      </c>
      <c r="C165" s="580">
        <v>6845657</v>
      </c>
      <c r="D165" s="580">
        <v>-2306685</v>
      </c>
      <c r="E165" s="580">
        <v>208777</v>
      </c>
      <c r="F165" s="580">
        <v>1021707</v>
      </c>
      <c r="G165" s="580">
        <v>2119275</v>
      </c>
      <c r="H165" s="580">
        <v>4852949</v>
      </c>
      <c r="I165" s="580">
        <v>8835069</v>
      </c>
      <c r="J165" s="580">
        <v>3100566</v>
      </c>
      <c r="K165" s="580">
        <v>9291795</v>
      </c>
      <c r="L165" s="580">
        <v>14641797</v>
      </c>
      <c r="M165" s="580">
        <v>18289605</v>
      </c>
      <c r="N165" s="580">
        <v>5864411</v>
      </c>
      <c r="O165" s="580"/>
      <c r="P165" s="580">
        <f>SUM(P163:P164)</f>
        <v>25686442.894313447</v>
      </c>
      <c r="Q165" s="580">
        <f>SUM(Q163:Q164)</f>
        <v>31550853.894313447</v>
      </c>
      <c r="T165" s="577"/>
      <c r="U165" s="577"/>
      <c r="V165" s="579"/>
      <c r="W165" s="577"/>
    </row>
    <row r="166" spans="1:23" x14ac:dyDescent="0.6">
      <c r="A166" s="581" t="s">
        <v>95</v>
      </c>
      <c r="B166" s="580">
        <v>-1785561</v>
      </c>
      <c r="C166" s="580">
        <v>-1989509</v>
      </c>
      <c r="D166" s="580">
        <v>-1735148</v>
      </c>
      <c r="E166" s="580">
        <v>-1894750</v>
      </c>
      <c r="F166" s="580">
        <v>-342946</v>
      </c>
      <c r="G166" s="580">
        <v>-1212411</v>
      </c>
      <c r="H166" s="580">
        <v>-1757691</v>
      </c>
      <c r="I166" s="580">
        <v>-2430434</v>
      </c>
      <c r="J166" s="580">
        <v>-649372</v>
      </c>
      <c r="K166" s="580">
        <v>-1655591</v>
      </c>
      <c r="L166" s="580">
        <v>-2392857</v>
      </c>
      <c r="M166" s="580">
        <v>-3677234</v>
      </c>
      <c r="N166" s="580">
        <v>-1081961</v>
      </c>
      <c r="O166" s="580"/>
      <c r="P166" s="580">
        <f>-J159</f>
        <v>-3698443.2</v>
      </c>
      <c r="Q166" s="580">
        <f>P166+N166</f>
        <v>-4780404.2</v>
      </c>
      <c r="T166" s="577"/>
      <c r="U166" s="577"/>
      <c r="V166" s="579"/>
      <c r="W166" s="577"/>
    </row>
    <row r="167" spans="1:23" x14ac:dyDescent="0.6">
      <c r="A167" s="581" t="s">
        <v>94</v>
      </c>
      <c r="B167" s="580">
        <v>-161303</v>
      </c>
      <c r="C167" s="580">
        <v>439964</v>
      </c>
      <c r="D167" s="580">
        <v>0</v>
      </c>
      <c r="E167" s="580">
        <v>0</v>
      </c>
      <c r="F167" s="580">
        <v>3637</v>
      </c>
      <c r="G167" s="580">
        <v>0</v>
      </c>
      <c r="H167" s="580">
        <v>0</v>
      </c>
      <c r="I167" s="580">
        <v>191460</v>
      </c>
      <c r="J167" s="580">
        <v>0</v>
      </c>
      <c r="K167" s="580">
        <v>0</v>
      </c>
      <c r="L167" s="580">
        <v>51146</v>
      </c>
      <c r="M167" s="580">
        <v>305700</v>
      </c>
      <c r="N167" s="580">
        <v>35150</v>
      </c>
      <c r="O167" s="580"/>
      <c r="P167" s="580">
        <f>SUM(P165:P166)</f>
        <v>21987999.694313448</v>
      </c>
      <c r="Q167" s="580">
        <f>SUM(Q165:Q166)</f>
        <v>26770449.694313448</v>
      </c>
      <c r="T167" s="577"/>
      <c r="U167" s="577"/>
      <c r="V167" s="579"/>
      <c r="W167" s="577"/>
    </row>
    <row r="168" spans="1:23" x14ac:dyDescent="0.6">
      <c r="A168" s="581" t="s">
        <v>93</v>
      </c>
      <c r="B168" s="580">
        <v>-1946864</v>
      </c>
      <c r="C168" s="580">
        <v>-1549545</v>
      </c>
      <c r="D168" s="580">
        <v>-605352</v>
      </c>
      <c r="E168" s="580">
        <v>-61735</v>
      </c>
      <c r="F168" s="580">
        <v>0</v>
      </c>
      <c r="G168" s="580">
        <v>-127308</v>
      </c>
      <c r="H168" s="580">
        <v>-178900</v>
      </c>
      <c r="I168" s="580">
        <v>-291114</v>
      </c>
      <c r="J168" s="580">
        <v>-198688</v>
      </c>
      <c r="K168" s="580">
        <v>-2729293</v>
      </c>
      <c r="L168" s="580">
        <v>-2677727</v>
      </c>
      <c r="M168" s="580">
        <v>-342855</v>
      </c>
      <c r="N168" s="580">
        <v>-814073</v>
      </c>
      <c r="O168" s="580"/>
      <c r="P168" s="580">
        <f>Q168</f>
        <v>-445711.5</v>
      </c>
      <c r="Q168" s="580">
        <f>M168*1.3</f>
        <v>-445711.5</v>
      </c>
      <c r="T168" s="579"/>
      <c r="U168" s="579"/>
      <c r="W168" s="577"/>
    </row>
    <row r="169" spans="1:23" x14ac:dyDescent="0.6">
      <c r="A169" s="581" t="s">
        <v>92</v>
      </c>
      <c r="B169" s="580">
        <v>8492596</v>
      </c>
      <c r="C169" s="580">
        <v>5296112</v>
      </c>
      <c r="D169" s="580">
        <v>-4647185</v>
      </c>
      <c r="E169" s="580">
        <v>-1747708</v>
      </c>
      <c r="F169" s="580">
        <v>682398</v>
      </c>
      <c r="G169" s="580">
        <v>779556</v>
      </c>
      <c r="H169" s="580">
        <v>2916358</v>
      </c>
      <c r="I169" s="580">
        <v>6304981</v>
      </c>
      <c r="J169" s="580">
        <v>2252506</v>
      </c>
      <c r="K169" s="580">
        <v>4906911</v>
      </c>
      <c r="L169" s="580">
        <v>9622359</v>
      </c>
      <c r="M169" s="580">
        <v>14575216</v>
      </c>
      <c r="N169" s="580">
        <v>4003527</v>
      </c>
      <c r="O169" s="580"/>
      <c r="P169" s="580">
        <f>SUM(P165:P168)</f>
        <v>43530287.888626896</v>
      </c>
      <c r="Q169" s="580">
        <f>SUM(Q165:Q168)</f>
        <v>53095187.888626896</v>
      </c>
      <c r="T169" s="577"/>
      <c r="U169" s="577"/>
      <c r="V169" s="577"/>
      <c r="W169" s="577"/>
    </row>
    <row r="170" spans="1:23" x14ac:dyDescent="0.6">
      <c r="A170" s="581" t="s">
        <v>91</v>
      </c>
      <c r="B170" s="580">
        <v>-3557636</v>
      </c>
      <c r="C170" s="580">
        <v>-4261752</v>
      </c>
      <c r="D170" s="580">
        <v>-6324825</v>
      </c>
      <c r="E170" s="580">
        <v>-6209797</v>
      </c>
      <c r="F170" s="580">
        <v>-1330521</v>
      </c>
      <c r="G170" s="580">
        <v>-2292255</v>
      </c>
      <c r="H170" s="580">
        <v>-3293418</v>
      </c>
      <c r="I170" s="580">
        <v>-5545467</v>
      </c>
      <c r="J170" s="580">
        <v>-1754784</v>
      </c>
      <c r="K170" s="580">
        <v>-3235509</v>
      </c>
      <c r="L170" s="580">
        <v>-4857990</v>
      </c>
      <c r="M170" s="580">
        <v>-7160753</v>
      </c>
      <c r="N170" s="580">
        <v>-1389866</v>
      </c>
      <c r="O170" s="580"/>
      <c r="P170" s="580">
        <f>Q170-N170</f>
        <v>-7919112.9000000004</v>
      </c>
      <c r="Q170" s="580">
        <f>M170*1.3</f>
        <v>-9308978.9000000004</v>
      </c>
      <c r="T170" s="577"/>
      <c r="U170" s="577"/>
      <c r="V170" s="579"/>
      <c r="W170" s="577"/>
    </row>
    <row r="171" spans="1:23" x14ac:dyDescent="0.6">
      <c r="A171" s="581" t="s">
        <v>89</v>
      </c>
      <c r="B171" s="580">
        <v>-263354</v>
      </c>
      <c r="C171" s="580">
        <v>511901</v>
      </c>
      <c r="D171" s="580">
        <v>0</v>
      </c>
      <c r="E171" s="580">
        <v>0</v>
      </c>
      <c r="F171" s="580">
        <v>25844</v>
      </c>
      <c r="G171" s="580">
        <v>145864</v>
      </c>
      <c r="H171" s="580">
        <v>171507</v>
      </c>
      <c r="I171" s="580">
        <v>247527</v>
      </c>
      <c r="J171" s="580">
        <v>167560</v>
      </c>
      <c r="K171" s="580">
        <v>218523</v>
      </c>
      <c r="L171" s="580">
        <v>239605</v>
      </c>
      <c r="M171" s="580">
        <v>468855</v>
      </c>
      <c r="N171" s="580">
        <v>341885</v>
      </c>
      <c r="O171" s="580"/>
      <c r="P171" s="580">
        <f>Q171-N171</f>
        <v>126970</v>
      </c>
      <c r="Q171" s="580">
        <f>M171</f>
        <v>468855</v>
      </c>
      <c r="T171" s="577"/>
      <c r="U171" s="577"/>
      <c r="V171" s="579"/>
      <c r="W171" s="577"/>
    </row>
    <row r="172" spans="1:23" x14ac:dyDescent="0.6">
      <c r="A172" s="581" t="s">
        <v>88</v>
      </c>
      <c r="B172" s="580"/>
      <c r="C172" s="580"/>
      <c r="D172" s="580">
        <v>-217772</v>
      </c>
      <c r="E172" s="580">
        <v>516282</v>
      </c>
      <c r="F172" s="580">
        <v>-33491</v>
      </c>
      <c r="G172" s="580">
        <v>182658</v>
      </c>
      <c r="H172" s="580">
        <v>257010</v>
      </c>
      <c r="I172" s="580">
        <v>194829</v>
      </c>
      <c r="J172" s="580">
        <v>-40641</v>
      </c>
      <c r="K172" s="580">
        <v>442771</v>
      </c>
      <c r="L172" s="580">
        <v>754681</v>
      </c>
      <c r="M172" s="580">
        <v>-428359</v>
      </c>
      <c r="N172" s="580">
        <v>-123291</v>
      </c>
      <c r="O172" s="580"/>
      <c r="P172" s="580">
        <f>Q172-N172</f>
        <v>-305068</v>
      </c>
      <c r="Q172" s="580">
        <f>M172</f>
        <v>-428359</v>
      </c>
      <c r="T172" s="577"/>
      <c r="U172" s="577"/>
      <c r="V172" s="579"/>
      <c r="W172" s="577"/>
    </row>
    <row r="173" spans="1:23" x14ac:dyDescent="0.6">
      <c r="A173" s="581" t="s">
        <v>87</v>
      </c>
      <c r="B173" s="580">
        <v>4671606</v>
      </c>
      <c r="C173" s="580">
        <v>1546261</v>
      </c>
      <c r="D173" s="580">
        <v>-11189782</v>
      </c>
      <c r="E173" s="580">
        <v>-7441223</v>
      </c>
      <c r="F173" s="580">
        <v>-655770</v>
      </c>
      <c r="G173" s="580">
        <v>-1184177</v>
      </c>
      <c r="H173" s="580">
        <v>51457</v>
      </c>
      <c r="I173" s="580">
        <v>1201870</v>
      </c>
      <c r="J173" s="580">
        <v>624641</v>
      </c>
      <c r="K173" s="580">
        <v>2332696</v>
      </c>
      <c r="L173" s="580">
        <v>5758655</v>
      </c>
      <c r="M173" s="580">
        <v>7454959</v>
      </c>
      <c r="N173" s="580">
        <v>2832255</v>
      </c>
      <c r="O173" s="580"/>
      <c r="P173" s="580">
        <f>SUM(P169:P172)</f>
        <v>35433076.988626897</v>
      </c>
      <c r="Q173" s="580">
        <f>SUM(Q169:Q172)</f>
        <v>43826704.988626897</v>
      </c>
      <c r="T173" s="577"/>
      <c r="U173" s="577"/>
      <c r="V173" s="579"/>
      <c r="W173" s="577"/>
    </row>
    <row r="174" spans="1:23" x14ac:dyDescent="0.6">
      <c r="A174" s="581" t="s">
        <v>83</v>
      </c>
      <c r="B174" s="580">
        <v>-737079</v>
      </c>
      <c r="C174" s="580">
        <v>-262461</v>
      </c>
      <c r="D174" s="580">
        <v>0</v>
      </c>
      <c r="E174" s="580">
        <v>0</v>
      </c>
      <c r="F174" s="580">
        <v>0</v>
      </c>
      <c r="G174" s="580">
        <v>0</v>
      </c>
      <c r="H174" s="580">
        <v>0</v>
      </c>
      <c r="I174" s="580">
        <v>0</v>
      </c>
      <c r="J174" s="580">
        <v>0</v>
      </c>
      <c r="K174" s="580">
        <v>0</v>
      </c>
      <c r="L174" s="580">
        <v>0</v>
      </c>
      <c r="M174" s="580">
        <v>0</v>
      </c>
      <c r="N174" s="580">
        <v>0</v>
      </c>
      <c r="O174" s="580"/>
      <c r="P174" s="580">
        <v>0</v>
      </c>
      <c r="Q174" s="580">
        <v>0</v>
      </c>
      <c r="T174" s="577"/>
      <c r="U174" s="577"/>
      <c r="V174" s="577"/>
      <c r="W174" s="577"/>
    </row>
    <row r="175" spans="1:23" x14ac:dyDescent="0.6">
      <c r="A175" s="581" t="s">
        <v>86</v>
      </c>
      <c r="B175" s="580">
        <v>3934527</v>
      </c>
      <c r="C175" s="580">
        <v>1283800</v>
      </c>
      <c r="D175" s="580">
        <v>-11189782</v>
      </c>
      <c r="E175" s="580">
        <v>-7441223</v>
      </c>
      <c r="F175" s="580">
        <v>-655770</v>
      </c>
      <c r="G175" s="580">
        <v>-1184177</v>
      </c>
      <c r="H175" s="580">
        <v>51457</v>
      </c>
      <c r="I175" s="580">
        <v>1201870</v>
      </c>
      <c r="J175" s="580">
        <v>624641</v>
      </c>
      <c r="K175" s="580">
        <v>2332696</v>
      </c>
      <c r="L175" s="580">
        <v>5758655</v>
      </c>
      <c r="M175" s="580">
        <v>7454959</v>
      </c>
      <c r="N175" s="580">
        <v>2832255</v>
      </c>
      <c r="O175" s="580"/>
      <c r="P175" s="580">
        <f>P173</f>
        <v>35433076.988626897</v>
      </c>
      <c r="Q175" s="580">
        <f>Q173</f>
        <v>43826704.988626897</v>
      </c>
      <c r="T175" s="579"/>
      <c r="U175" s="579"/>
      <c r="W175" s="579"/>
    </row>
    <row r="176" spans="1:23" x14ac:dyDescent="0.6">
      <c r="A176" s="581" t="s">
        <v>85</v>
      </c>
      <c r="B176" s="580">
        <v>500</v>
      </c>
      <c r="C176" s="580">
        <v>163</v>
      </c>
      <c r="D176" s="580">
        <v>-1422</v>
      </c>
      <c r="E176" s="580">
        <v>-224</v>
      </c>
      <c r="F176" s="580">
        <v>-20</v>
      </c>
      <c r="G176" s="580">
        <v>-36</v>
      </c>
      <c r="H176" s="580">
        <v>2</v>
      </c>
      <c r="I176" s="580">
        <v>36</v>
      </c>
      <c r="J176" s="580">
        <v>19</v>
      </c>
      <c r="K176" s="580">
        <v>70</v>
      </c>
      <c r="L176" s="580">
        <v>174</v>
      </c>
      <c r="M176" s="580">
        <v>121</v>
      </c>
      <c r="N176" s="580">
        <v>46</v>
      </c>
      <c r="O176" s="580"/>
      <c r="P176" s="580">
        <f>P175*1000/P177</f>
        <v>576.11444096943592</v>
      </c>
      <c r="Q176" s="580">
        <f>Q175*1000/Q177</f>
        <v>712.58834371509738</v>
      </c>
      <c r="T176" s="577"/>
      <c r="U176" s="577"/>
      <c r="V176" s="579"/>
      <c r="W176" s="577"/>
    </row>
    <row r="177" spans="1:23" x14ac:dyDescent="0.6">
      <c r="A177" s="581" t="s">
        <v>84</v>
      </c>
      <c r="B177" s="580">
        <v>7868406</v>
      </c>
      <c r="C177" s="580">
        <v>7868406</v>
      </c>
      <c r="D177" s="580">
        <v>7868406</v>
      </c>
      <c r="E177" s="580">
        <v>33180587</v>
      </c>
      <c r="F177" s="580">
        <v>33180587</v>
      </c>
      <c r="G177" s="580">
        <v>33180587</v>
      </c>
      <c r="H177" s="580">
        <v>33180587</v>
      </c>
      <c r="I177" s="580">
        <v>33180587</v>
      </c>
      <c r="J177" s="580">
        <v>33180587</v>
      </c>
      <c r="K177" s="580">
        <v>33180587</v>
      </c>
      <c r="L177" s="580">
        <v>33180587</v>
      </c>
      <c r="M177" s="580">
        <v>61503539</v>
      </c>
      <c r="N177" s="580">
        <v>61503539</v>
      </c>
      <c r="O177" s="580">
        <v>61503539</v>
      </c>
      <c r="P177" s="580">
        <v>61503539</v>
      </c>
      <c r="Q177" s="580">
        <v>61503539</v>
      </c>
      <c r="T177" s="579"/>
      <c r="U177" s="579"/>
      <c r="V177" s="577"/>
      <c r="W177" s="579"/>
    </row>
    <row r="178" spans="1:23" x14ac:dyDescent="0.6">
      <c r="T178" s="577"/>
      <c r="U178" s="577"/>
      <c r="V178" s="579"/>
      <c r="W178" s="577"/>
    </row>
    <row r="179" spans="1:23" ht="40.5" x14ac:dyDescent="1.05">
      <c r="A179" s="95" t="s">
        <v>82</v>
      </c>
      <c r="B179" s="91" t="s">
        <v>81</v>
      </c>
      <c r="C179" s="91" t="s">
        <v>80</v>
      </c>
      <c r="D179" s="91" t="s">
        <v>79</v>
      </c>
      <c r="E179" s="91" t="s">
        <v>78</v>
      </c>
      <c r="F179" s="91" t="s">
        <v>77</v>
      </c>
      <c r="G179" s="91" t="s">
        <v>76</v>
      </c>
      <c r="H179" s="91" t="s">
        <v>75</v>
      </c>
      <c r="I179" s="91" t="s">
        <v>74</v>
      </c>
      <c r="J179" s="91" t="s">
        <v>73</v>
      </c>
      <c r="K179" s="91" t="s">
        <v>72</v>
      </c>
      <c r="L179" s="91" t="s">
        <v>71</v>
      </c>
      <c r="M179" s="91" t="s">
        <v>70</v>
      </c>
      <c r="N179" s="91" t="s">
        <v>69</v>
      </c>
      <c r="O179" s="91" t="s">
        <v>68</v>
      </c>
      <c r="P179" s="91" t="s">
        <v>67</v>
      </c>
      <c r="Q179" s="451" t="s">
        <v>66</v>
      </c>
    </row>
    <row r="180" spans="1:23" x14ac:dyDescent="0.6">
      <c r="A180" s="93" t="s">
        <v>65</v>
      </c>
      <c r="B180" s="450">
        <f t="shared" ref="B180:N180" si="114">B165/B163</f>
        <v>0.26219094621394395</v>
      </c>
      <c r="C180" s="450">
        <f t="shared" si="114"/>
        <v>0.15873639774702672</v>
      </c>
      <c r="D180" s="450">
        <f t="shared" si="114"/>
        <v>-8.0441498960551819E-2</v>
      </c>
      <c r="E180" s="450">
        <f t="shared" si="114"/>
        <v>6.267582046598782E-3</v>
      </c>
      <c r="F180" s="450">
        <f t="shared" si="114"/>
        <v>0.13854510868739817</v>
      </c>
      <c r="G180" s="450">
        <f t="shared" si="114"/>
        <v>0.11466880975910014</v>
      </c>
      <c r="H180" s="450">
        <f t="shared" si="114"/>
        <v>0.17074786379968621</v>
      </c>
      <c r="I180" s="450">
        <f t="shared" si="114"/>
        <v>0.19778260899348443</v>
      </c>
      <c r="J180" s="450">
        <f t="shared" si="114"/>
        <v>0.28285002024745226</v>
      </c>
      <c r="K180" s="450">
        <f t="shared" si="114"/>
        <v>0.33358244866694753</v>
      </c>
      <c r="L180" s="450">
        <f t="shared" si="114"/>
        <v>0.31030317901346549</v>
      </c>
      <c r="M180" s="450">
        <f t="shared" si="114"/>
        <v>0.25401099523323978</v>
      </c>
      <c r="N180" s="450">
        <f t="shared" si="114"/>
        <v>0.2474922277947211</v>
      </c>
      <c r="O180" s="450"/>
      <c r="P180" s="450">
        <f>P165/P163</f>
        <v>0.36519167019782994</v>
      </c>
      <c r="Q180" s="450">
        <f>Q165/Q163</f>
        <v>0.33553239213115937</v>
      </c>
    </row>
    <row r="181" spans="1:23" x14ac:dyDescent="0.6">
      <c r="A181" s="91" t="s">
        <v>64</v>
      </c>
      <c r="B181" s="449">
        <f t="shared" ref="B181:N181" si="115">B169/B163</f>
        <v>0.21329472798906798</v>
      </c>
      <c r="C181" s="449">
        <f t="shared" si="115"/>
        <v>0.12280570600379205</v>
      </c>
      <c r="D181" s="449">
        <f t="shared" si="115"/>
        <v>-0.16206223534942654</v>
      </c>
      <c r="E181" s="449">
        <f t="shared" si="115"/>
        <v>-5.246700203325589E-2</v>
      </c>
      <c r="F181" s="449">
        <f t="shared" si="115"/>
        <v>9.253426381346426E-2</v>
      </c>
      <c r="G181" s="449">
        <f t="shared" si="115"/>
        <v>4.2179876920439806E-2</v>
      </c>
      <c r="H181" s="449">
        <f t="shared" si="115"/>
        <v>0.10261016519545646</v>
      </c>
      <c r="I181" s="449">
        <f t="shared" si="115"/>
        <v>0.14114384300047328</v>
      </c>
      <c r="J181" s="449">
        <f t="shared" si="115"/>
        <v>0.20548550416520972</v>
      </c>
      <c r="K181" s="449">
        <f t="shared" si="115"/>
        <v>0.1761618058481467</v>
      </c>
      <c r="L181" s="449">
        <f t="shared" si="115"/>
        <v>0.20392637511016107</v>
      </c>
      <c r="M181" s="449">
        <f t="shared" si="115"/>
        <v>0.20242455328583858</v>
      </c>
      <c r="N181" s="449">
        <f t="shared" si="115"/>
        <v>0.1689584540146174</v>
      </c>
      <c r="O181" s="449"/>
      <c r="P181" s="449">
        <f>P169/P163</f>
        <v>0.61888283261515098</v>
      </c>
      <c r="Q181" s="449">
        <f>Q169/Q163</f>
        <v>0.56464891449848365</v>
      </c>
    </row>
    <row r="182" spans="1:23" x14ac:dyDescent="0.6">
      <c r="A182" s="89" t="s">
        <v>63</v>
      </c>
      <c r="B182" s="448">
        <f t="shared" ref="B182:N182" si="116">B175/B163</f>
        <v>9.8817118609038232E-2</v>
      </c>
      <c r="C182" s="448">
        <f t="shared" si="116"/>
        <v>2.9768623731459651E-2</v>
      </c>
      <c r="D182" s="448">
        <f t="shared" si="116"/>
        <v>-0.39022356200426211</v>
      </c>
      <c r="E182" s="448">
        <f t="shared" si="116"/>
        <v>-0.22338895414503479</v>
      </c>
      <c r="F182" s="448">
        <f t="shared" si="116"/>
        <v>-8.892346428470696E-2</v>
      </c>
      <c r="G182" s="448">
        <f t="shared" si="116"/>
        <v>-6.4072933967560572E-2</v>
      </c>
      <c r="H182" s="448">
        <f t="shared" si="116"/>
        <v>1.8104811790811016E-3</v>
      </c>
      <c r="I182" s="448">
        <f t="shared" si="116"/>
        <v>2.6905164438557203E-2</v>
      </c>
      <c r="J182" s="448">
        <f t="shared" si="116"/>
        <v>5.698305389963923E-2</v>
      </c>
      <c r="K182" s="448">
        <f t="shared" si="116"/>
        <v>8.3745545793422471E-2</v>
      </c>
      <c r="L182" s="448">
        <f t="shared" si="116"/>
        <v>0.12204300833714524</v>
      </c>
      <c r="M182" s="448">
        <f t="shared" si="116"/>
        <v>0.10353649272430968</v>
      </c>
      <c r="N182" s="448">
        <f t="shared" si="116"/>
        <v>0.1195279627626266</v>
      </c>
      <c r="O182" s="448"/>
      <c r="P182" s="448">
        <f>P175/P163</f>
        <v>0.50376241735634109</v>
      </c>
      <c r="Q182" s="448">
        <f>Q175/Q163</f>
        <v>0.46608181234394414</v>
      </c>
    </row>
    <row r="184" spans="1:23" x14ac:dyDescent="0.6">
      <c r="A184" s="81"/>
      <c r="B184" s="81" t="s">
        <v>81</v>
      </c>
      <c r="C184" s="81" t="s">
        <v>80</v>
      </c>
      <c r="D184" s="81" t="s">
        <v>79</v>
      </c>
      <c r="E184" s="81" t="s">
        <v>78</v>
      </c>
      <c r="F184" s="81" t="s">
        <v>74</v>
      </c>
      <c r="G184" s="81" t="s">
        <v>70</v>
      </c>
      <c r="H184" s="81" t="s">
        <v>69</v>
      </c>
      <c r="I184" s="81" t="s">
        <v>66</v>
      </c>
    </row>
    <row r="185" spans="1:23" ht="25.5" x14ac:dyDescent="0.7">
      <c r="A185" s="637" t="s">
        <v>441</v>
      </c>
      <c r="B185" s="639">
        <f>B163*1000/B177</f>
        <v>5060.268750748246</v>
      </c>
      <c r="C185" s="639">
        <f t="shared" ref="C185:E185" si="117">C163*1000/C177</f>
        <v>5480.8996892127834</v>
      </c>
      <c r="D185" s="639">
        <f t="shared" si="117"/>
        <v>3644.3608781753255</v>
      </c>
      <c r="E185" s="639">
        <f t="shared" si="117"/>
        <v>1003.9187371820758</v>
      </c>
      <c r="F185" s="639">
        <f>I163*1000/I177</f>
        <v>1346.2873938908917</v>
      </c>
      <c r="G185" s="639">
        <f>M163*1000/M177</f>
        <v>1170.7164038153967</v>
      </c>
      <c r="H185" s="639">
        <f>N163*1000/N177</f>
        <v>385.26781361313209</v>
      </c>
      <c r="I185" s="639">
        <f>Q163*1000/Q177</f>
        <v>1528.8911192038624</v>
      </c>
    </row>
    <row r="186" spans="1:23" ht="25.5" x14ac:dyDescent="0.7">
      <c r="A186" s="638" t="s">
        <v>442</v>
      </c>
      <c r="B186" s="647">
        <f>B289*1000/B177</f>
        <v>936.33704208959227</v>
      </c>
      <c r="C186" s="647">
        <f t="shared" ref="C186:E186" si="118">C289*1000/C177</f>
        <v>4939.2266997915458</v>
      </c>
      <c r="D186" s="647">
        <f t="shared" si="118"/>
        <v>2670.0241446615746</v>
      </c>
      <c r="E186" s="647">
        <f t="shared" si="118"/>
        <v>375.71008011401364</v>
      </c>
      <c r="F186" s="647">
        <f>F289*1000/I177</f>
        <v>411.93222410441382</v>
      </c>
      <c r="G186" s="647">
        <f>G289*1000/M177</f>
        <v>803.95477730151435</v>
      </c>
      <c r="H186" s="647">
        <f>H289*1000/N177</f>
        <v>850.00505418070327</v>
      </c>
      <c r="I186" s="647"/>
    </row>
    <row r="190" spans="1:23" x14ac:dyDescent="0.6">
      <c r="A190" s="87" t="s">
        <v>60</v>
      </c>
      <c r="B190" s="87">
        <v>5</v>
      </c>
    </row>
    <row r="191" spans="1:23" x14ac:dyDescent="0.6">
      <c r="A191" s="241" t="s">
        <v>59</v>
      </c>
      <c r="B191" s="241"/>
      <c r="C191" s="241" t="s">
        <v>57</v>
      </c>
      <c r="D191" s="241"/>
      <c r="E191" s="241"/>
      <c r="F191" s="241"/>
      <c r="G191" s="241" t="s">
        <v>58</v>
      </c>
      <c r="H191" s="241"/>
      <c r="I191" s="241"/>
      <c r="J191" s="241" t="s">
        <v>467</v>
      </c>
      <c r="K191" s="241"/>
      <c r="L191" s="241"/>
      <c r="M191" s="241"/>
      <c r="N191" s="241" t="s">
        <v>468</v>
      </c>
      <c r="O191" s="241"/>
      <c r="P191" s="241"/>
      <c r="Q191" s="241"/>
      <c r="R191" s="241" t="s">
        <v>469</v>
      </c>
      <c r="S191" s="241"/>
      <c r="T191" s="241"/>
      <c r="U191" s="241"/>
    </row>
    <row r="192" spans="1:23" x14ac:dyDescent="0.6">
      <c r="A192" s="241" t="s">
        <v>51</v>
      </c>
      <c r="B192" s="241" t="s">
        <v>56</v>
      </c>
      <c r="C192" s="241" t="s">
        <v>55</v>
      </c>
      <c r="D192" s="241" t="s">
        <v>54</v>
      </c>
      <c r="E192" s="241" t="s">
        <v>53</v>
      </c>
      <c r="F192" s="241" t="s">
        <v>52</v>
      </c>
      <c r="G192" s="241" t="s">
        <v>55</v>
      </c>
      <c r="H192" s="241" t="s">
        <v>54</v>
      </c>
      <c r="I192" s="241" t="s">
        <v>52</v>
      </c>
      <c r="J192" s="241" t="s">
        <v>55</v>
      </c>
      <c r="K192" s="241" t="s">
        <v>54</v>
      </c>
      <c r="L192" s="241" t="s">
        <v>53</v>
      </c>
      <c r="M192" s="241" t="s">
        <v>52</v>
      </c>
      <c r="N192" s="241" t="s">
        <v>55</v>
      </c>
      <c r="O192" s="241" t="s">
        <v>54</v>
      </c>
      <c r="P192" s="241" t="s">
        <v>53</v>
      </c>
      <c r="Q192" s="241" t="s">
        <v>52</v>
      </c>
      <c r="R192" s="241" t="s">
        <v>55</v>
      </c>
      <c r="S192" s="241" t="s">
        <v>54</v>
      </c>
      <c r="T192" s="241" t="s">
        <v>53</v>
      </c>
      <c r="U192" s="241" t="s">
        <v>52</v>
      </c>
    </row>
    <row r="193" spans="1:21" x14ac:dyDescent="0.6">
      <c r="A193" s="241" t="s">
        <v>296</v>
      </c>
      <c r="B193" s="241" t="s">
        <v>188</v>
      </c>
      <c r="C193" s="240">
        <v>322017</v>
      </c>
      <c r="D193" s="240">
        <v>351260</v>
      </c>
      <c r="E193" s="240">
        <v>40083505</v>
      </c>
      <c r="F193" s="240">
        <v>14079732</v>
      </c>
      <c r="G193" s="242">
        <v>0</v>
      </c>
      <c r="H193" s="242">
        <v>0</v>
      </c>
      <c r="I193" s="242">
        <v>0</v>
      </c>
      <c r="J193" s="240">
        <v>322017</v>
      </c>
      <c r="K193" s="240">
        <v>351260</v>
      </c>
      <c r="L193" s="240">
        <v>40083505</v>
      </c>
      <c r="M193" s="240">
        <v>14079732</v>
      </c>
      <c r="N193" s="240">
        <v>56953</v>
      </c>
      <c r="O193" s="240">
        <v>69031</v>
      </c>
      <c r="P193" s="240">
        <v>39854095</v>
      </c>
      <c r="Q193" s="240">
        <v>2751168</v>
      </c>
      <c r="R193" s="240">
        <v>378970</v>
      </c>
      <c r="S193" s="240">
        <v>420291</v>
      </c>
      <c r="T193" s="240">
        <v>40045825</v>
      </c>
      <c r="U193" s="240">
        <v>16830900</v>
      </c>
    </row>
    <row r="194" spans="1:21" x14ac:dyDescent="0.6">
      <c r="A194" s="241" t="s">
        <v>295</v>
      </c>
      <c r="B194" s="241" t="s">
        <v>188</v>
      </c>
      <c r="C194" s="240">
        <v>249327</v>
      </c>
      <c r="D194" s="240">
        <v>271912</v>
      </c>
      <c r="E194" s="240">
        <v>40088028</v>
      </c>
      <c r="F194" s="240">
        <v>10900416</v>
      </c>
      <c r="G194" s="242">
        <v>0</v>
      </c>
      <c r="H194" s="242">
        <v>0</v>
      </c>
      <c r="I194" s="242">
        <v>0</v>
      </c>
      <c r="J194" s="240">
        <v>249327</v>
      </c>
      <c r="K194" s="240">
        <v>271912</v>
      </c>
      <c r="L194" s="240">
        <v>40088028</v>
      </c>
      <c r="M194" s="240">
        <v>10900416</v>
      </c>
      <c r="N194" s="240">
        <v>34563</v>
      </c>
      <c r="O194" s="240">
        <v>43927</v>
      </c>
      <c r="P194" s="240">
        <v>39081135</v>
      </c>
      <c r="Q194" s="240">
        <v>1716717</v>
      </c>
      <c r="R194" s="240">
        <v>283890</v>
      </c>
      <c r="S194" s="240">
        <v>315839</v>
      </c>
      <c r="T194" s="240">
        <v>39947989</v>
      </c>
      <c r="U194" s="240">
        <v>12617133</v>
      </c>
    </row>
    <row r="195" spans="1:21" x14ac:dyDescent="0.6">
      <c r="A195" s="241" t="s">
        <v>293</v>
      </c>
      <c r="B195" s="241" t="s">
        <v>188</v>
      </c>
      <c r="C195" s="240">
        <v>316598</v>
      </c>
      <c r="D195" s="240">
        <v>350861</v>
      </c>
      <c r="E195" s="240">
        <v>40804293</v>
      </c>
      <c r="F195" s="240">
        <v>14316635</v>
      </c>
      <c r="G195" s="242">
        <v>0</v>
      </c>
      <c r="H195" s="242">
        <v>0</v>
      </c>
      <c r="I195" s="242">
        <v>0</v>
      </c>
      <c r="J195" s="240">
        <v>316598</v>
      </c>
      <c r="K195" s="240">
        <v>350861</v>
      </c>
      <c r="L195" s="240">
        <v>40804293</v>
      </c>
      <c r="M195" s="240">
        <v>14316635</v>
      </c>
      <c r="N195" s="240">
        <v>81752</v>
      </c>
      <c r="O195" s="240">
        <v>80111</v>
      </c>
      <c r="P195" s="240">
        <v>40036836</v>
      </c>
      <c r="Q195" s="240">
        <v>3207391</v>
      </c>
      <c r="R195" s="240">
        <v>398350</v>
      </c>
      <c r="S195" s="240">
        <v>430972</v>
      </c>
      <c r="T195" s="240">
        <v>40661635</v>
      </c>
      <c r="U195" s="240">
        <v>17524026</v>
      </c>
    </row>
    <row r="196" spans="1:21" x14ac:dyDescent="0.6">
      <c r="A196" s="241" t="s">
        <v>291</v>
      </c>
      <c r="B196" s="241" t="s">
        <v>188</v>
      </c>
      <c r="C196" s="240">
        <v>18042</v>
      </c>
      <c r="D196" s="240">
        <v>22526</v>
      </c>
      <c r="E196" s="240">
        <v>44989079</v>
      </c>
      <c r="F196" s="240">
        <v>1013424</v>
      </c>
      <c r="G196" s="242">
        <v>0</v>
      </c>
      <c r="H196" s="242">
        <v>0</v>
      </c>
      <c r="I196" s="242">
        <v>0</v>
      </c>
      <c r="J196" s="240">
        <v>18042</v>
      </c>
      <c r="K196" s="240">
        <v>22526</v>
      </c>
      <c r="L196" s="240">
        <v>44989079</v>
      </c>
      <c r="M196" s="240">
        <v>1013424</v>
      </c>
      <c r="N196" s="240">
        <v>1691</v>
      </c>
      <c r="O196" s="240">
        <v>534</v>
      </c>
      <c r="P196" s="240">
        <v>41342697</v>
      </c>
      <c r="Q196" s="240">
        <v>22077</v>
      </c>
      <c r="R196" s="240">
        <v>19733</v>
      </c>
      <c r="S196" s="240">
        <v>23060</v>
      </c>
      <c r="T196" s="240">
        <v>44904640</v>
      </c>
      <c r="U196" s="240">
        <v>1035501</v>
      </c>
    </row>
    <row r="197" spans="1:21" x14ac:dyDescent="0.6">
      <c r="A197" s="241" t="s">
        <v>290</v>
      </c>
      <c r="B197" s="241" t="s">
        <v>188</v>
      </c>
      <c r="C197" s="240">
        <v>6900</v>
      </c>
      <c r="D197" s="242">
        <v>564</v>
      </c>
      <c r="E197" s="240">
        <v>29680851</v>
      </c>
      <c r="F197" s="240">
        <v>16740</v>
      </c>
      <c r="G197" s="242">
        <v>0</v>
      </c>
      <c r="H197" s="242">
        <v>0</v>
      </c>
      <c r="I197" s="242">
        <v>0</v>
      </c>
      <c r="J197" s="240">
        <v>6900</v>
      </c>
      <c r="K197" s="242">
        <v>564</v>
      </c>
      <c r="L197" s="240">
        <v>29680851</v>
      </c>
      <c r="M197" s="240">
        <v>16740</v>
      </c>
      <c r="N197" s="240">
        <v>1820</v>
      </c>
      <c r="O197" s="242">
        <v>544</v>
      </c>
      <c r="P197" s="240">
        <v>73950368</v>
      </c>
      <c r="Q197" s="240">
        <v>40229</v>
      </c>
      <c r="R197" s="240">
        <v>8720</v>
      </c>
      <c r="S197" s="242">
        <v>1108</v>
      </c>
      <c r="T197" s="240">
        <v>51416065</v>
      </c>
      <c r="U197" s="240">
        <v>56969</v>
      </c>
    </row>
    <row r="198" spans="1:21" x14ac:dyDescent="0.6">
      <c r="A198" s="241" t="s">
        <v>289</v>
      </c>
      <c r="B198" s="241" t="s">
        <v>188</v>
      </c>
      <c r="C198" s="240">
        <v>36107</v>
      </c>
      <c r="D198" s="240">
        <v>4165</v>
      </c>
      <c r="E198" s="240">
        <v>45243217</v>
      </c>
      <c r="F198" s="240">
        <v>188438</v>
      </c>
      <c r="G198" s="242">
        <v>0</v>
      </c>
      <c r="H198" s="242">
        <v>0</v>
      </c>
      <c r="I198" s="242">
        <v>0</v>
      </c>
      <c r="J198" s="240">
        <v>36107</v>
      </c>
      <c r="K198" s="240">
        <v>4165</v>
      </c>
      <c r="L198" s="240">
        <v>45243217</v>
      </c>
      <c r="M198" s="240">
        <v>188438</v>
      </c>
      <c r="N198" s="240">
        <v>11331</v>
      </c>
      <c r="O198" s="240">
        <v>2390</v>
      </c>
      <c r="P198" s="240">
        <v>40474895</v>
      </c>
      <c r="Q198" s="240">
        <v>96735</v>
      </c>
      <c r="R198" s="240">
        <v>47438</v>
      </c>
      <c r="S198" s="240">
        <v>6555</v>
      </c>
      <c r="T198" s="240">
        <v>43504653</v>
      </c>
      <c r="U198" s="240">
        <v>285173</v>
      </c>
    </row>
    <row r="199" spans="1:21" x14ac:dyDescent="0.6">
      <c r="A199" s="241" t="s">
        <v>288</v>
      </c>
      <c r="B199" s="241" t="s">
        <v>188</v>
      </c>
      <c r="C199" s="242">
        <v>0</v>
      </c>
      <c r="D199" s="242">
        <v>0</v>
      </c>
      <c r="E199" s="242">
        <v>0</v>
      </c>
      <c r="F199" s="240">
        <v>2850290</v>
      </c>
      <c r="G199" s="242">
        <v>0</v>
      </c>
      <c r="H199" s="242">
        <v>0</v>
      </c>
      <c r="I199" s="242">
        <v>0</v>
      </c>
      <c r="J199" s="242">
        <v>0</v>
      </c>
      <c r="K199" s="242">
        <v>0</v>
      </c>
      <c r="L199" s="242">
        <v>0</v>
      </c>
      <c r="M199" s="240">
        <v>2850290</v>
      </c>
      <c r="N199" s="242">
        <v>0</v>
      </c>
      <c r="O199" s="242">
        <v>0</v>
      </c>
      <c r="P199" s="242">
        <v>0</v>
      </c>
      <c r="Q199" s="240">
        <v>543722</v>
      </c>
      <c r="R199" s="242">
        <v>0</v>
      </c>
      <c r="S199" s="242">
        <v>0</v>
      </c>
      <c r="T199" s="242">
        <v>0</v>
      </c>
      <c r="U199" s="240">
        <v>3394012</v>
      </c>
    </row>
    <row r="200" spans="1:21" x14ac:dyDescent="0.6">
      <c r="A200" s="241" t="s">
        <v>45</v>
      </c>
      <c r="B200" s="241"/>
      <c r="C200" s="241"/>
      <c r="D200" s="241"/>
      <c r="E200" s="241"/>
      <c r="F200" s="240">
        <v>43365675</v>
      </c>
      <c r="G200" s="241"/>
      <c r="H200" s="241"/>
      <c r="I200" s="242">
        <v>0</v>
      </c>
      <c r="J200" s="241"/>
      <c r="K200" s="241"/>
      <c r="L200" s="241"/>
      <c r="M200" s="240">
        <v>43365675</v>
      </c>
      <c r="N200" s="241"/>
      <c r="O200" s="241"/>
      <c r="P200" s="241"/>
      <c r="Q200" s="240">
        <v>8378039</v>
      </c>
      <c r="R200" s="241"/>
      <c r="S200" s="241"/>
      <c r="T200" s="241"/>
      <c r="U200" s="240">
        <v>51743714</v>
      </c>
    </row>
    <row r="201" spans="1:21" x14ac:dyDescent="0.6">
      <c r="N201" s="577">
        <f>SUM(N193:N199)</f>
        <v>188110</v>
      </c>
      <c r="O201" s="577">
        <f>SUM(O193:O199)</f>
        <v>196537</v>
      </c>
      <c r="R201" s="577">
        <f>SUM(R193:R200)</f>
        <v>1137101</v>
      </c>
      <c r="S201" s="577">
        <f>SUM(S193:S200)</f>
        <v>1197825</v>
      </c>
    </row>
    <row r="203" spans="1:21" x14ac:dyDescent="0.6">
      <c r="A203" s="1036" t="s">
        <v>44</v>
      </c>
      <c r="B203" s="286"/>
      <c r="C203" s="286"/>
      <c r="D203" s="286"/>
      <c r="E203" s="286"/>
      <c r="F203" s="286"/>
      <c r="G203" s="286"/>
      <c r="H203" s="286"/>
      <c r="I203" s="286"/>
      <c r="J203" s="3"/>
    </row>
    <row r="204" spans="1:21" x14ac:dyDescent="0.6">
      <c r="A204" s="1036"/>
      <c r="B204" s="286"/>
      <c r="D204" s="286"/>
      <c r="E204" s="286"/>
      <c r="F204" s="286"/>
      <c r="G204" s="286"/>
      <c r="H204" s="286"/>
      <c r="I204" s="286"/>
      <c r="J204" s="3"/>
    </row>
    <row r="205" spans="1:21" ht="23.25" thickBot="1" x14ac:dyDescent="0.65">
      <c r="A205" s="1036"/>
      <c r="B205" s="200"/>
      <c r="C205" s="200" t="s">
        <v>43</v>
      </c>
      <c r="D205" s="200" t="s">
        <v>42</v>
      </c>
      <c r="E205" s="200" t="s">
        <v>41</v>
      </c>
      <c r="F205" s="200" t="s">
        <v>223</v>
      </c>
      <c r="G205" s="200" t="s">
        <v>499</v>
      </c>
      <c r="H205" s="200" t="s">
        <v>38</v>
      </c>
      <c r="I205" s="200" t="s">
        <v>37</v>
      </c>
      <c r="J205" s="200" t="s">
        <v>36</v>
      </c>
      <c r="K205" s="200" t="s">
        <v>35</v>
      </c>
      <c r="L205" s="200" t="s">
        <v>34</v>
      </c>
    </row>
    <row r="206" spans="1:21" ht="24" thickTop="1" thickBot="1" x14ac:dyDescent="0.65">
      <c r="A206" s="910" t="s">
        <v>297</v>
      </c>
      <c r="B206" s="911">
        <f>D206</f>
        <v>2182770.2000000002</v>
      </c>
      <c r="C206" s="912"/>
      <c r="D206" s="912">
        <f>AVERAGE(M9,I9,E9,D9,B9)</f>
        <v>2182770.2000000002</v>
      </c>
      <c r="E206" s="912">
        <f>N201</f>
        <v>188110</v>
      </c>
      <c r="F206" s="912">
        <f>R201</f>
        <v>1137101</v>
      </c>
      <c r="G206" s="912">
        <f>N9</f>
        <v>597267</v>
      </c>
      <c r="H206" s="912">
        <f>MAX(M9,I9,B9:E9)</f>
        <v>2536695</v>
      </c>
      <c r="I206" s="912">
        <f>MIN(M9,I9,B9:E9)</f>
        <v>2054380</v>
      </c>
      <c r="J206" s="912"/>
      <c r="K206" s="912"/>
      <c r="L206" s="912"/>
    </row>
    <row r="207" spans="1:21" ht="24" thickTop="1" thickBot="1" x14ac:dyDescent="0.65">
      <c r="A207" s="401" t="s">
        <v>193</v>
      </c>
      <c r="B207" s="400">
        <f>C207+12</f>
        <v>367</v>
      </c>
      <c r="C207" s="916">
        <f>پنل!B2</f>
        <v>355</v>
      </c>
      <c r="D207" s="398"/>
      <c r="E207" s="916"/>
      <c r="F207" s="398"/>
      <c r="G207" s="398"/>
      <c r="H207" s="398"/>
      <c r="I207" s="398"/>
      <c r="J207" s="398"/>
      <c r="K207" s="398"/>
      <c r="L207" s="398"/>
    </row>
    <row r="208" spans="1:21" ht="24" thickTop="1" thickBot="1" x14ac:dyDescent="0.65">
      <c r="A208" s="913" t="s">
        <v>192</v>
      </c>
      <c r="B208" s="914">
        <f>B207*B209</f>
        <v>40370000</v>
      </c>
      <c r="C208" s="1004">
        <f>C207*B209</f>
        <v>39050000</v>
      </c>
      <c r="D208" s="1004"/>
      <c r="E208" s="915">
        <f>P195</f>
        <v>40036836</v>
      </c>
      <c r="F208" s="915">
        <f>T195</f>
        <v>40661635</v>
      </c>
      <c r="G208" s="915">
        <f>N51</f>
        <v>41221708.243846029</v>
      </c>
      <c r="H208" s="915"/>
      <c r="I208" s="915"/>
      <c r="J208" s="915"/>
      <c r="K208" s="915" t="s">
        <v>513</v>
      </c>
      <c r="L208" s="1004">
        <v>35392000</v>
      </c>
    </row>
    <row r="209" spans="1:12" ht="24" thickTop="1" thickBot="1" x14ac:dyDescent="0.65">
      <c r="A209" s="397" t="s">
        <v>26</v>
      </c>
      <c r="B209" s="396">
        <f>C209</f>
        <v>110000</v>
      </c>
      <c r="C209" s="1005">
        <f>پنل!B1</f>
        <v>110000</v>
      </c>
      <c r="D209" s="395"/>
      <c r="E209" s="395"/>
      <c r="F209" s="395"/>
      <c r="G209" s="395"/>
      <c r="H209" s="395"/>
      <c r="I209" s="395"/>
      <c r="J209" s="395"/>
      <c r="K209" s="658"/>
      <c r="L209" s="1005"/>
    </row>
    <row r="210" spans="1:12" ht="24" thickTop="1" thickBot="1" x14ac:dyDescent="0.65">
      <c r="A210" s="772" t="s">
        <v>514</v>
      </c>
      <c r="B210" s="1011">
        <f>E210</f>
        <v>39854095</v>
      </c>
      <c r="C210" s="1008"/>
      <c r="D210" s="1008"/>
      <c r="E210" s="1008">
        <f>P193</f>
        <v>39854095</v>
      </c>
      <c r="F210" s="1008">
        <f>T193</f>
        <v>40045825</v>
      </c>
      <c r="G210" s="1008">
        <f>N49</f>
        <v>39935490.453137994</v>
      </c>
      <c r="H210" s="1008"/>
      <c r="I210" s="1008"/>
      <c r="J210" s="1008"/>
      <c r="K210" s="1008"/>
      <c r="L210" s="1008">
        <v>40009583.333333299</v>
      </c>
    </row>
    <row r="211" spans="1:12" ht="24" thickTop="1" thickBot="1" x14ac:dyDescent="0.65">
      <c r="A211" s="1010" t="s">
        <v>515</v>
      </c>
      <c r="B211" s="1012">
        <f>E211</f>
        <v>40088028</v>
      </c>
      <c r="C211" s="1009"/>
      <c r="D211" s="1009"/>
      <c r="E211" s="1009">
        <f>L194</f>
        <v>40088028</v>
      </c>
      <c r="F211" s="1009">
        <f>T194</f>
        <v>39947989</v>
      </c>
      <c r="G211" s="1009">
        <f>N50</f>
        <v>38299610.328533359</v>
      </c>
      <c r="H211" s="1009"/>
      <c r="I211" s="1009"/>
      <c r="J211" s="1009"/>
      <c r="K211" s="1009"/>
      <c r="L211" s="1009">
        <f>39935.9122807017*1000</f>
        <v>39935912.280701801</v>
      </c>
    </row>
    <row r="212" spans="1:12" ht="24" thickTop="1" thickBot="1" x14ac:dyDescent="0.65">
      <c r="A212" s="3"/>
      <c r="B212" s="235"/>
      <c r="C212" s="578"/>
      <c r="D212" s="235"/>
      <c r="E212" s="235"/>
      <c r="F212" s="235"/>
      <c r="G212" s="235"/>
      <c r="H212" s="235"/>
      <c r="I212" s="235"/>
      <c r="J212" s="235"/>
      <c r="K212" s="235"/>
      <c r="L212" s="578"/>
    </row>
    <row r="213" spans="1:12" ht="24" thickTop="1" thickBot="1" x14ac:dyDescent="0.65">
      <c r="A213" s="917" t="s">
        <v>31</v>
      </c>
      <c r="B213" s="918">
        <f>C213</f>
        <v>39050000</v>
      </c>
      <c r="C213" s="936">
        <f>پنل!B6</f>
        <v>39050000</v>
      </c>
      <c r="D213" s="919"/>
      <c r="E213" s="919"/>
      <c r="F213" s="919"/>
      <c r="G213" s="919"/>
      <c r="H213" s="919"/>
      <c r="I213" s="919"/>
      <c r="J213" s="919"/>
      <c r="K213" s="919"/>
      <c r="L213" s="936"/>
    </row>
    <row r="214" spans="1:12" ht="24" thickTop="1" thickBot="1" x14ac:dyDescent="0.65">
      <c r="A214" s="922" t="s">
        <v>29</v>
      </c>
      <c r="B214" s="923">
        <f>B213*0.23</f>
        <v>8981500</v>
      </c>
      <c r="C214" s="937">
        <f>پنل!B8</f>
        <v>8981500</v>
      </c>
      <c r="D214" s="710"/>
      <c r="E214" s="710"/>
      <c r="F214" s="924"/>
      <c r="G214" s="710">
        <f>H125</f>
        <v>7967308.8414644804</v>
      </c>
      <c r="H214" s="710"/>
      <c r="I214" s="710"/>
      <c r="J214" s="710"/>
      <c r="K214" s="710"/>
      <c r="L214" s="937"/>
    </row>
    <row r="215" spans="1:12" ht="24" thickTop="1" thickBot="1" x14ac:dyDescent="0.65">
      <c r="A215" s="927" t="s">
        <v>237</v>
      </c>
      <c r="B215" s="928">
        <f>X87</f>
        <v>0.25803015104811133</v>
      </c>
      <c r="C215" s="1006"/>
      <c r="D215" s="766"/>
      <c r="E215" s="766"/>
      <c r="F215" s="766"/>
      <c r="G215" s="766"/>
      <c r="H215" s="766"/>
      <c r="I215" s="766"/>
      <c r="J215" s="766"/>
      <c r="K215" s="766"/>
      <c r="L215" s="1006"/>
    </row>
    <row r="216" spans="1:12" ht="24" thickTop="1" thickBot="1" x14ac:dyDescent="0.65">
      <c r="A216" s="929" t="s">
        <v>236</v>
      </c>
      <c r="B216" s="930">
        <f>B215*B206</f>
        <v>563220.52440931625</v>
      </c>
      <c r="C216" s="1007"/>
      <c r="D216" s="931"/>
      <c r="E216" s="931"/>
      <c r="F216" s="931"/>
      <c r="G216" s="931"/>
      <c r="H216" s="931"/>
      <c r="I216" s="931"/>
      <c r="J216" s="931"/>
      <c r="K216" s="931"/>
      <c r="L216" s="1007"/>
    </row>
    <row r="217" spans="1:12" ht="24" thickTop="1" thickBot="1" x14ac:dyDescent="0.65">
      <c r="A217" s="920" t="s">
        <v>30</v>
      </c>
      <c r="B217" s="932">
        <f>K226*C217</f>
        <v>3534226.0832064566</v>
      </c>
      <c r="C217" s="933">
        <f>پنل!B7</f>
        <v>6248000</v>
      </c>
      <c r="D217" s="933"/>
      <c r="E217" s="933"/>
      <c r="F217" s="921"/>
      <c r="G217" s="933">
        <f>H121</f>
        <v>3793744.3092256631</v>
      </c>
      <c r="H217" s="933"/>
      <c r="I217" s="933"/>
      <c r="J217" s="933"/>
      <c r="K217" s="933"/>
      <c r="L217" s="933"/>
    </row>
    <row r="218" spans="1:12" ht="24" thickTop="1" thickBot="1" x14ac:dyDescent="0.65">
      <c r="A218" s="925" t="s">
        <v>294</v>
      </c>
      <c r="B218" s="926">
        <f>X83</f>
        <v>1.3971190666207836</v>
      </c>
      <c r="C218" s="934"/>
      <c r="D218" s="934"/>
      <c r="E218" s="934"/>
      <c r="F218" s="934"/>
      <c r="G218" s="934"/>
      <c r="H218" s="934"/>
      <c r="I218" s="934"/>
      <c r="J218" s="934"/>
      <c r="K218" s="934"/>
      <c r="L218" s="934"/>
    </row>
    <row r="219" spans="1:12" ht="24" thickTop="1" thickBot="1" x14ac:dyDescent="0.65">
      <c r="A219" s="917" t="s">
        <v>292</v>
      </c>
      <c r="B219" s="935">
        <f>B218*B206</f>
        <v>3049589.8644716614</v>
      </c>
      <c r="C219" s="936"/>
      <c r="D219" s="936"/>
      <c r="E219" s="936"/>
      <c r="F219" s="936"/>
      <c r="G219" s="936"/>
      <c r="H219" s="936"/>
      <c r="I219" s="936"/>
      <c r="J219" s="936"/>
      <c r="K219" s="936"/>
      <c r="L219" s="936"/>
    </row>
    <row r="220" spans="1:12" ht="24" thickTop="1" thickBot="1" x14ac:dyDescent="0.65"/>
    <row r="221" spans="1:12" ht="37.5" thickTop="1" thickBot="1" x14ac:dyDescent="1">
      <c r="A221" s="435" t="s">
        <v>22</v>
      </c>
      <c r="B221" s="434">
        <f>Q176</f>
        <v>712.58834371509738</v>
      </c>
    </row>
    <row r="222" spans="1:12" ht="23.25" thickTop="1" x14ac:dyDescent="0.6"/>
    <row r="223" spans="1:12" ht="25.5" x14ac:dyDescent="0.7">
      <c r="A223" s="575" t="s">
        <v>287</v>
      </c>
      <c r="B223" s="573" t="s">
        <v>78</v>
      </c>
      <c r="C223" s="573" t="s">
        <v>74</v>
      </c>
      <c r="D223" s="573" t="s">
        <v>73</v>
      </c>
      <c r="E223" s="573" t="s">
        <v>72</v>
      </c>
      <c r="F223" s="573" t="s">
        <v>71</v>
      </c>
      <c r="G223" s="573" t="s">
        <v>70</v>
      </c>
      <c r="H223" s="573" t="s">
        <v>69</v>
      </c>
      <c r="I223" s="573" t="s">
        <v>68</v>
      </c>
      <c r="J223" s="573" t="s">
        <v>67</v>
      </c>
      <c r="K223" s="573" t="s">
        <v>66</v>
      </c>
    </row>
    <row r="224" spans="1:12" ht="25.5" x14ac:dyDescent="0.7">
      <c r="A224" s="575" t="s">
        <v>286</v>
      </c>
      <c r="B224" s="576">
        <f>فخوز!E157</f>
        <v>1967776.9515991332</v>
      </c>
      <c r="C224" s="576">
        <f>فخوز!F157</f>
        <v>2959903.7586777797</v>
      </c>
      <c r="D224" s="576">
        <f>فخوز!G157</f>
        <v>3892529.5559879341</v>
      </c>
      <c r="E224" s="576">
        <f>فخوز!H157</f>
        <v>4215093.7924715923</v>
      </c>
      <c r="F224" s="576">
        <f>فخوز!I157</f>
        <v>4885290.335631921</v>
      </c>
      <c r="G224" s="576">
        <f>فخوز!J157</f>
        <v>5129161.0772882057</v>
      </c>
      <c r="H224" s="576">
        <f>فخوز!K157</f>
        <v>6738736.6663496979</v>
      </c>
      <c r="I224" s="573"/>
      <c r="J224" s="573"/>
      <c r="K224" s="573"/>
    </row>
    <row r="225" spans="1:29" ht="25.5" x14ac:dyDescent="0.7">
      <c r="A225" s="575" t="s">
        <v>285</v>
      </c>
      <c r="B225" s="576">
        <f t="shared" ref="B225:H225" si="119">B121</f>
        <v>1386888.8431517445</v>
      </c>
      <c r="C225" s="576">
        <f t="shared" si="119"/>
        <v>1767728.7634080162</v>
      </c>
      <c r="D225" s="576">
        <f t="shared" si="119"/>
        <v>2027278.9086016822</v>
      </c>
      <c r="E225" s="576">
        <f t="shared" si="119"/>
        <v>2138528.8438101085</v>
      </c>
      <c r="F225" s="576">
        <f t="shared" si="119"/>
        <v>2522306.0376580134</v>
      </c>
      <c r="G225" s="576">
        <f t="shared" si="119"/>
        <v>2821708.219322558</v>
      </c>
      <c r="H225" s="576">
        <f t="shared" si="119"/>
        <v>3793744.3092256631</v>
      </c>
      <c r="I225" s="573"/>
      <c r="J225" s="573"/>
      <c r="K225" s="573"/>
    </row>
    <row r="226" spans="1:29" ht="25.5" x14ac:dyDescent="0.7">
      <c r="A226" s="575" t="s">
        <v>284</v>
      </c>
      <c r="B226" s="574">
        <f>B225/B224</f>
        <v>0.70479982094752947</v>
      </c>
      <c r="C226" s="574">
        <f t="shared" ref="C226:H226" si="120">C225/C224</f>
        <v>0.59722508146605391</v>
      </c>
      <c r="D226" s="574">
        <f t="shared" si="120"/>
        <v>0.52081272073659401</v>
      </c>
      <c r="E226" s="574">
        <f t="shared" si="120"/>
        <v>0.50735023918795064</v>
      </c>
      <c r="F226" s="574">
        <f t="shared" si="120"/>
        <v>0.51630627135116802</v>
      </c>
      <c r="G226" s="574">
        <f t="shared" si="120"/>
        <v>0.55013055289236479</v>
      </c>
      <c r="H226" s="574">
        <f t="shared" si="120"/>
        <v>0.56297559870086067</v>
      </c>
      <c r="I226" s="573"/>
      <c r="J226" s="573"/>
      <c r="K226" s="572">
        <f>AVERAGE(B226:H226)</f>
        <v>0.56565718361178885</v>
      </c>
    </row>
    <row r="227" spans="1:29" ht="23.25" thickBot="1" x14ac:dyDescent="0.65"/>
    <row r="228" spans="1:29" ht="33" thickBot="1" x14ac:dyDescent="0.9">
      <c r="A228" s="858" t="s">
        <v>436</v>
      </c>
      <c r="B228" s="909">
        <f>F284*1000/F274</f>
        <v>-162.40236191936859</v>
      </c>
    </row>
    <row r="229" spans="1:29" ht="45" thickBot="1" x14ac:dyDescent="1.2">
      <c r="A229" s="49" t="s">
        <v>21</v>
      </c>
      <c r="B229" s="309">
        <f>VLOOKUP(D229,'دیده بان بازار'!A:W,8,0)</f>
        <v>1866</v>
      </c>
      <c r="C229" s="977">
        <f>B250</f>
        <v>3020.1107701612814</v>
      </c>
      <c r="D229" s="1029" t="s">
        <v>336</v>
      </c>
    </row>
    <row r="230" spans="1:29" ht="32.25" x14ac:dyDescent="0.85">
      <c r="A230" s="856" t="s">
        <v>478</v>
      </c>
      <c r="B230" s="865">
        <f>B229-B228</f>
        <v>2028.4023619193686</v>
      </c>
    </row>
    <row r="231" spans="1:29" x14ac:dyDescent="0.6">
      <c r="A231" s="47">
        <v>3</v>
      </c>
      <c r="B231" s="374">
        <f>$B$230/A231</f>
        <v>676.13412063978956</v>
      </c>
      <c r="V231" s="577"/>
      <c r="W231" s="577"/>
      <c r="X231" s="577"/>
      <c r="Y231" s="577"/>
      <c r="Z231" s="577"/>
      <c r="AA231" s="577"/>
      <c r="AB231" s="577"/>
      <c r="AC231" s="577"/>
    </row>
    <row r="232" spans="1:29" ht="23.25" thickBot="1" x14ac:dyDescent="0.65">
      <c r="A232" s="47">
        <v>4</v>
      </c>
      <c r="B232" s="374">
        <f t="shared" ref="B232:B233" si="121">$B$230/A232</f>
        <v>507.10059047984214</v>
      </c>
      <c r="V232" s="577"/>
      <c r="W232" s="577"/>
      <c r="X232" s="577"/>
      <c r="Y232" s="577"/>
      <c r="Z232" s="577"/>
      <c r="AA232" s="577"/>
      <c r="AB232" s="577"/>
      <c r="AC232" s="577"/>
    </row>
    <row r="233" spans="1:29" ht="36.75" thickBot="1" x14ac:dyDescent="1">
      <c r="A233" s="42">
        <v>5</v>
      </c>
      <c r="B233" s="373">
        <f t="shared" si="121"/>
        <v>405.68047238387373</v>
      </c>
      <c r="F233" s="1043" t="s">
        <v>26</v>
      </c>
      <c r="G233" s="1046" t="s">
        <v>218</v>
      </c>
      <c r="H233" s="1047"/>
      <c r="I233" s="1047"/>
      <c r="J233" s="1047"/>
      <c r="K233" s="1047"/>
      <c r="L233" s="1047"/>
      <c r="M233" s="1047"/>
      <c r="N233" s="1047"/>
      <c r="O233" s="1047"/>
      <c r="P233" s="1047"/>
      <c r="Q233" s="1047"/>
      <c r="R233" s="1047"/>
      <c r="S233" s="1048"/>
      <c r="V233" s="577"/>
      <c r="W233" s="577"/>
      <c r="X233" s="577"/>
      <c r="Y233" s="577"/>
      <c r="Z233" s="577"/>
      <c r="AA233" s="577"/>
      <c r="AB233" s="577"/>
      <c r="AC233" s="577"/>
    </row>
    <row r="234" spans="1:29" ht="23.25" thickBot="1" x14ac:dyDescent="0.65">
      <c r="A234" s="286"/>
      <c r="B234" s="286"/>
      <c r="F234" s="1044"/>
      <c r="G234" s="571">
        <f>B221</f>
        <v>712.58834371509738</v>
      </c>
      <c r="H234" s="570">
        <v>320</v>
      </c>
      <c r="I234" s="570">
        <v>330</v>
      </c>
      <c r="J234" s="570">
        <v>340</v>
      </c>
      <c r="K234" s="570">
        <v>350</v>
      </c>
      <c r="L234" s="570">
        <v>360</v>
      </c>
      <c r="M234" s="570">
        <v>370</v>
      </c>
      <c r="N234" s="570">
        <v>380</v>
      </c>
      <c r="O234" s="570">
        <v>390</v>
      </c>
      <c r="P234" s="570">
        <v>400</v>
      </c>
      <c r="Q234" s="570">
        <v>410</v>
      </c>
      <c r="R234" s="570">
        <v>420</v>
      </c>
      <c r="S234" s="569">
        <v>430</v>
      </c>
      <c r="V234" s="577"/>
      <c r="W234" s="577"/>
      <c r="X234" s="577"/>
      <c r="Y234" s="577"/>
      <c r="Z234" s="577"/>
      <c r="AA234" s="577"/>
      <c r="AB234" s="577"/>
      <c r="AC234" s="577"/>
    </row>
    <row r="235" spans="1:29" ht="28.5" x14ac:dyDescent="0.6">
      <c r="A235" s="21" t="s">
        <v>20</v>
      </c>
      <c r="B235" s="37">
        <v>0</v>
      </c>
      <c r="F235" s="1044"/>
      <c r="G235" s="568">
        <v>90000</v>
      </c>
      <c r="H235" s="567">
        <f t="dataTable" ref="H235:S244" dt2D="1" dtr="1" r1="C207" r2="B209"/>
        <v>424.84173935682315</v>
      </c>
      <c r="I235" s="566">
        <v>449.52924592712316</v>
      </c>
      <c r="J235" s="566">
        <v>474.21675249742276</v>
      </c>
      <c r="K235" s="566">
        <v>498.90425906772276</v>
      </c>
      <c r="L235" s="566">
        <v>523.59176563802282</v>
      </c>
      <c r="M235" s="566">
        <v>548.27927220832294</v>
      </c>
      <c r="N235" s="566">
        <v>572.9667787786226</v>
      </c>
      <c r="O235" s="566">
        <v>597.65428534892305</v>
      </c>
      <c r="P235" s="566">
        <v>622.3417919192226</v>
      </c>
      <c r="Q235" s="566">
        <v>647.02929848952272</v>
      </c>
      <c r="R235" s="566">
        <v>671.71680505982272</v>
      </c>
      <c r="S235" s="565">
        <v>696.40431163012283</v>
      </c>
      <c r="V235" s="579"/>
      <c r="W235" s="579"/>
      <c r="X235" s="577"/>
      <c r="Y235" s="577"/>
      <c r="Z235" s="579"/>
      <c r="AA235" s="579"/>
      <c r="AB235" s="577"/>
      <c r="AC235" s="577"/>
    </row>
    <row r="236" spans="1:29" ht="29.25" thickBot="1" x14ac:dyDescent="0.65">
      <c r="A236" s="34" t="s">
        <v>19</v>
      </c>
      <c r="B236" s="225">
        <v>0</v>
      </c>
      <c r="F236" s="1044"/>
      <c r="G236" s="564">
        <v>100000</v>
      </c>
      <c r="H236" s="563">
        <v>515.91120803837418</v>
      </c>
      <c r="I236" s="562">
        <v>543.34177089426259</v>
      </c>
      <c r="J236" s="562">
        <v>570.77233375015157</v>
      </c>
      <c r="K236" s="562">
        <v>598.20289660604033</v>
      </c>
      <c r="L236" s="562">
        <v>625.63345946192931</v>
      </c>
      <c r="M236" s="562">
        <v>653.06402231781829</v>
      </c>
      <c r="N236" s="562">
        <v>680.49458517370715</v>
      </c>
      <c r="O236" s="562">
        <v>707.92514802959602</v>
      </c>
      <c r="P236" s="562">
        <v>735.35571088548488</v>
      </c>
      <c r="Q236" s="562">
        <v>762.78627374137386</v>
      </c>
      <c r="R236" s="562">
        <v>790.21683659726227</v>
      </c>
      <c r="S236" s="561">
        <v>817.64739945315159</v>
      </c>
      <c r="V236" s="579"/>
      <c r="W236" s="579"/>
      <c r="X236" s="577"/>
      <c r="Y236" s="577"/>
      <c r="Z236" s="579"/>
      <c r="AA236" s="579"/>
      <c r="AB236" s="577"/>
      <c r="AC236" s="577"/>
    </row>
    <row r="237" spans="1:29" ht="29.25" thickBot="1" x14ac:dyDescent="0.8">
      <c r="A237" s="216"/>
      <c r="B237" s="216"/>
      <c r="F237" s="1044"/>
      <c r="G237" s="564">
        <v>110000</v>
      </c>
      <c r="H237" s="563">
        <v>606.98067671992533</v>
      </c>
      <c r="I237" s="562">
        <v>637.1542958614026</v>
      </c>
      <c r="J237" s="562">
        <v>667.32791500288033</v>
      </c>
      <c r="K237" s="562">
        <v>697.50153414435806</v>
      </c>
      <c r="L237" s="562">
        <v>727.67515328583579</v>
      </c>
      <c r="M237" s="562">
        <v>757.84877242731409</v>
      </c>
      <c r="N237" s="562">
        <v>788.02239156879182</v>
      </c>
      <c r="O237" s="562">
        <v>818.19601071026898</v>
      </c>
      <c r="P237" s="562">
        <v>848.36962985174625</v>
      </c>
      <c r="Q237" s="562">
        <v>878.54324899322398</v>
      </c>
      <c r="R237" s="562">
        <v>908.71686813470274</v>
      </c>
      <c r="S237" s="561">
        <v>938.89048727618035</v>
      </c>
      <c r="V237" s="579"/>
      <c r="W237" s="579"/>
      <c r="X237" s="579"/>
      <c r="Y237" s="577"/>
      <c r="Z237" s="579"/>
      <c r="AA237" s="579"/>
      <c r="AB237" s="579"/>
      <c r="AC237" s="577"/>
    </row>
    <row r="238" spans="1:29" ht="28.5" x14ac:dyDescent="0.6">
      <c r="A238" s="21" t="s">
        <v>18</v>
      </c>
      <c r="B238" s="20" t="s">
        <v>283</v>
      </c>
      <c r="F238" s="1044"/>
      <c r="G238" s="564">
        <v>120000</v>
      </c>
      <c r="H238" s="563">
        <v>698.0501454014759</v>
      </c>
      <c r="I238" s="562">
        <v>730.96682082854238</v>
      </c>
      <c r="J238" s="562">
        <v>763.88349625560863</v>
      </c>
      <c r="K238" s="562">
        <v>796.80017168267614</v>
      </c>
      <c r="L238" s="562">
        <v>829.71684710974273</v>
      </c>
      <c r="M238" s="562">
        <v>862.63352253680887</v>
      </c>
      <c r="N238" s="562">
        <v>895.55019796387546</v>
      </c>
      <c r="O238" s="562">
        <v>928.46687339094194</v>
      </c>
      <c r="P238" s="562">
        <v>961.38354881800888</v>
      </c>
      <c r="Q238" s="562">
        <v>994.30022424507501</v>
      </c>
      <c r="R238" s="562">
        <v>1027.2168996721421</v>
      </c>
      <c r="S238" s="561">
        <v>1060.1335750992082</v>
      </c>
      <c r="Y238" s="577"/>
      <c r="AC238" s="577"/>
    </row>
    <row r="239" spans="1:29" ht="29.25" thickBot="1" x14ac:dyDescent="0.65">
      <c r="A239" s="34" t="s">
        <v>16</v>
      </c>
      <c r="B239" s="33">
        <v>0</v>
      </c>
      <c r="F239" s="1044"/>
      <c r="G239" s="564">
        <v>130000</v>
      </c>
      <c r="H239" s="563">
        <v>789.11961408302705</v>
      </c>
      <c r="I239" s="562">
        <v>824.77934579568239</v>
      </c>
      <c r="J239" s="562">
        <v>860.43907750833785</v>
      </c>
      <c r="K239" s="562">
        <v>896.09880922099319</v>
      </c>
      <c r="L239" s="562">
        <v>931.75854093364876</v>
      </c>
      <c r="M239" s="562">
        <v>967.41827264630444</v>
      </c>
      <c r="N239" s="562">
        <v>1003.0780043589599</v>
      </c>
      <c r="O239" s="562">
        <v>1038.7377360716155</v>
      </c>
      <c r="P239" s="562">
        <v>1074.3974677842707</v>
      </c>
      <c r="Q239" s="562">
        <v>1110.0571994969262</v>
      </c>
      <c r="R239" s="562">
        <v>1145.7169312095814</v>
      </c>
      <c r="S239" s="561">
        <v>1181.3766629222368</v>
      </c>
    </row>
    <row r="240" spans="1:29" ht="29.25" thickBot="1" x14ac:dyDescent="0.8">
      <c r="A240" s="216"/>
      <c r="B240" s="216"/>
      <c r="F240" s="1044"/>
      <c r="G240" s="564">
        <v>140000</v>
      </c>
      <c r="H240" s="563">
        <v>880.18908276457762</v>
      </c>
      <c r="I240" s="562">
        <v>918.5918707628224</v>
      </c>
      <c r="J240" s="562">
        <v>956.99465876106649</v>
      </c>
      <c r="K240" s="562">
        <v>995.39744675931081</v>
      </c>
      <c r="L240" s="562">
        <v>1033.800234757555</v>
      </c>
      <c r="M240" s="562">
        <v>1072.2030227557993</v>
      </c>
      <c r="N240" s="562">
        <v>1110.6058107540439</v>
      </c>
      <c r="O240" s="562">
        <v>1149.008598752288</v>
      </c>
      <c r="P240" s="562">
        <v>1187.4113867505328</v>
      </c>
      <c r="Q240" s="562">
        <v>1225.8141747487771</v>
      </c>
      <c r="R240" s="562">
        <v>1264.2169627470214</v>
      </c>
      <c r="S240" s="561">
        <v>1302.6197507452657</v>
      </c>
    </row>
    <row r="241" spans="1:19" ht="28.5" x14ac:dyDescent="0.6">
      <c r="A241" s="21" t="s">
        <v>14</v>
      </c>
      <c r="B241" s="20">
        <v>10</v>
      </c>
      <c r="F241" s="1044"/>
      <c r="G241" s="564">
        <v>150000</v>
      </c>
      <c r="H241" s="563">
        <v>971.25855144612865</v>
      </c>
      <c r="I241" s="562">
        <v>1012.4043957299617</v>
      </c>
      <c r="J241" s="562">
        <v>1053.5502400137957</v>
      </c>
      <c r="K241" s="562">
        <v>1094.6960842976277</v>
      </c>
      <c r="L241" s="562">
        <v>1135.8419285814618</v>
      </c>
      <c r="M241" s="562">
        <v>1176.987772865295</v>
      </c>
      <c r="N241" s="562">
        <v>1218.133617149128</v>
      </c>
      <c r="O241" s="562">
        <v>1259.2794614329619</v>
      </c>
      <c r="P241" s="562">
        <v>1300.4253057167941</v>
      </c>
      <c r="Q241" s="562">
        <v>1341.5711500006275</v>
      </c>
      <c r="R241" s="562">
        <v>1382.7169942844614</v>
      </c>
      <c r="S241" s="561">
        <v>1423.8628385682946</v>
      </c>
    </row>
    <row r="242" spans="1:19" ht="29.25" thickBot="1" x14ac:dyDescent="0.65">
      <c r="A242" s="34" t="s">
        <v>13</v>
      </c>
      <c r="B242" s="33">
        <v>0</v>
      </c>
      <c r="F242" s="1044"/>
      <c r="G242" s="564">
        <v>160000</v>
      </c>
      <c r="H242" s="563">
        <v>1062.3280201276796</v>
      </c>
      <c r="I242" s="562">
        <v>1106.2169206971018</v>
      </c>
      <c r="J242" s="562">
        <v>1150.1058212665239</v>
      </c>
      <c r="K242" s="562">
        <v>1193.9947218359459</v>
      </c>
      <c r="L242" s="562">
        <v>1237.8836224053682</v>
      </c>
      <c r="M242" s="562">
        <v>1281.77252297479</v>
      </c>
      <c r="N242" s="562">
        <v>1325.6614235442128</v>
      </c>
      <c r="O242" s="562">
        <v>1369.5503241136346</v>
      </c>
      <c r="P242" s="562">
        <v>1413.4392246830566</v>
      </c>
      <c r="Q242" s="562">
        <v>1457.3281252524789</v>
      </c>
      <c r="R242" s="562">
        <v>1501.217025821901</v>
      </c>
      <c r="S242" s="561">
        <v>1545.1059263913235</v>
      </c>
    </row>
    <row r="243" spans="1:19" ht="29.25" thickBot="1" x14ac:dyDescent="0.8">
      <c r="A243" s="216"/>
      <c r="B243" s="216"/>
      <c r="F243" s="1044"/>
      <c r="G243" s="564">
        <v>170000</v>
      </c>
      <c r="H243" s="563">
        <v>1153.3974888092305</v>
      </c>
      <c r="I243" s="562">
        <v>1200.0294456642414</v>
      </c>
      <c r="J243" s="562">
        <v>1246.6614025192523</v>
      </c>
      <c r="K243" s="562">
        <v>1293.2933593742634</v>
      </c>
      <c r="L243" s="562">
        <v>1339.9253162292748</v>
      </c>
      <c r="M243" s="562">
        <v>1386.5572730842855</v>
      </c>
      <c r="N243" s="562">
        <v>1433.1892299392969</v>
      </c>
      <c r="O243" s="562">
        <v>1479.8211867943076</v>
      </c>
      <c r="P243" s="562">
        <v>1526.4531436493189</v>
      </c>
      <c r="Q243" s="562">
        <v>1573.0851005043298</v>
      </c>
      <c r="R243" s="562">
        <v>1619.7170573593414</v>
      </c>
      <c r="S243" s="561">
        <v>1666.3490142143517</v>
      </c>
    </row>
    <row r="244" spans="1:19" ht="29.25" thickBot="1" x14ac:dyDescent="0.8">
      <c r="A244" s="215">
        <v>0.2</v>
      </c>
      <c r="B244" s="214" t="s">
        <v>7</v>
      </c>
      <c r="F244" s="1045"/>
      <c r="G244" s="560">
        <v>180000</v>
      </c>
      <c r="H244" s="559">
        <v>1244.4669574907816</v>
      </c>
      <c r="I244" s="558">
        <v>1293.8419706313812</v>
      </c>
      <c r="J244" s="558">
        <v>1343.2169837719809</v>
      </c>
      <c r="K244" s="558">
        <v>1392.591996912581</v>
      </c>
      <c r="L244" s="558">
        <v>1441.9670100531812</v>
      </c>
      <c r="M244" s="558">
        <v>1491.3420231937812</v>
      </c>
      <c r="N244" s="558">
        <v>1540.717036334381</v>
      </c>
      <c r="O244" s="558">
        <v>1590.0920494749816</v>
      </c>
      <c r="P244" s="558">
        <v>1639.4670626155807</v>
      </c>
      <c r="Q244" s="558">
        <v>1688.8420757561807</v>
      </c>
      <c r="R244" s="558">
        <v>1738.217088896781</v>
      </c>
      <c r="S244" s="557">
        <v>1787.592102037381</v>
      </c>
    </row>
    <row r="245" spans="1:19" ht="28.5" x14ac:dyDescent="0.6">
      <c r="A245" s="21" t="s">
        <v>6</v>
      </c>
      <c r="B245" s="20" t="s">
        <v>5</v>
      </c>
    </row>
    <row r="246" spans="1:19" ht="29.25" thickBot="1" x14ac:dyDescent="0.8">
      <c r="A246" s="19">
        <f>A244/12</f>
        <v>1.6666666666666666E-2</v>
      </c>
      <c r="B246" s="18">
        <v>5</v>
      </c>
    </row>
    <row r="247" spans="1:19" ht="28.5" x14ac:dyDescent="0.75">
      <c r="A247" s="213" t="s">
        <v>4</v>
      </c>
      <c r="B247" s="16">
        <f>B221*B246</f>
        <v>3562.9417185754869</v>
      </c>
    </row>
    <row r="248" spans="1:19" ht="28.5" x14ac:dyDescent="0.75">
      <c r="A248" s="211" t="s">
        <v>3</v>
      </c>
      <c r="B248" s="12">
        <f>B247/(1+A246)^B241</f>
        <v>3020.1107701612814</v>
      </c>
    </row>
    <row r="249" spans="1:19" ht="29.25" thickBot="1" x14ac:dyDescent="0.8">
      <c r="A249" s="209" t="s">
        <v>2</v>
      </c>
      <c r="B249" s="10">
        <f>B236/(1+A246)^B242</f>
        <v>0</v>
      </c>
    </row>
    <row r="250" spans="1:19" ht="29.25" thickBot="1" x14ac:dyDescent="0.8">
      <c r="A250" s="207" t="s">
        <v>1</v>
      </c>
      <c r="B250" s="6">
        <f>SUM(B248:B249)</f>
        <v>3020.1107701612814</v>
      </c>
    </row>
    <row r="252" spans="1:19" x14ac:dyDescent="0.6">
      <c r="A252" s="82" t="s">
        <v>440</v>
      </c>
    </row>
    <row r="253" spans="1:19" x14ac:dyDescent="0.6">
      <c r="A253" s="241" t="s">
        <v>59</v>
      </c>
      <c r="B253" s="241" t="s">
        <v>384</v>
      </c>
      <c r="C253" s="241" t="s">
        <v>386</v>
      </c>
      <c r="D253" s="241" t="s">
        <v>159</v>
      </c>
      <c r="E253" s="241" t="s">
        <v>59</v>
      </c>
      <c r="F253" s="241" t="s">
        <v>384</v>
      </c>
      <c r="G253" s="241" t="s">
        <v>386</v>
      </c>
      <c r="H253" s="241" t="s">
        <v>159</v>
      </c>
    </row>
    <row r="254" spans="1:19" x14ac:dyDescent="0.6">
      <c r="A254" s="241"/>
      <c r="B254" s="241" t="s">
        <v>385</v>
      </c>
      <c r="C254" s="241" t="s">
        <v>387</v>
      </c>
      <c r="D254" s="241" t="s">
        <v>388</v>
      </c>
      <c r="E254" s="241"/>
      <c r="F254" s="241" t="s">
        <v>385</v>
      </c>
      <c r="G254" s="241" t="s">
        <v>387</v>
      </c>
      <c r="H254" s="241" t="s">
        <v>388</v>
      </c>
    </row>
    <row r="255" spans="1:19" x14ac:dyDescent="0.6">
      <c r="A255" s="241" t="s">
        <v>389</v>
      </c>
      <c r="B255" s="241"/>
      <c r="C255" s="241"/>
      <c r="D255" s="241"/>
      <c r="E255" s="241" t="s">
        <v>390</v>
      </c>
      <c r="F255" s="241"/>
      <c r="G255" s="241"/>
      <c r="H255" s="241"/>
    </row>
    <row r="256" spans="1:19" x14ac:dyDescent="0.6">
      <c r="A256" s="241" t="s">
        <v>391</v>
      </c>
      <c r="B256" s="241"/>
      <c r="C256" s="241"/>
      <c r="D256" s="241"/>
      <c r="E256" s="241" t="s">
        <v>392</v>
      </c>
      <c r="F256" s="241"/>
      <c r="G256" s="241"/>
      <c r="H256" s="241"/>
    </row>
    <row r="257" spans="1:8" x14ac:dyDescent="0.6">
      <c r="A257" s="241" t="s">
        <v>393</v>
      </c>
      <c r="B257" s="240">
        <v>1338124</v>
      </c>
      <c r="C257" s="240">
        <v>1327977</v>
      </c>
      <c r="D257" s="242">
        <v>1</v>
      </c>
      <c r="E257" s="241" t="s">
        <v>394</v>
      </c>
      <c r="F257" s="240">
        <v>8653556</v>
      </c>
      <c r="G257" s="240">
        <v>7283915</v>
      </c>
      <c r="H257" s="242">
        <v>19</v>
      </c>
    </row>
    <row r="258" spans="1:8" x14ac:dyDescent="0.6">
      <c r="A258" s="241" t="s">
        <v>395</v>
      </c>
      <c r="B258" s="240">
        <v>166908</v>
      </c>
      <c r="C258" s="240">
        <v>166908</v>
      </c>
      <c r="D258" s="242">
        <v>0</v>
      </c>
      <c r="E258" s="241" t="s">
        <v>396</v>
      </c>
      <c r="F258" s="240">
        <v>16555697</v>
      </c>
      <c r="G258" s="240">
        <v>14048835</v>
      </c>
      <c r="H258" s="242">
        <v>18</v>
      </c>
    </row>
    <row r="259" spans="1:8" x14ac:dyDescent="0.6">
      <c r="A259" s="241" t="s">
        <v>397</v>
      </c>
      <c r="B259" s="240">
        <v>981704</v>
      </c>
      <c r="C259" s="240">
        <v>2798943</v>
      </c>
      <c r="D259" s="242">
        <v>-65</v>
      </c>
      <c r="E259" s="241" t="s">
        <v>398</v>
      </c>
      <c r="F259" s="242">
        <v>0</v>
      </c>
      <c r="G259" s="242">
        <v>0</v>
      </c>
      <c r="H259" s="241" t="s">
        <v>405</v>
      </c>
    </row>
    <row r="260" spans="1:8" x14ac:dyDescent="0.6">
      <c r="A260" s="241" t="s">
        <v>399</v>
      </c>
      <c r="B260" s="240">
        <v>15064652</v>
      </c>
      <c r="C260" s="240">
        <v>12594911</v>
      </c>
      <c r="D260" s="242">
        <v>20</v>
      </c>
      <c r="E260" s="241" t="s">
        <v>400</v>
      </c>
      <c r="F260" s="242">
        <v>0</v>
      </c>
      <c r="G260" s="240">
        <v>148858</v>
      </c>
      <c r="H260" s="241" t="s">
        <v>405</v>
      </c>
    </row>
    <row r="261" spans="1:8" x14ac:dyDescent="0.6">
      <c r="A261" s="241" t="s">
        <v>401</v>
      </c>
      <c r="B261" s="240">
        <v>22920566</v>
      </c>
      <c r="C261" s="240">
        <v>16653318</v>
      </c>
      <c r="D261" s="242">
        <v>38</v>
      </c>
      <c r="E261" s="241" t="s">
        <v>402</v>
      </c>
      <c r="F261" s="240">
        <v>22980715</v>
      </c>
      <c r="G261" s="240">
        <v>18622350</v>
      </c>
      <c r="H261" s="242">
        <v>23</v>
      </c>
    </row>
    <row r="262" spans="1:8" x14ac:dyDescent="0.6">
      <c r="A262" s="241" t="s">
        <v>403</v>
      </c>
      <c r="B262" s="240">
        <v>5743000</v>
      </c>
      <c r="C262" s="240">
        <v>5729121</v>
      </c>
      <c r="D262" s="242">
        <v>0</v>
      </c>
      <c r="E262" s="241" t="s">
        <v>404</v>
      </c>
      <c r="F262" s="242">
        <v>0</v>
      </c>
      <c r="G262" s="242">
        <v>0</v>
      </c>
      <c r="H262" s="241" t="s">
        <v>405</v>
      </c>
    </row>
    <row r="263" spans="1:8" x14ac:dyDescent="0.6">
      <c r="A263" s="241" t="s">
        <v>406</v>
      </c>
      <c r="B263" s="242">
        <v>0</v>
      </c>
      <c r="C263" s="242">
        <v>0</v>
      </c>
      <c r="D263" s="241" t="s">
        <v>405</v>
      </c>
      <c r="E263" s="241" t="s">
        <v>407</v>
      </c>
      <c r="F263" s="240">
        <v>10243164</v>
      </c>
      <c r="G263" s="240">
        <v>12116981</v>
      </c>
      <c r="H263" s="242">
        <v>-15</v>
      </c>
    </row>
    <row r="264" spans="1:8" x14ac:dyDescent="0.6">
      <c r="A264" s="241" t="s">
        <v>408</v>
      </c>
      <c r="B264" s="240">
        <v>46214954</v>
      </c>
      <c r="C264" s="240">
        <v>39271178</v>
      </c>
      <c r="D264" s="242">
        <v>18</v>
      </c>
      <c r="E264" s="241" t="s">
        <v>409</v>
      </c>
      <c r="F264" s="242">
        <v>0</v>
      </c>
      <c r="G264" s="242">
        <v>0</v>
      </c>
      <c r="H264" s="241" t="s">
        <v>405</v>
      </c>
    </row>
    <row r="265" spans="1:8" x14ac:dyDescent="0.6">
      <c r="A265" s="241" t="s">
        <v>410</v>
      </c>
      <c r="B265" s="241"/>
      <c r="C265" s="241"/>
      <c r="D265" s="241"/>
      <c r="E265" s="241" t="s">
        <v>411</v>
      </c>
      <c r="F265" s="240">
        <v>58433132</v>
      </c>
      <c r="G265" s="240">
        <v>52220939</v>
      </c>
      <c r="H265" s="242">
        <v>12</v>
      </c>
    </row>
    <row r="266" spans="1:8" x14ac:dyDescent="0.6">
      <c r="A266" s="241" t="s">
        <v>412</v>
      </c>
      <c r="B266" s="240">
        <v>3778802</v>
      </c>
      <c r="C266" s="240">
        <v>2660245</v>
      </c>
      <c r="D266" s="242">
        <v>42</v>
      </c>
      <c r="E266" s="241" t="s">
        <v>413</v>
      </c>
      <c r="F266" s="241"/>
      <c r="G266" s="241"/>
      <c r="H266" s="241"/>
    </row>
    <row r="267" spans="1:8" x14ac:dyDescent="0.6">
      <c r="A267" s="241" t="s">
        <v>414</v>
      </c>
      <c r="B267" s="240">
        <v>1183737</v>
      </c>
      <c r="C267" s="240">
        <v>1178549</v>
      </c>
      <c r="D267" s="242">
        <v>0</v>
      </c>
      <c r="E267" s="241" t="s">
        <v>415</v>
      </c>
      <c r="F267" s="240">
        <v>13146175</v>
      </c>
      <c r="G267" s="240">
        <v>10788450</v>
      </c>
      <c r="H267" s="242">
        <v>22</v>
      </c>
    </row>
    <row r="268" spans="1:8" x14ac:dyDescent="0.6">
      <c r="A268" s="241" t="s">
        <v>416</v>
      </c>
      <c r="B268" s="242">
        <v>0</v>
      </c>
      <c r="C268" s="242">
        <v>0</v>
      </c>
      <c r="D268" s="241" t="s">
        <v>405</v>
      </c>
      <c r="E268" s="241" t="s">
        <v>417</v>
      </c>
      <c r="F268" s="242">
        <v>0</v>
      </c>
      <c r="G268" s="242">
        <v>0</v>
      </c>
      <c r="H268" s="241" t="s">
        <v>405</v>
      </c>
    </row>
    <row r="269" spans="1:8" x14ac:dyDescent="0.6">
      <c r="A269" s="241" t="s">
        <v>418</v>
      </c>
      <c r="B269" s="240">
        <v>149495</v>
      </c>
      <c r="C269" s="240">
        <v>149495</v>
      </c>
      <c r="D269" s="242">
        <v>0</v>
      </c>
      <c r="E269" s="241" t="s">
        <v>419</v>
      </c>
      <c r="F269" s="240">
        <v>11986693</v>
      </c>
      <c r="G269" s="240">
        <v>14610088</v>
      </c>
      <c r="H269" s="242">
        <v>-18</v>
      </c>
    </row>
    <row r="270" spans="1:8" x14ac:dyDescent="0.6">
      <c r="A270" s="241" t="s">
        <v>420</v>
      </c>
      <c r="B270" s="240">
        <v>90140896</v>
      </c>
      <c r="C270" s="240">
        <v>89144811</v>
      </c>
      <c r="D270" s="242">
        <v>1</v>
      </c>
      <c r="E270" s="241" t="s">
        <v>421</v>
      </c>
      <c r="F270" s="240">
        <v>6191082</v>
      </c>
      <c r="G270" s="240">
        <v>5887310</v>
      </c>
      <c r="H270" s="242">
        <v>5</v>
      </c>
    </row>
    <row r="271" spans="1:8" x14ac:dyDescent="0.6">
      <c r="A271" s="241" t="s">
        <v>422</v>
      </c>
      <c r="B271" s="240">
        <v>567517</v>
      </c>
      <c r="C271" s="240">
        <v>548573</v>
      </c>
      <c r="D271" s="242">
        <v>3</v>
      </c>
      <c r="E271" s="241" t="s">
        <v>423</v>
      </c>
      <c r="F271" s="240">
        <v>31323950</v>
      </c>
      <c r="G271" s="240">
        <v>31285848</v>
      </c>
      <c r="H271" s="242">
        <v>0</v>
      </c>
    </row>
    <row r="272" spans="1:8" x14ac:dyDescent="0.6">
      <c r="A272" s="241" t="s">
        <v>424</v>
      </c>
      <c r="B272" s="240">
        <v>95820447</v>
      </c>
      <c r="C272" s="240">
        <v>93681673</v>
      </c>
      <c r="D272" s="242">
        <v>2</v>
      </c>
      <c r="E272" s="241" t="s">
        <v>425</v>
      </c>
      <c r="F272" s="240">
        <v>89757082</v>
      </c>
      <c r="G272" s="240">
        <v>83506787</v>
      </c>
      <c r="H272" s="242">
        <v>7</v>
      </c>
    </row>
    <row r="273" spans="1:8" x14ac:dyDescent="0.6">
      <c r="A273" s="241"/>
      <c r="B273" s="241"/>
      <c r="C273" s="241"/>
      <c r="D273" s="241"/>
      <c r="E273" s="241" t="s">
        <v>426</v>
      </c>
      <c r="F273" s="241"/>
      <c r="G273" s="241"/>
      <c r="H273" s="241"/>
    </row>
    <row r="274" spans="1:8" x14ac:dyDescent="0.6">
      <c r="A274" s="241"/>
      <c r="B274" s="241"/>
      <c r="C274" s="241"/>
      <c r="D274" s="241"/>
      <c r="E274" s="241" t="s">
        <v>84</v>
      </c>
      <c r="F274" s="240">
        <v>61503539</v>
      </c>
      <c r="G274" s="240">
        <v>61503539</v>
      </c>
      <c r="H274" s="242">
        <v>0</v>
      </c>
    </row>
    <row r="275" spans="1:8" x14ac:dyDescent="0.6">
      <c r="A275" s="241"/>
      <c r="B275" s="241"/>
      <c r="C275" s="241"/>
      <c r="D275" s="241"/>
      <c r="E275" s="241" t="s">
        <v>427</v>
      </c>
      <c r="F275" s="242">
        <v>0</v>
      </c>
      <c r="G275" s="242">
        <v>0</v>
      </c>
      <c r="H275" s="241" t="s">
        <v>405</v>
      </c>
    </row>
    <row r="276" spans="1:8" x14ac:dyDescent="0.6">
      <c r="A276" s="241"/>
      <c r="B276" s="241"/>
      <c r="C276" s="241"/>
      <c r="D276" s="241"/>
      <c r="E276" s="241" t="s">
        <v>428</v>
      </c>
      <c r="F276" s="242">
        <v>0</v>
      </c>
      <c r="G276" s="242">
        <v>0</v>
      </c>
      <c r="H276" s="241" t="s">
        <v>405</v>
      </c>
    </row>
    <row r="277" spans="1:8" x14ac:dyDescent="0.6">
      <c r="A277" s="241"/>
      <c r="B277" s="241"/>
      <c r="C277" s="241"/>
      <c r="D277" s="241"/>
      <c r="E277" s="241" t="s">
        <v>429</v>
      </c>
      <c r="F277" s="242">
        <v>0</v>
      </c>
      <c r="G277" s="242">
        <v>0</v>
      </c>
      <c r="H277" s="241" t="s">
        <v>405</v>
      </c>
    </row>
    <row r="278" spans="1:8" x14ac:dyDescent="0.6">
      <c r="A278" s="241"/>
      <c r="B278" s="241"/>
      <c r="C278" s="241"/>
      <c r="D278" s="241"/>
      <c r="E278" s="241" t="s">
        <v>430</v>
      </c>
      <c r="F278" s="240">
        <v>351199</v>
      </c>
      <c r="G278" s="240">
        <v>351199</v>
      </c>
      <c r="H278" s="242">
        <v>0</v>
      </c>
    </row>
    <row r="279" spans="1:8" x14ac:dyDescent="0.6">
      <c r="A279" s="241"/>
      <c r="B279" s="241"/>
      <c r="C279" s="241"/>
      <c r="D279" s="241"/>
      <c r="E279" s="241" t="s">
        <v>431</v>
      </c>
      <c r="F279" s="240">
        <v>411901</v>
      </c>
      <c r="G279" s="240">
        <v>411901</v>
      </c>
      <c r="H279" s="242">
        <v>0</v>
      </c>
    </row>
    <row r="280" spans="1:8" x14ac:dyDescent="0.6">
      <c r="A280" s="241"/>
      <c r="B280" s="241"/>
      <c r="C280" s="241"/>
      <c r="D280" s="241"/>
      <c r="E280" s="241" t="s">
        <v>432</v>
      </c>
      <c r="F280" s="242">
        <v>0</v>
      </c>
      <c r="G280" s="242">
        <v>0</v>
      </c>
      <c r="H280" s="241" t="s">
        <v>405</v>
      </c>
    </row>
    <row r="281" spans="1:8" x14ac:dyDescent="0.6">
      <c r="A281" s="241"/>
      <c r="B281" s="241"/>
      <c r="C281" s="241"/>
      <c r="D281" s="241"/>
      <c r="E281" s="241" t="s">
        <v>433</v>
      </c>
      <c r="F281" s="242">
        <v>0</v>
      </c>
      <c r="G281" s="242">
        <v>0</v>
      </c>
      <c r="H281" s="241" t="s">
        <v>405</v>
      </c>
    </row>
    <row r="282" spans="1:8" x14ac:dyDescent="0.6">
      <c r="A282" s="241"/>
      <c r="B282" s="241"/>
      <c r="C282" s="241"/>
      <c r="D282" s="241"/>
      <c r="E282" s="241" t="s">
        <v>434</v>
      </c>
      <c r="F282" s="242">
        <v>0</v>
      </c>
      <c r="G282" s="242">
        <v>0</v>
      </c>
      <c r="H282" s="241" t="s">
        <v>405</v>
      </c>
    </row>
    <row r="283" spans="1:8" x14ac:dyDescent="0.6">
      <c r="A283" s="241"/>
      <c r="B283" s="241"/>
      <c r="C283" s="241"/>
      <c r="D283" s="241"/>
      <c r="E283" s="241" t="s">
        <v>435</v>
      </c>
      <c r="F283" s="242">
        <v>0</v>
      </c>
      <c r="G283" s="242">
        <v>0</v>
      </c>
      <c r="H283" s="241" t="s">
        <v>405</v>
      </c>
    </row>
    <row r="284" spans="1:8" x14ac:dyDescent="0.6">
      <c r="A284" s="241"/>
      <c r="B284" s="241"/>
      <c r="C284" s="241"/>
      <c r="D284" s="241"/>
      <c r="E284" s="241" t="s">
        <v>436</v>
      </c>
      <c r="F284" s="240">
        <v>-9988320</v>
      </c>
      <c r="G284" s="240">
        <v>-12820575</v>
      </c>
      <c r="H284" s="242">
        <v>-22</v>
      </c>
    </row>
    <row r="285" spans="1:8" x14ac:dyDescent="0.6">
      <c r="A285" s="241"/>
      <c r="B285" s="241"/>
      <c r="C285" s="241"/>
      <c r="D285" s="241"/>
      <c r="E285" s="241" t="s">
        <v>437</v>
      </c>
      <c r="F285" s="240">
        <v>52278319</v>
      </c>
      <c r="G285" s="240">
        <v>49446064</v>
      </c>
      <c r="H285" s="242">
        <v>6</v>
      </c>
    </row>
    <row r="286" spans="1:8" x14ac:dyDescent="0.6">
      <c r="A286" s="241" t="s">
        <v>438</v>
      </c>
      <c r="B286" s="240">
        <v>142035401</v>
      </c>
      <c r="C286" s="240">
        <v>132952851</v>
      </c>
      <c r="D286" s="242">
        <v>7</v>
      </c>
      <c r="E286" s="241" t="s">
        <v>439</v>
      </c>
      <c r="F286" s="240">
        <v>142035401</v>
      </c>
      <c r="G286" s="240">
        <v>132952851</v>
      </c>
      <c r="H286" s="242">
        <v>7</v>
      </c>
    </row>
    <row r="287" spans="1:8" ht="23.25" thickBot="1" x14ac:dyDescent="0.65"/>
    <row r="288" spans="1:8" ht="25.5" x14ac:dyDescent="0.7">
      <c r="A288" s="640" t="s">
        <v>59</v>
      </c>
      <c r="B288" s="641" t="s">
        <v>81</v>
      </c>
      <c r="C288" s="641" t="s">
        <v>80</v>
      </c>
      <c r="D288" s="641" t="s">
        <v>79</v>
      </c>
      <c r="E288" s="641" t="s">
        <v>78</v>
      </c>
      <c r="F288" s="641" t="s">
        <v>74</v>
      </c>
      <c r="G288" s="641" t="s">
        <v>70</v>
      </c>
      <c r="H288" s="642" t="s">
        <v>69</v>
      </c>
    </row>
    <row r="289" spans="1:30" ht="26.25" thickBot="1" x14ac:dyDescent="0.75">
      <c r="A289" s="643" t="s">
        <v>437</v>
      </c>
      <c r="B289" s="644">
        <v>7367480</v>
      </c>
      <c r="C289" s="644">
        <v>38863841</v>
      </c>
      <c r="D289" s="645">
        <v>21008834</v>
      </c>
      <c r="E289" s="645">
        <v>12466281</v>
      </c>
      <c r="F289" s="645">
        <v>13668153</v>
      </c>
      <c r="G289" s="645">
        <v>49446064</v>
      </c>
      <c r="H289" s="646">
        <v>52278319</v>
      </c>
    </row>
    <row r="292" spans="1:30" x14ac:dyDescent="0.6">
      <c r="A292" s="629" t="s">
        <v>349</v>
      </c>
      <c r="B292" s="629" t="s">
        <v>350</v>
      </c>
      <c r="C292" s="629" t="s">
        <v>351</v>
      </c>
      <c r="D292" s="629" t="s">
        <v>473</v>
      </c>
      <c r="E292" s="629" t="s">
        <v>352</v>
      </c>
      <c r="F292" s="629" t="s">
        <v>353</v>
      </c>
      <c r="G292" s="629" t="s">
        <v>354</v>
      </c>
      <c r="H292" s="629" t="s">
        <v>355</v>
      </c>
      <c r="I292" s="629" t="s">
        <v>356</v>
      </c>
      <c r="J292" s="629" t="s">
        <v>357</v>
      </c>
      <c r="K292" s="629" t="s">
        <v>358</v>
      </c>
      <c r="L292" s="629" t="s">
        <v>359</v>
      </c>
      <c r="M292" s="629" t="s">
        <v>360</v>
      </c>
      <c r="N292" s="629" t="s">
        <v>361</v>
      </c>
      <c r="O292" s="635" t="s">
        <v>453</v>
      </c>
      <c r="Q292" s="629" t="s">
        <v>368</v>
      </c>
      <c r="R292" s="629" t="s">
        <v>369</v>
      </c>
      <c r="S292" s="629" t="s">
        <v>370</v>
      </c>
      <c r="T292" s="629" t="s">
        <v>371</v>
      </c>
      <c r="U292" s="629" t="s">
        <v>372</v>
      </c>
      <c r="V292" s="629" t="s">
        <v>373</v>
      </c>
      <c r="W292" s="629" t="s">
        <v>374</v>
      </c>
      <c r="X292" s="629" t="s">
        <v>375</v>
      </c>
      <c r="Y292" s="629" t="s">
        <v>376</v>
      </c>
      <c r="Z292" s="629" t="s">
        <v>377</v>
      </c>
      <c r="AA292" s="629" t="s">
        <v>378</v>
      </c>
      <c r="AB292" s="629" t="s">
        <v>379</v>
      </c>
      <c r="AC292" s="629" t="s">
        <v>380</v>
      </c>
      <c r="AD292" s="629" t="s">
        <v>361</v>
      </c>
    </row>
    <row r="293" spans="1:30" x14ac:dyDescent="0.6">
      <c r="A293" s="629" t="s">
        <v>296</v>
      </c>
      <c r="B293" s="630">
        <v>89434</v>
      </c>
      <c r="C293" s="630">
        <v>87149</v>
      </c>
      <c r="D293" s="630">
        <v>54284</v>
      </c>
      <c r="E293" s="630">
        <v>42046</v>
      </c>
      <c r="F293" s="630">
        <v>49104</v>
      </c>
      <c r="G293" s="630">
        <v>56953</v>
      </c>
      <c r="H293" s="630">
        <v>0</v>
      </c>
      <c r="I293" s="630">
        <v>0</v>
      </c>
      <c r="J293" s="630">
        <v>0</v>
      </c>
      <c r="K293" s="630">
        <v>0</v>
      </c>
      <c r="L293" s="630">
        <v>0</v>
      </c>
      <c r="M293" s="630">
        <v>0</v>
      </c>
      <c r="N293" s="630">
        <f>SUM(B293:M293)</f>
        <v>378970</v>
      </c>
      <c r="O293" s="707">
        <f>SUM(R293:W293)</f>
        <v>317566</v>
      </c>
      <c r="Q293" s="629" t="s">
        <v>296</v>
      </c>
      <c r="R293" s="630">
        <v>63326</v>
      </c>
      <c r="S293" s="630">
        <v>65674</v>
      </c>
      <c r="T293" s="630">
        <v>53332</v>
      </c>
      <c r="U293" s="630">
        <v>38626</v>
      </c>
      <c r="V293" s="630">
        <v>41155</v>
      </c>
      <c r="W293" s="630">
        <v>55453</v>
      </c>
      <c r="X293" s="630">
        <v>31243</v>
      </c>
      <c r="Y293" s="630">
        <v>87845</v>
      </c>
      <c r="Z293" s="630">
        <v>91936</v>
      </c>
      <c r="AA293" s="630">
        <v>85242</v>
      </c>
      <c r="AB293" s="630">
        <v>77714</v>
      </c>
      <c r="AC293" s="630">
        <v>53291</v>
      </c>
      <c r="AD293" s="630">
        <v>744837</v>
      </c>
    </row>
    <row r="294" spans="1:30" x14ac:dyDescent="0.6">
      <c r="A294" s="629" t="s">
        <v>295</v>
      </c>
      <c r="B294" s="630">
        <v>43586</v>
      </c>
      <c r="C294" s="630">
        <v>43661</v>
      </c>
      <c r="D294" s="630">
        <v>62888</v>
      </c>
      <c r="E294" s="630">
        <v>65571</v>
      </c>
      <c r="F294" s="630">
        <v>33621</v>
      </c>
      <c r="G294" s="630">
        <v>34563</v>
      </c>
      <c r="H294" s="630">
        <v>0</v>
      </c>
      <c r="I294" s="630">
        <v>0</v>
      </c>
      <c r="J294" s="630">
        <v>0</v>
      </c>
      <c r="K294" s="630">
        <v>0</v>
      </c>
      <c r="L294" s="630">
        <v>0</v>
      </c>
      <c r="M294" s="630">
        <v>0</v>
      </c>
      <c r="N294" s="630">
        <f t="shared" ref="N294:N298" si="122">SUM(B294:M294)</f>
        <v>283890</v>
      </c>
      <c r="O294" s="707">
        <f t="shared" ref="O294:O299" si="123">SUM(R294:W294)</f>
        <v>271906</v>
      </c>
      <c r="Q294" s="629" t="s">
        <v>295</v>
      </c>
      <c r="R294" s="630">
        <v>39111</v>
      </c>
      <c r="S294" s="630">
        <v>50024</v>
      </c>
      <c r="T294" s="630">
        <v>41207</v>
      </c>
      <c r="U294" s="630">
        <v>33526</v>
      </c>
      <c r="V294" s="630">
        <v>55027</v>
      </c>
      <c r="W294" s="630">
        <v>53011</v>
      </c>
      <c r="X294" s="630">
        <v>67534</v>
      </c>
      <c r="Y294" s="630">
        <v>51934</v>
      </c>
      <c r="Z294" s="630">
        <v>69922</v>
      </c>
      <c r="AA294" s="630">
        <v>50431</v>
      </c>
      <c r="AB294" s="630">
        <v>46986</v>
      </c>
      <c r="AC294" s="630">
        <v>52469</v>
      </c>
      <c r="AD294" s="630">
        <v>611182</v>
      </c>
    </row>
    <row r="295" spans="1:30" x14ac:dyDescent="0.6">
      <c r="A295" s="629" t="s">
        <v>293</v>
      </c>
      <c r="B295" s="630">
        <v>44932</v>
      </c>
      <c r="C295" s="630">
        <v>74218</v>
      </c>
      <c r="D295" s="630">
        <v>59990</v>
      </c>
      <c r="E295" s="630">
        <v>64519</v>
      </c>
      <c r="F295" s="630">
        <v>72939</v>
      </c>
      <c r="G295" s="630">
        <v>81752</v>
      </c>
      <c r="H295" s="630">
        <v>0</v>
      </c>
      <c r="I295" s="630">
        <v>0</v>
      </c>
      <c r="J295" s="630">
        <v>0</v>
      </c>
      <c r="K295" s="630">
        <v>0</v>
      </c>
      <c r="L295" s="630">
        <v>0</v>
      </c>
      <c r="M295" s="630">
        <v>0</v>
      </c>
      <c r="N295" s="630">
        <f t="shared" si="122"/>
        <v>398350</v>
      </c>
      <c r="O295" s="707">
        <f t="shared" si="123"/>
        <v>419171</v>
      </c>
      <c r="Q295" s="629" t="s">
        <v>293</v>
      </c>
      <c r="R295" s="630">
        <v>80475</v>
      </c>
      <c r="S295" s="630">
        <v>85607</v>
      </c>
      <c r="T295" s="630">
        <v>53257</v>
      </c>
      <c r="U295" s="630">
        <v>73227</v>
      </c>
      <c r="V295" s="630">
        <v>77811</v>
      </c>
      <c r="W295" s="630">
        <v>48794</v>
      </c>
      <c r="X295" s="630">
        <v>38635</v>
      </c>
      <c r="Y295" s="630">
        <v>54043</v>
      </c>
      <c r="Z295" s="630">
        <v>35682</v>
      </c>
      <c r="AA295" s="630">
        <v>59714</v>
      </c>
      <c r="AB295" s="630">
        <v>49773</v>
      </c>
      <c r="AC295" s="630">
        <v>67262</v>
      </c>
      <c r="AD295" s="630">
        <v>724280</v>
      </c>
    </row>
    <row r="296" spans="1:30" x14ac:dyDescent="0.6">
      <c r="A296" s="629" t="s">
        <v>291</v>
      </c>
      <c r="B296" s="630">
        <v>2568</v>
      </c>
      <c r="C296" s="630">
        <v>11089</v>
      </c>
      <c r="D296" s="630">
        <v>2929</v>
      </c>
      <c r="E296" s="630">
        <v>0</v>
      </c>
      <c r="F296" s="630">
        <v>1456</v>
      </c>
      <c r="G296" s="630">
        <v>1691</v>
      </c>
      <c r="H296" s="630">
        <v>0</v>
      </c>
      <c r="I296" s="630">
        <v>0</v>
      </c>
      <c r="J296" s="630">
        <v>0</v>
      </c>
      <c r="K296" s="630">
        <v>0</v>
      </c>
      <c r="L296" s="630">
        <v>0</v>
      </c>
      <c r="M296" s="630">
        <v>0</v>
      </c>
      <c r="N296" s="630">
        <f t="shared" si="122"/>
        <v>19733</v>
      </c>
      <c r="O296" s="707">
        <f t="shared" si="123"/>
        <v>40580</v>
      </c>
      <c r="Q296" s="629" t="s">
        <v>291</v>
      </c>
      <c r="R296" s="630">
        <v>12294</v>
      </c>
      <c r="S296" s="630">
        <v>11936</v>
      </c>
      <c r="T296" s="630">
        <v>1737</v>
      </c>
      <c r="U296" s="630">
        <v>54</v>
      </c>
      <c r="V296" s="630">
        <v>3940</v>
      </c>
      <c r="W296" s="630">
        <v>10619</v>
      </c>
      <c r="X296" s="630">
        <v>2986</v>
      </c>
      <c r="Y296" s="630">
        <v>5515</v>
      </c>
      <c r="Z296" s="630">
        <v>2287</v>
      </c>
      <c r="AA296" s="630">
        <v>5756</v>
      </c>
      <c r="AB296" s="630">
        <v>3406</v>
      </c>
      <c r="AC296" s="630">
        <v>7354</v>
      </c>
      <c r="AD296" s="630">
        <v>67884</v>
      </c>
    </row>
    <row r="297" spans="1:30" x14ac:dyDescent="0.6">
      <c r="A297" s="629" t="s">
        <v>290</v>
      </c>
      <c r="B297" s="630">
        <v>0</v>
      </c>
      <c r="C297" s="630">
        <v>1350</v>
      </c>
      <c r="D297" s="630">
        <v>2100</v>
      </c>
      <c r="E297" s="630">
        <v>1250</v>
      </c>
      <c r="F297" s="630">
        <v>2200</v>
      </c>
      <c r="G297" s="630">
        <v>1820</v>
      </c>
      <c r="H297" s="630">
        <v>0</v>
      </c>
      <c r="I297" s="630">
        <v>0</v>
      </c>
      <c r="J297" s="630">
        <v>0</v>
      </c>
      <c r="K297" s="630">
        <v>0</v>
      </c>
      <c r="L297" s="630">
        <v>0</v>
      </c>
      <c r="M297" s="630">
        <v>0</v>
      </c>
      <c r="N297" s="630">
        <f t="shared" si="122"/>
        <v>8720</v>
      </c>
      <c r="O297" s="707">
        <f t="shared" si="123"/>
        <v>4715</v>
      </c>
      <c r="Q297" s="629" t="s">
        <v>290</v>
      </c>
      <c r="R297" s="630">
        <v>0</v>
      </c>
      <c r="S297" s="630">
        <v>0</v>
      </c>
      <c r="T297" s="630">
        <v>0</v>
      </c>
      <c r="U297" s="630">
        <v>1163</v>
      </c>
      <c r="V297" s="630">
        <v>2632</v>
      </c>
      <c r="W297" s="630">
        <v>920</v>
      </c>
      <c r="X297" s="630">
        <v>0</v>
      </c>
      <c r="Y297" s="630">
        <v>0</v>
      </c>
      <c r="Z297" s="630">
        <v>1023</v>
      </c>
      <c r="AA297" s="630">
        <v>0</v>
      </c>
      <c r="AB297" s="630">
        <v>80</v>
      </c>
      <c r="AC297" s="630">
        <v>20</v>
      </c>
      <c r="AD297" s="630">
        <v>5838</v>
      </c>
    </row>
    <row r="298" spans="1:30" x14ac:dyDescent="0.6">
      <c r="A298" s="629" t="s">
        <v>289</v>
      </c>
      <c r="B298" s="630">
        <v>0</v>
      </c>
      <c r="C298" s="630">
        <v>0</v>
      </c>
      <c r="D298" s="630">
        <v>17089</v>
      </c>
      <c r="E298" s="630">
        <v>5600</v>
      </c>
      <c r="F298" s="630">
        <v>13418</v>
      </c>
      <c r="G298" s="630">
        <v>11331</v>
      </c>
      <c r="H298" s="630">
        <v>0</v>
      </c>
      <c r="I298" s="630">
        <v>0</v>
      </c>
      <c r="J298" s="630">
        <v>0</v>
      </c>
      <c r="K298" s="630">
        <v>0</v>
      </c>
      <c r="L298" s="630">
        <v>0</v>
      </c>
      <c r="M298" s="630">
        <v>0</v>
      </c>
      <c r="N298" s="630">
        <f t="shared" si="122"/>
        <v>47438</v>
      </c>
      <c r="O298" s="707">
        <f t="shared" si="123"/>
        <v>24448</v>
      </c>
      <c r="Q298" s="629" t="s">
        <v>289</v>
      </c>
      <c r="R298" s="630">
        <v>0</v>
      </c>
      <c r="S298" s="630">
        <v>17</v>
      </c>
      <c r="T298" s="630">
        <v>9726</v>
      </c>
      <c r="U298" s="630">
        <v>9271</v>
      </c>
      <c r="V298" s="630">
        <v>5407</v>
      </c>
      <c r="W298" s="630">
        <v>27</v>
      </c>
      <c r="X298" s="630">
        <v>4490</v>
      </c>
      <c r="Y298" s="630">
        <v>0</v>
      </c>
      <c r="Z298" s="630">
        <v>0</v>
      </c>
      <c r="AA298" s="630">
        <v>26</v>
      </c>
      <c r="AB298" s="630">
        <v>599</v>
      </c>
      <c r="AC298" s="630">
        <v>1950</v>
      </c>
      <c r="AD298" s="630">
        <v>31513</v>
      </c>
    </row>
    <row r="299" spans="1:30" x14ac:dyDescent="0.6">
      <c r="A299" s="629" t="s">
        <v>288</v>
      </c>
      <c r="B299" s="630">
        <v>0</v>
      </c>
      <c r="C299" s="630">
        <v>0</v>
      </c>
      <c r="D299" s="630">
        <v>0</v>
      </c>
      <c r="E299" s="630">
        <v>0</v>
      </c>
      <c r="F299" s="630">
        <v>0</v>
      </c>
      <c r="G299" s="630">
        <v>0</v>
      </c>
      <c r="H299" s="630">
        <v>0</v>
      </c>
      <c r="I299" s="630">
        <v>0</v>
      </c>
      <c r="J299" s="630">
        <v>0</v>
      </c>
      <c r="K299" s="630">
        <v>0</v>
      </c>
      <c r="L299" s="630">
        <v>0</v>
      </c>
      <c r="M299" s="630">
        <v>0</v>
      </c>
      <c r="N299" s="630">
        <v>0</v>
      </c>
      <c r="O299" s="707">
        <f t="shared" si="123"/>
        <v>0</v>
      </c>
      <c r="Q299" s="629" t="s">
        <v>288</v>
      </c>
      <c r="R299" s="630">
        <v>0</v>
      </c>
      <c r="S299" s="630">
        <v>0</v>
      </c>
      <c r="T299" s="630">
        <v>0</v>
      </c>
      <c r="U299" s="630">
        <v>0</v>
      </c>
      <c r="V299" s="630">
        <v>0</v>
      </c>
      <c r="W299" s="630">
        <v>0</v>
      </c>
      <c r="X299" s="630">
        <v>0</v>
      </c>
      <c r="Y299" s="630">
        <v>0</v>
      </c>
      <c r="Z299" s="630">
        <v>0</v>
      </c>
      <c r="AA299" s="630">
        <v>0</v>
      </c>
      <c r="AB299" s="630">
        <v>0</v>
      </c>
      <c r="AC299" s="630">
        <v>0</v>
      </c>
      <c r="AD299" s="630">
        <v>0</v>
      </c>
    </row>
    <row r="300" spans="1:30" x14ac:dyDescent="0.6">
      <c r="A300" s="668"/>
      <c r="B300" s="670">
        <f>SUM(B293:B299)</f>
        <v>180520</v>
      </c>
      <c r="C300" s="670">
        <f t="shared" ref="C300:G300" si="124">SUM(C293:C299)</f>
        <v>217467</v>
      </c>
      <c r="D300" s="670">
        <f t="shared" si="124"/>
        <v>199280</v>
      </c>
      <c r="E300" s="670">
        <f t="shared" si="124"/>
        <v>178986</v>
      </c>
      <c r="F300" s="670">
        <f t="shared" si="124"/>
        <v>172738</v>
      </c>
      <c r="G300" s="670">
        <f t="shared" si="124"/>
        <v>188110</v>
      </c>
      <c r="H300" s="668"/>
      <c r="I300" s="668"/>
      <c r="J300" s="668"/>
      <c r="K300" s="668"/>
      <c r="L300" s="668"/>
      <c r="M300" s="668"/>
      <c r="N300" s="908">
        <f>SUM(N293:N299)</f>
        <v>1137101</v>
      </c>
      <c r="O300" s="908">
        <f>SUM(O293:O299)</f>
        <v>1078386</v>
      </c>
      <c r="Q300" s="668"/>
      <c r="R300" s="670">
        <f>SUM(R293:R299)</f>
        <v>195206</v>
      </c>
      <c r="S300" s="670">
        <f t="shared" ref="S300:AC300" si="125">SUM(S293:S299)</f>
        <v>213258</v>
      </c>
      <c r="T300" s="670">
        <f t="shared" si="125"/>
        <v>159259</v>
      </c>
      <c r="U300" s="670">
        <f t="shared" si="125"/>
        <v>155867</v>
      </c>
      <c r="V300" s="670">
        <f t="shared" si="125"/>
        <v>185972</v>
      </c>
      <c r="W300" s="670">
        <f t="shared" si="125"/>
        <v>168824</v>
      </c>
      <c r="X300" s="670">
        <f t="shared" si="125"/>
        <v>144888</v>
      </c>
      <c r="Y300" s="670">
        <f t="shared" si="125"/>
        <v>199337</v>
      </c>
      <c r="Z300" s="670">
        <f t="shared" si="125"/>
        <v>200850</v>
      </c>
      <c r="AA300" s="670">
        <f t="shared" si="125"/>
        <v>201169</v>
      </c>
      <c r="AB300" s="670">
        <f t="shared" si="125"/>
        <v>178558</v>
      </c>
      <c r="AC300" s="670">
        <f t="shared" si="125"/>
        <v>182346</v>
      </c>
      <c r="AD300" s="669"/>
    </row>
    <row r="301" spans="1:30" x14ac:dyDescent="0.6">
      <c r="A301" s="668"/>
      <c r="B301" s="668"/>
      <c r="C301" s="668"/>
      <c r="D301" s="668"/>
      <c r="E301" s="668"/>
      <c r="F301" s="668"/>
      <c r="G301" s="668"/>
      <c r="H301" s="668"/>
      <c r="I301" s="668"/>
      <c r="J301" s="668"/>
      <c r="K301" s="668"/>
      <c r="L301" s="668"/>
      <c r="M301" s="668"/>
      <c r="N301" s="668"/>
      <c r="Q301" s="668"/>
      <c r="R301" s="668"/>
      <c r="S301" s="668"/>
      <c r="T301" s="668"/>
      <c r="U301" s="668"/>
      <c r="V301" s="668"/>
      <c r="W301" s="668"/>
      <c r="X301" s="668"/>
      <c r="Y301" s="668"/>
      <c r="Z301" s="668"/>
      <c r="AA301" s="668"/>
      <c r="AB301" s="668"/>
      <c r="AC301" s="668"/>
      <c r="AD301" s="669"/>
    </row>
    <row r="302" spans="1:30" x14ac:dyDescent="0.6">
      <c r="A302" s="628" t="s">
        <v>362</v>
      </c>
      <c r="B302" s="628" t="s">
        <v>350</v>
      </c>
      <c r="C302" s="628" t="s">
        <v>351</v>
      </c>
      <c r="D302" s="628" t="s">
        <v>473</v>
      </c>
      <c r="E302" s="628" t="s">
        <v>352</v>
      </c>
      <c r="F302" s="628" t="s">
        <v>353</v>
      </c>
      <c r="G302" s="628" t="s">
        <v>354</v>
      </c>
      <c r="H302" s="628" t="s">
        <v>355</v>
      </c>
      <c r="I302" s="628" t="s">
        <v>356</v>
      </c>
      <c r="J302" s="628" t="s">
        <v>357</v>
      </c>
      <c r="K302" s="628" t="s">
        <v>358</v>
      </c>
      <c r="L302" s="628" t="s">
        <v>359</v>
      </c>
      <c r="M302" s="628" t="s">
        <v>360</v>
      </c>
      <c r="N302" s="628" t="s">
        <v>361</v>
      </c>
      <c r="O302" s="635" t="s">
        <v>453</v>
      </c>
      <c r="Q302" s="628" t="s">
        <v>381</v>
      </c>
      <c r="R302" s="628" t="s">
        <v>369</v>
      </c>
      <c r="S302" s="628" t="s">
        <v>370</v>
      </c>
      <c r="T302" s="628" t="s">
        <v>371</v>
      </c>
      <c r="U302" s="628" t="s">
        <v>372</v>
      </c>
      <c r="V302" s="628" t="s">
        <v>373</v>
      </c>
      <c r="W302" s="628" t="s">
        <v>374</v>
      </c>
      <c r="X302" s="628" t="s">
        <v>375</v>
      </c>
      <c r="Y302" s="628" t="s">
        <v>376</v>
      </c>
      <c r="Z302" s="628" t="s">
        <v>377</v>
      </c>
      <c r="AA302" s="628" t="s">
        <v>378</v>
      </c>
      <c r="AB302" s="628" t="s">
        <v>379</v>
      </c>
      <c r="AC302" s="628" t="s">
        <v>380</v>
      </c>
      <c r="AD302" s="628" t="s">
        <v>361</v>
      </c>
    </row>
    <row r="303" spans="1:30" x14ac:dyDescent="0.6">
      <c r="A303" s="631" t="s">
        <v>296</v>
      </c>
      <c r="B303" s="631">
        <v>71350</v>
      </c>
      <c r="C303" s="631">
        <v>76821</v>
      </c>
      <c r="D303" s="631">
        <v>60048</v>
      </c>
      <c r="E303" s="631">
        <v>56847</v>
      </c>
      <c r="F303" s="631">
        <v>86194</v>
      </c>
      <c r="G303" s="631">
        <v>69031</v>
      </c>
      <c r="H303" s="631">
        <v>0</v>
      </c>
      <c r="I303" s="631">
        <v>0</v>
      </c>
      <c r="J303" s="631">
        <v>0</v>
      </c>
      <c r="K303" s="631">
        <v>0</v>
      </c>
      <c r="L303" s="631">
        <v>0</v>
      </c>
      <c r="M303" s="631">
        <v>0</v>
      </c>
      <c r="N303" s="631">
        <f>SUM(B303:M303)</f>
        <v>420291</v>
      </c>
      <c r="O303" s="707">
        <f>SUM(R303:W303)</f>
        <v>255913</v>
      </c>
      <c r="Q303" s="631" t="s">
        <v>296</v>
      </c>
      <c r="R303" s="631">
        <v>28210</v>
      </c>
      <c r="S303" s="631">
        <v>54008</v>
      </c>
      <c r="T303" s="631">
        <v>28986</v>
      </c>
      <c r="U303" s="631">
        <v>56510</v>
      </c>
      <c r="V303" s="631">
        <v>43154</v>
      </c>
      <c r="W303" s="631">
        <v>45045</v>
      </c>
      <c r="X303" s="631">
        <v>32308</v>
      </c>
      <c r="Y303" s="631">
        <v>57715</v>
      </c>
      <c r="Z303" s="631">
        <v>76825</v>
      </c>
      <c r="AA303" s="631">
        <v>41329</v>
      </c>
      <c r="AB303" s="631">
        <v>78325</v>
      </c>
      <c r="AC303" s="631">
        <v>129342</v>
      </c>
      <c r="AD303" s="631">
        <v>671757</v>
      </c>
    </row>
    <row r="304" spans="1:30" x14ac:dyDescent="0.6">
      <c r="A304" s="631" t="s">
        <v>295</v>
      </c>
      <c r="B304" s="631">
        <v>41049</v>
      </c>
      <c r="C304" s="631">
        <v>54671</v>
      </c>
      <c r="D304" s="631">
        <v>54368</v>
      </c>
      <c r="E304" s="631">
        <v>59074</v>
      </c>
      <c r="F304" s="631">
        <v>62750</v>
      </c>
      <c r="G304" s="631">
        <v>43927</v>
      </c>
      <c r="H304" s="631">
        <v>0</v>
      </c>
      <c r="I304" s="631">
        <v>0</v>
      </c>
      <c r="J304" s="631">
        <v>0</v>
      </c>
      <c r="K304" s="631">
        <v>0</v>
      </c>
      <c r="L304" s="631">
        <v>0</v>
      </c>
      <c r="M304" s="631">
        <v>0</v>
      </c>
      <c r="N304" s="631">
        <f t="shared" ref="N304:N308" si="126">SUM(B304:M304)</f>
        <v>315839</v>
      </c>
      <c r="O304" s="707">
        <f t="shared" ref="O304:O308" si="127">SUM(R304:W304)</f>
        <v>218951</v>
      </c>
      <c r="Q304" s="631" t="s">
        <v>295</v>
      </c>
      <c r="R304" s="631">
        <v>18736</v>
      </c>
      <c r="S304" s="631">
        <v>48523</v>
      </c>
      <c r="T304" s="631">
        <v>33458</v>
      </c>
      <c r="U304" s="631">
        <v>40029</v>
      </c>
      <c r="V304" s="631">
        <v>47164</v>
      </c>
      <c r="W304" s="631">
        <v>31041</v>
      </c>
      <c r="X304" s="631">
        <v>42881</v>
      </c>
      <c r="Y304" s="631">
        <v>47856</v>
      </c>
      <c r="Z304" s="631">
        <v>69210</v>
      </c>
      <c r="AA304" s="631">
        <v>44260</v>
      </c>
      <c r="AB304" s="631">
        <v>83101</v>
      </c>
      <c r="AC304" s="631">
        <v>71836</v>
      </c>
      <c r="AD304" s="631">
        <v>578095</v>
      </c>
    </row>
    <row r="305" spans="1:30" x14ac:dyDescent="0.6">
      <c r="A305" s="631" t="s">
        <v>293</v>
      </c>
      <c r="B305" s="631">
        <v>18794</v>
      </c>
      <c r="C305" s="631">
        <v>91180</v>
      </c>
      <c r="D305" s="631">
        <v>77260</v>
      </c>
      <c r="E305" s="631">
        <v>79159</v>
      </c>
      <c r="F305" s="631">
        <v>84468</v>
      </c>
      <c r="G305" s="631">
        <v>80111</v>
      </c>
      <c r="H305" s="631">
        <v>0</v>
      </c>
      <c r="I305" s="631">
        <v>0</v>
      </c>
      <c r="J305" s="631">
        <v>0</v>
      </c>
      <c r="K305" s="631">
        <v>0</v>
      </c>
      <c r="L305" s="631">
        <v>0</v>
      </c>
      <c r="M305" s="631">
        <v>0</v>
      </c>
      <c r="N305" s="631">
        <f t="shared" si="126"/>
        <v>430972</v>
      </c>
      <c r="O305" s="707">
        <f t="shared" si="127"/>
        <v>373013</v>
      </c>
      <c r="Q305" s="631" t="s">
        <v>293</v>
      </c>
      <c r="R305" s="631">
        <v>38648</v>
      </c>
      <c r="S305" s="631">
        <v>94841</v>
      </c>
      <c r="T305" s="631">
        <v>38146</v>
      </c>
      <c r="U305" s="631">
        <v>81730</v>
      </c>
      <c r="V305" s="631">
        <v>51216</v>
      </c>
      <c r="W305" s="631">
        <v>68432</v>
      </c>
      <c r="X305" s="631">
        <v>35821</v>
      </c>
      <c r="Y305" s="631">
        <v>60447</v>
      </c>
      <c r="Z305" s="631">
        <v>834</v>
      </c>
      <c r="AA305" s="631">
        <v>59493</v>
      </c>
      <c r="AB305" s="631">
        <v>54786</v>
      </c>
      <c r="AC305" s="631">
        <v>77183</v>
      </c>
      <c r="AD305" s="631">
        <v>661577</v>
      </c>
    </row>
    <row r="306" spans="1:30" x14ac:dyDescent="0.6">
      <c r="A306" s="631" t="s">
        <v>291</v>
      </c>
      <c r="B306" s="631">
        <v>3627</v>
      </c>
      <c r="C306" s="631">
        <v>5303</v>
      </c>
      <c r="D306" s="631">
        <v>6472</v>
      </c>
      <c r="E306" s="631">
        <v>4588</v>
      </c>
      <c r="F306" s="631">
        <v>2536</v>
      </c>
      <c r="G306" s="631">
        <v>534</v>
      </c>
      <c r="H306" s="631">
        <v>0</v>
      </c>
      <c r="I306" s="631">
        <v>0</v>
      </c>
      <c r="J306" s="631">
        <v>0</v>
      </c>
      <c r="K306" s="631">
        <v>0</v>
      </c>
      <c r="L306" s="631">
        <v>0</v>
      </c>
      <c r="M306" s="631">
        <v>0</v>
      </c>
      <c r="N306" s="631">
        <f t="shared" si="126"/>
        <v>23060</v>
      </c>
      <c r="O306" s="707">
        <f t="shared" si="127"/>
        <v>27611</v>
      </c>
      <c r="Q306" s="631" t="s">
        <v>291</v>
      </c>
      <c r="R306" s="631">
        <v>3084</v>
      </c>
      <c r="S306" s="631">
        <v>6547</v>
      </c>
      <c r="T306" s="631">
        <v>8833</v>
      </c>
      <c r="U306" s="631">
        <v>7102</v>
      </c>
      <c r="V306" s="631">
        <v>1635</v>
      </c>
      <c r="W306" s="631">
        <v>410</v>
      </c>
      <c r="X306" s="631">
        <v>3311</v>
      </c>
      <c r="Y306" s="631">
        <v>8973</v>
      </c>
      <c r="Z306" s="631">
        <v>438</v>
      </c>
      <c r="AA306" s="631">
        <v>1053</v>
      </c>
      <c r="AB306" s="631">
        <v>9005</v>
      </c>
      <c r="AC306" s="631">
        <v>3796</v>
      </c>
      <c r="AD306" s="631">
        <v>54187</v>
      </c>
    </row>
    <row r="307" spans="1:30" x14ac:dyDescent="0.6">
      <c r="A307" s="631" t="s">
        <v>290</v>
      </c>
      <c r="B307" s="631">
        <v>240</v>
      </c>
      <c r="C307" s="631">
        <v>280</v>
      </c>
      <c r="D307" s="631">
        <v>0</v>
      </c>
      <c r="E307" s="631">
        <v>0</v>
      </c>
      <c r="F307" s="631">
        <v>44</v>
      </c>
      <c r="G307" s="631">
        <v>544</v>
      </c>
      <c r="H307" s="631">
        <v>0</v>
      </c>
      <c r="I307" s="631">
        <v>0</v>
      </c>
      <c r="J307" s="631">
        <v>0</v>
      </c>
      <c r="K307" s="631">
        <v>0</v>
      </c>
      <c r="L307" s="631">
        <v>0</v>
      </c>
      <c r="M307" s="631">
        <v>0</v>
      </c>
      <c r="N307" s="631">
        <f t="shared" si="126"/>
        <v>1108</v>
      </c>
      <c r="O307" s="707">
        <f t="shared" si="127"/>
        <v>440</v>
      </c>
      <c r="Q307" s="631" t="s">
        <v>290</v>
      </c>
      <c r="R307" s="631">
        <v>0</v>
      </c>
      <c r="S307" s="631">
        <v>0</v>
      </c>
      <c r="T307" s="631">
        <v>161</v>
      </c>
      <c r="U307" s="631">
        <v>279</v>
      </c>
      <c r="V307" s="631">
        <v>0</v>
      </c>
      <c r="W307" s="631">
        <v>0</v>
      </c>
      <c r="X307" s="631">
        <v>0</v>
      </c>
      <c r="Y307" s="631">
        <v>0</v>
      </c>
      <c r="Z307" s="631">
        <v>193</v>
      </c>
      <c r="AA307" s="631">
        <v>676</v>
      </c>
      <c r="AB307" s="631">
        <v>788</v>
      </c>
      <c r="AC307" s="631">
        <v>319</v>
      </c>
      <c r="AD307" s="631">
        <v>2416</v>
      </c>
    </row>
    <row r="308" spans="1:30" x14ac:dyDescent="0.6">
      <c r="A308" s="631" t="s">
        <v>289</v>
      </c>
      <c r="B308" s="631">
        <v>297</v>
      </c>
      <c r="C308" s="631">
        <v>1816</v>
      </c>
      <c r="D308" s="631">
        <v>418</v>
      </c>
      <c r="E308" s="631">
        <v>479</v>
      </c>
      <c r="F308" s="631">
        <v>1155</v>
      </c>
      <c r="G308" s="631">
        <v>2390</v>
      </c>
      <c r="H308" s="631">
        <v>0</v>
      </c>
      <c r="I308" s="631">
        <v>0</v>
      </c>
      <c r="J308" s="631">
        <v>0</v>
      </c>
      <c r="K308" s="631">
        <v>0</v>
      </c>
      <c r="L308" s="631">
        <v>0</v>
      </c>
      <c r="M308" s="631">
        <v>0</v>
      </c>
      <c r="N308" s="631">
        <f t="shared" si="126"/>
        <v>6555</v>
      </c>
      <c r="O308" s="707">
        <f t="shared" si="127"/>
        <v>11526</v>
      </c>
      <c r="Q308" s="631" t="s">
        <v>289</v>
      </c>
      <c r="R308" s="631">
        <v>23</v>
      </c>
      <c r="S308" s="631">
        <v>51</v>
      </c>
      <c r="T308" s="631">
        <v>7585</v>
      </c>
      <c r="U308" s="631">
        <v>2344</v>
      </c>
      <c r="V308" s="631">
        <v>1053</v>
      </c>
      <c r="W308" s="631">
        <v>470</v>
      </c>
      <c r="X308" s="631">
        <v>989</v>
      </c>
      <c r="Y308" s="631">
        <v>3570</v>
      </c>
      <c r="Z308" s="631">
        <v>2653</v>
      </c>
      <c r="AA308" s="631">
        <v>1912</v>
      </c>
      <c r="AB308" s="631">
        <v>2747</v>
      </c>
      <c r="AC308" s="631">
        <v>4483</v>
      </c>
      <c r="AD308" s="631">
        <v>27880</v>
      </c>
    </row>
    <row r="309" spans="1:30" x14ac:dyDescent="0.6">
      <c r="A309" s="631" t="s">
        <v>288</v>
      </c>
      <c r="B309" s="631">
        <v>0</v>
      </c>
      <c r="C309" s="631">
        <v>0</v>
      </c>
      <c r="D309" s="631">
        <v>0</v>
      </c>
      <c r="E309" s="631">
        <v>0</v>
      </c>
      <c r="F309" s="631">
        <v>0</v>
      </c>
      <c r="G309" s="631">
        <v>0</v>
      </c>
      <c r="H309" s="631">
        <v>0</v>
      </c>
      <c r="I309" s="631">
        <v>0</v>
      </c>
      <c r="J309" s="631">
        <v>0</v>
      </c>
      <c r="K309" s="631">
        <v>0</v>
      </c>
      <c r="L309" s="631">
        <v>0</v>
      </c>
      <c r="M309" s="631">
        <v>0</v>
      </c>
      <c r="N309" s="631">
        <v>0</v>
      </c>
      <c r="O309" s="707">
        <f>SUM(R309:W309)</f>
        <v>0</v>
      </c>
      <c r="Q309" s="631" t="s">
        <v>288</v>
      </c>
      <c r="R309" s="631">
        <v>0</v>
      </c>
      <c r="S309" s="631">
        <v>0</v>
      </c>
      <c r="T309" s="631">
        <v>0</v>
      </c>
      <c r="U309" s="631">
        <v>0</v>
      </c>
      <c r="V309" s="631">
        <v>0</v>
      </c>
      <c r="W309" s="631">
        <v>0</v>
      </c>
      <c r="X309" s="631">
        <v>91653</v>
      </c>
      <c r="Y309" s="631">
        <v>0</v>
      </c>
      <c r="Z309" s="631">
        <v>0</v>
      </c>
      <c r="AA309" s="631">
        <v>0</v>
      </c>
      <c r="AB309" s="631">
        <v>0</v>
      </c>
      <c r="AC309" s="631">
        <v>0</v>
      </c>
      <c r="AD309" s="631">
        <v>91653</v>
      </c>
    </row>
    <row r="310" spans="1:30" x14ac:dyDescent="0.6">
      <c r="A310" s="668"/>
      <c r="B310" s="670">
        <f>SUM(B303:B309)</f>
        <v>135357</v>
      </c>
      <c r="C310" s="670">
        <f t="shared" ref="C310:G310" si="128">SUM(C303:C309)</f>
        <v>230071</v>
      </c>
      <c r="D310" s="670">
        <f t="shared" si="128"/>
        <v>198566</v>
      </c>
      <c r="E310" s="670">
        <f t="shared" si="128"/>
        <v>200147</v>
      </c>
      <c r="F310" s="670">
        <f t="shared" si="128"/>
        <v>237147</v>
      </c>
      <c r="G310" s="670">
        <f t="shared" si="128"/>
        <v>196537</v>
      </c>
      <c r="H310" s="668"/>
      <c r="I310" s="668"/>
      <c r="J310" s="668"/>
      <c r="K310" s="668"/>
      <c r="L310" s="668"/>
      <c r="M310" s="668"/>
      <c r="N310" s="908">
        <f>SUM(N303:N309)</f>
        <v>1197825</v>
      </c>
      <c r="O310" s="908">
        <f>SUM(O303:O309)</f>
        <v>887454</v>
      </c>
      <c r="Q310" s="668"/>
      <c r="R310" s="670">
        <f>SUM(R303:R309)</f>
        <v>88701</v>
      </c>
      <c r="S310" s="670">
        <f t="shared" ref="S310:AC310" si="129">SUM(S303:S309)</f>
        <v>203970</v>
      </c>
      <c r="T310" s="670">
        <f t="shared" si="129"/>
        <v>117169</v>
      </c>
      <c r="U310" s="670">
        <f t="shared" si="129"/>
        <v>187994</v>
      </c>
      <c r="V310" s="670">
        <f t="shared" si="129"/>
        <v>144222</v>
      </c>
      <c r="W310" s="670">
        <f t="shared" si="129"/>
        <v>145398</v>
      </c>
      <c r="X310" s="670">
        <f t="shared" si="129"/>
        <v>206963</v>
      </c>
      <c r="Y310" s="670">
        <f t="shared" si="129"/>
        <v>178561</v>
      </c>
      <c r="Z310" s="670">
        <f t="shared" si="129"/>
        <v>150153</v>
      </c>
      <c r="AA310" s="670">
        <f t="shared" si="129"/>
        <v>148723</v>
      </c>
      <c r="AB310" s="670">
        <f t="shared" si="129"/>
        <v>228752</v>
      </c>
      <c r="AC310" s="670">
        <f t="shared" si="129"/>
        <v>286959</v>
      </c>
      <c r="AD310" s="669"/>
    </row>
    <row r="311" spans="1:30" x14ac:dyDescent="0.6">
      <c r="A311" s="668"/>
      <c r="B311" s="668"/>
      <c r="C311" s="668"/>
      <c r="D311" s="668"/>
      <c r="E311" s="668"/>
      <c r="F311" s="668"/>
      <c r="G311" s="668"/>
      <c r="H311" s="668"/>
      <c r="I311" s="668"/>
      <c r="J311" s="668"/>
      <c r="K311" s="668"/>
      <c r="L311" s="668"/>
      <c r="M311" s="668"/>
      <c r="N311" s="669"/>
      <c r="Q311" s="668"/>
      <c r="R311" s="668"/>
      <c r="S311" s="668"/>
      <c r="T311" s="668"/>
      <c r="U311" s="668"/>
      <c r="V311" s="668"/>
      <c r="W311" s="668"/>
      <c r="X311" s="668"/>
      <c r="Y311" s="668"/>
      <c r="Z311" s="668"/>
      <c r="AA311" s="668"/>
      <c r="AB311" s="668"/>
      <c r="AC311" s="668"/>
      <c r="AD311" s="669"/>
    </row>
    <row r="312" spans="1:30" x14ac:dyDescent="0.6">
      <c r="A312" s="632" t="s">
        <v>363</v>
      </c>
      <c r="B312" s="632" t="s">
        <v>350</v>
      </c>
      <c r="C312" s="632" t="s">
        <v>351</v>
      </c>
      <c r="D312" s="632" t="s">
        <v>473</v>
      </c>
      <c r="E312" s="632" t="s">
        <v>352</v>
      </c>
      <c r="F312" s="632" t="s">
        <v>353</v>
      </c>
      <c r="G312" s="632" t="s">
        <v>354</v>
      </c>
      <c r="H312" s="632" t="s">
        <v>355</v>
      </c>
      <c r="I312" s="632" t="s">
        <v>356</v>
      </c>
      <c r="J312" s="632" t="s">
        <v>357</v>
      </c>
      <c r="K312" s="632" t="s">
        <v>358</v>
      </c>
      <c r="L312" s="632" t="s">
        <v>359</v>
      </c>
      <c r="M312" s="632" t="s">
        <v>360</v>
      </c>
      <c r="N312" s="632" t="s">
        <v>361</v>
      </c>
      <c r="O312" s="635" t="s">
        <v>453</v>
      </c>
      <c r="Q312" s="632" t="s">
        <v>382</v>
      </c>
      <c r="R312" s="632" t="s">
        <v>369</v>
      </c>
      <c r="S312" s="632" t="s">
        <v>370</v>
      </c>
      <c r="T312" s="632" t="s">
        <v>371</v>
      </c>
      <c r="U312" s="632" t="s">
        <v>372</v>
      </c>
      <c r="V312" s="632" t="s">
        <v>373</v>
      </c>
      <c r="W312" s="632" t="s">
        <v>374</v>
      </c>
      <c r="X312" s="632" t="s">
        <v>375</v>
      </c>
      <c r="Y312" s="632" t="s">
        <v>376</v>
      </c>
      <c r="Z312" s="632" t="s">
        <v>377</v>
      </c>
      <c r="AA312" s="632" t="s">
        <v>378</v>
      </c>
      <c r="AB312" s="632" t="s">
        <v>379</v>
      </c>
      <c r="AC312" s="632" t="s">
        <v>380</v>
      </c>
      <c r="AD312" s="632" t="s">
        <v>361</v>
      </c>
    </row>
    <row r="313" spans="1:30" x14ac:dyDescent="0.6">
      <c r="A313" s="632" t="s">
        <v>296</v>
      </c>
      <c r="B313" s="632">
        <v>38270582</v>
      </c>
      <c r="C313" s="632">
        <v>40230002</v>
      </c>
      <c r="D313" s="632">
        <v>41252714</v>
      </c>
      <c r="E313" s="632">
        <v>42682516</v>
      </c>
      <c r="F313" s="632">
        <v>38924995</v>
      </c>
      <c r="G313" s="632">
        <v>39854095</v>
      </c>
      <c r="H313" s="632"/>
      <c r="I313" s="632"/>
      <c r="J313" s="632"/>
      <c r="K313" s="632"/>
      <c r="L313" s="632"/>
      <c r="M313" s="632"/>
      <c r="N313" s="632">
        <f>AVERAGE(B313:M313)</f>
        <v>40202484</v>
      </c>
      <c r="O313" s="707">
        <f>AVERAGE(R313:W313)</f>
        <v>29476026.833333332</v>
      </c>
      <c r="Q313" s="632" t="s">
        <v>296</v>
      </c>
      <c r="R313" s="632">
        <v>25499149</v>
      </c>
      <c r="S313" s="632">
        <v>26334969</v>
      </c>
      <c r="T313" s="632">
        <v>27055889</v>
      </c>
      <c r="U313" s="632">
        <v>29817608</v>
      </c>
      <c r="V313" s="632">
        <v>32647425</v>
      </c>
      <c r="W313" s="632">
        <v>35501121</v>
      </c>
      <c r="X313" s="632">
        <v>35680822</v>
      </c>
      <c r="Y313" s="632">
        <v>35019371</v>
      </c>
      <c r="Z313" s="632">
        <v>35572040</v>
      </c>
      <c r="AA313" s="632">
        <v>36661448</v>
      </c>
      <c r="AB313" s="632">
        <v>34068586</v>
      </c>
      <c r="AC313" s="632">
        <v>35597037</v>
      </c>
      <c r="AD313" s="632">
        <v>29476026.833333332</v>
      </c>
    </row>
    <row r="314" spans="1:30" x14ac:dyDescent="0.6">
      <c r="A314" s="632" t="s">
        <v>295</v>
      </c>
      <c r="B314" s="632">
        <v>34896611</v>
      </c>
      <c r="C314" s="632">
        <v>34443434</v>
      </c>
      <c r="D314" s="632">
        <v>41526431</v>
      </c>
      <c r="E314" s="632">
        <v>42903088</v>
      </c>
      <c r="F314" s="632">
        <v>44505530</v>
      </c>
      <c r="G314" s="632">
        <v>39081135</v>
      </c>
      <c r="H314" s="632"/>
      <c r="I314" s="632"/>
      <c r="J314" s="632"/>
      <c r="K314" s="632"/>
      <c r="L314" s="632"/>
      <c r="M314" s="632"/>
      <c r="N314" s="632">
        <f t="shared" ref="N314:N318" si="130">AVERAGE(B314:M314)</f>
        <v>39559371.5</v>
      </c>
      <c r="O314" s="707">
        <f t="shared" ref="O314:O319" si="131">AVERAGE(R314:W314)</f>
        <v>28774819.833333332</v>
      </c>
      <c r="Q314" s="632" t="s">
        <v>295</v>
      </c>
      <c r="R314" s="632">
        <v>24903928</v>
      </c>
      <c r="S314" s="632">
        <v>23824372</v>
      </c>
      <c r="T314" s="632">
        <v>25602546</v>
      </c>
      <c r="U314" s="632">
        <v>28103475</v>
      </c>
      <c r="V314" s="632">
        <v>34342783</v>
      </c>
      <c r="W314" s="632">
        <v>35871815</v>
      </c>
      <c r="X314" s="632">
        <v>37330030</v>
      </c>
      <c r="Y314" s="632">
        <v>36776684</v>
      </c>
      <c r="Z314" s="632">
        <v>36928623</v>
      </c>
      <c r="AA314" s="632">
        <v>35652847</v>
      </c>
      <c r="AB314" s="632">
        <v>32511823</v>
      </c>
      <c r="AC314" s="632">
        <v>34222757</v>
      </c>
      <c r="AD314" s="632">
        <v>28774819.833333332</v>
      </c>
    </row>
    <row r="315" spans="1:30" x14ac:dyDescent="0.6">
      <c r="A315" s="632" t="s">
        <v>293</v>
      </c>
      <c r="B315" s="632">
        <v>36138076</v>
      </c>
      <c r="C315" s="632">
        <v>37406043</v>
      </c>
      <c r="D315" s="632">
        <v>41556808</v>
      </c>
      <c r="E315" s="632">
        <v>42931530</v>
      </c>
      <c r="F315" s="632">
        <v>42828965</v>
      </c>
      <c r="G315" s="632">
        <v>40036836</v>
      </c>
      <c r="H315" s="632"/>
      <c r="I315" s="632"/>
      <c r="J315" s="632"/>
      <c r="K315" s="632"/>
      <c r="L315" s="632"/>
      <c r="M315" s="632"/>
      <c r="N315" s="632">
        <f t="shared" si="130"/>
        <v>40149709.666666664</v>
      </c>
      <c r="O315" s="707">
        <f t="shared" si="131"/>
        <v>27261968</v>
      </c>
      <c r="Q315" s="632" t="s">
        <v>293</v>
      </c>
      <c r="R315" s="632">
        <v>23306976</v>
      </c>
      <c r="S315" s="632">
        <v>20287038</v>
      </c>
      <c r="T315" s="632">
        <v>20810780</v>
      </c>
      <c r="U315" s="632">
        <v>21226514</v>
      </c>
      <c r="V315" s="632">
        <v>39117698</v>
      </c>
      <c r="W315" s="632">
        <v>38822802</v>
      </c>
      <c r="X315" s="632">
        <v>51562854</v>
      </c>
      <c r="Y315" s="632">
        <v>35896107</v>
      </c>
      <c r="Z315" s="632">
        <v>33814149</v>
      </c>
      <c r="AA315" s="632">
        <v>34719816</v>
      </c>
      <c r="AB315" s="632">
        <v>33705728</v>
      </c>
      <c r="AC315" s="632">
        <v>33361064</v>
      </c>
      <c r="AD315" s="632">
        <v>27261968</v>
      </c>
    </row>
    <row r="316" spans="1:30" x14ac:dyDescent="0.6">
      <c r="A316" s="632" t="s">
        <v>291</v>
      </c>
      <c r="B316" s="632">
        <v>38108630</v>
      </c>
      <c r="C316" s="632">
        <v>47807090</v>
      </c>
      <c r="D316" s="632">
        <v>47216471</v>
      </c>
      <c r="E316" s="632">
        <v>43892110</v>
      </c>
      <c r="F316" s="632">
        <v>45236987</v>
      </c>
      <c r="G316" s="632">
        <v>41342697</v>
      </c>
      <c r="H316" s="632"/>
      <c r="I316" s="632"/>
      <c r="J316" s="632"/>
      <c r="K316" s="632"/>
      <c r="L316" s="632"/>
      <c r="M316" s="632"/>
      <c r="N316" s="632">
        <f t="shared" si="130"/>
        <v>43933997.5</v>
      </c>
      <c r="O316" s="707">
        <f t="shared" si="131"/>
        <v>32430503.833333332</v>
      </c>
      <c r="Q316" s="632" t="s">
        <v>291</v>
      </c>
      <c r="R316" s="632">
        <v>25899805</v>
      </c>
      <c r="S316" s="632">
        <v>24307927</v>
      </c>
      <c r="T316" s="632">
        <v>25735537</v>
      </c>
      <c r="U316" s="632">
        <v>28631512</v>
      </c>
      <c r="V316" s="632">
        <v>45503364</v>
      </c>
      <c r="W316" s="632">
        <v>44504878</v>
      </c>
      <c r="X316" s="632">
        <v>61869224</v>
      </c>
      <c r="Y316" s="632">
        <v>49131506</v>
      </c>
      <c r="Z316" s="632">
        <v>46789954</v>
      </c>
      <c r="AA316" s="632">
        <v>42997151</v>
      </c>
      <c r="AB316" s="632">
        <v>38825652</v>
      </c>
      <c r="AC316" s="632">
        <v>44522392</v>
      </c>
      <c r="AD316" s="632">
        <v>32430503.833333332</v>
      </c>
    </row>
    <row r="317" spans="1:30" x14ac:dyDescent="0.6">
      <c r="A317" s="632" t="s">
        <v>290</v>
      </c>
      <c r="B317" s="632">
        <v>24520833</v>
      </c>
      <c r="C317" s="632">
        <v>24464286</v>
      </c>
      <c r="D317" s="632"/>
      <c r="E317" s="632"/>
      <c r="F317" s="632">
        <v>91022727</v>
      </c>
      <c r="G317" s="632">
        <v>73950368</v>
      </c>
      <c r="H317" s="632"/>
      <c r="I317" s="632"/>
      <c r="J317" s="632"/>
      <c r="K317" s="632"/>
      <c r="L317" s="632"/>
      <c r="M317" s="632"/>
      <c r="N317" s="632">
        <f t="shared" si="130"/>
        <v>53489553.5</v>
      </c>
      <c r="O317" s="707">
        <f t="shared" si="131"/>
        <v>8167323.5</v>
      </c>
      <c r="Q317" s="632" t="s">
        <v>290</v>
      </c>
      <c r="R317" s="632">
        <v>0</v>
      </c>
      <c r="S317" s="632">
        <v>0</v>
      </c>
      <c r="T317" s="632">
        <v>24509317</v>
      </c>
      <c r="U317" s="632">
        <v>24494624</v>
      </c>
      <c r="V317" s="632">
        <v>0</v>
      </c>
      <c r="W317" s="632">
        <v>0</v>
      </c>
      <c r="X317" s="632">
        <v>0</v>
      </c>
      <c r="Y317" s="632">
        <v>0</v>
      </c>
      <c r="Z317" s="632">
        <v>90119171</v>
      </c>
      <c r="AA317" s="632">
        <v>27677515</v>
      </c>
      <c r="AB317" s="632">
        <v>49862944</v>
      </c>
      <c r="AC317" s="632">
        <v>24573668</v>
      </c>
      <c r="AD317" s="632">
        <v>8167323.5</v>
      </c>
    </row>
    <row r="318" spans="1:30" x14ac:dyDescent="0.6">
      <c r="A318" s="632" t="s">
        <v>289</v>
      </c>
      <c r="B318" s="632">
        <v>44811448</v>
      </c>
      <c r="C318" s="632">
        <v>51509912</v>
      </c>
      <c r="D318" s="632">
        <v>39703349</v>
      </c>
      <c r="E318" s="632">
        <v>40227557</v>
      </c>
      <c r="F318" s="632">
        <v>39586147</v>
      </c>
      <c r="G318" s="632">
        <v>40474895</v>
      </c>
      <c r="H318" s="632"/>
      <c r="I318" s="632"/>
      <c r="J318" s="632"/>
      <c r="K318" s="632"/>
      <c r="L318" s="632"/>
      <c r="M318" s="632"/>
      <c r="N318" s="632">
        <f t="shared" si="130"/>
        <v>42718884.666666664</v>
      </c>
      <c r="O318" s="707">
        <f t="shared" si="131"/>
        <v>24882766.166666668</v>
      </c>
      <c r="Q318" s="632" t="s">
        <v>289</v>
      </c>
      <c r="R318" s="632">
        <v>23652174</v>
      </c>
      <c r="S318" s="632">
        <v>15274510</v>
      </c>
      <c r="T318" s="632">
        <v>25158471</v>
      </c>
      <c r="U318" s="632">
        <v>25496160</v>
      </c>
      <c r="V318" s="632">
        <v>31757835</v>
      </c>
      <c r="W318" s="632">
        <v>27957447</v>
      </c>
      <c r="X318" s="632">
        <v>30028311</v>
      </c>
      <c r="Y318" s="632">
        <v>31238375</v>
      </c>
      <c r="Z318" s="632">
        <v>32802488</v>
      </c>
      <c r="AA318" s="632">
        <v>34731695</v>
      </c>
      <c r="AB318" s="632">
        <v>32270841</v>
      </c>
      <c r="AC318" s="632">
        <v>34327905</v>
      </c>
      <c r="AD318" s="632">
        <v>24882766.166666668</v>
      </c>
    </row>
    <row r="319" spans="1:30" x14ac:dyDescent="0.6">
      <c r="A319" s="632" t="s">
        <v>288</v>
      </c>
      <c r="B319" s="632"/>
      <c r="C319" s="632"/>
      <c r="D319" s="632"/>
      <c r="E319" s="632"/>
      <c r="F319" s="632"/>
      <c r="G319" s="632"/>
      <c r="H319" s="632"/>
      <c r="I319" s="632"/>
      <c r="J319" s="632"/>
      <c r="K319" s="632"/>
      <c r="L319" s="632"/>
      <c r="M319" s="632"/>
      <c r="N319" s="632"/>
      <c r="O319" s="707">
        <f t="shared" si="131"/>
        <v>0</v>
      </c>
      <c r="Q319" s="632" t="s">
        <v>288</v>
      </c>
      <c r="R319" s="632">
        <v>0</v>
      </c>
      <c r="S319" s="632">
        <v>0</v>
      </c>
      <c r="T319" s="632">
        <v>0</v>
      </c>
      <c r="U319" s="632">
        <v>0</v>
      </c>
      <c r="V319" s="632">
        <v>0</v>
      </c>
      <c r="W319" s="632">
        <v>0</v>
      </c>
      <c r="X319" s="632">
        <v>6965653</v>
      </c>
      <c r="Y319" s="632">
        <v>0</v>
      </c>
      <c r="Z319" s="632">
        <v>0</v>
      </c>
      <c r="AA319" s="632">
        <v>0</v>
      </c>
      <c r="AB319" s="632">
        <v>0</v>
      </c>
      <c r="AC319" s="632">
        <v>0</v>
      </c>
      <c r="AD319" s="632">
        <v>0</v>
      </c>
    </row>
    <row r="320" spans="1:30" x14ac:dyDescent="0.6">
      <c r="A320" s="668"/>
      <c r="B320" s="670"/>
      <c r="C320" s="670"/>
      <c r="D320" s="670"/>
      <c r="E320" s="670"/>
      <c r="F320" s="670"/>
      <c r="G320" s="670"/>
      <c r="H320" s="670"/>
      <c r="I320" s="670"/>
      <c r="J320" s="670"/>
      <c r="K320" s="670"/>
      <c r="L320" s="670"/>
      <c r="M320" s="670"/>
      <c r="N320" s="671"/>
      <c r="Q320" s="668"/>
      <c r="R320" s="670"/>
      <c r="S320" s="670"/>
      <c r="T320" s="670"/>
      <c r="U320" s="670"/>
      <c r="V320" s="670"/>
      <c r="W320" s="670"/>
      <c r="X320" s="670"/>
      <c r="Y320" s="670"/>
      <c r="Z320" s="670"/>
      <c r="AA320" s="670"/>
      <c r="AB320" s="670"/>
      <c r="AC320" s="670"/>
      <c r="AD320" s="671"/>
    </row>
    <row r="321" spans="1:30" x14ac:dyDescent="0.6">
      <c r="A321" s="668"/>
      <c r="B321" s="670"/>
      <c r="C321" s="670"/>
      <c r="D321" s="670"/>
      <c r="E321" s="670"/>
      <c r="F321" s="670"/>
      <c r="G321" s="670"/>
      <c r="H321" s="670"/>
      <c r="I321" s="670"/>
      <c r="J321" s="670"/>
      <c r="K321" s="670"/>
      <c r="L321" s="670"/>
      <c r="M321" s="670"/>
      <c r="N321" s="671"/>
      <c r="Q321" s="668"/>
      <c r="R321" s="670"/>
      <c r="S321" s="670"/>
      <c r="T321" s="670"/>
      <c r="U321" s="670"/>
      <c r="V321" s="670"/>
      <c r="W321" s="670"/>
      <c r="X321" s="670"/>
      <c r="Y321" s="670"/>
      <c r="Z321" s="670"/>
      <c r="AA321" s="670"/>
      <c r="AB321" s="670"/>
      <c r="AC321" s="670"/>
      <c r="AD321" s="671"/>
    </row>
    <row r="322" spans="1:30" x14ac:dyDescent="0.6">
      <c r="A322" s="634" t="s">
        <v>364</v>
      </c>
      <c r="B322" s="634" t="s">
        <v>350</v>
      </c>
      <c r="C322" s="634" t="s">
        <v>351</v>
      </c>
      <c r="D322" s="634" t="s">
        <v>473</v>
      </c>
      <c r="E322" s="634" t="s">
        <v>352</v>
      </c>
      <c r="F322" s="634" t="s">
        <v>353</v>
      </c>
      <c r="G322" s="634" t="s">
        <v>354</v>
      </c>
      <c r="H322" s="634" t="s">
        <v>355</v>
      </c>
      <c r="I322" s="634" t="s">
        <v>356</v>
      </c>
      <c r="J322" s="634" t="s">
        <v>357</v>
      </c>
      <c r="K322" s="634" t="s">
        <v>358</v>
      </c>
      <c r="L322" s="634" t="s">
        <v>359</v>
      </c>
      <c r="M322" s="634" t="s">
        <v>360</v>
      </c>
      <c r="N322" s="634" t="s">
        <v>361</v>
      </c>
      <c r="O322" s="635" t="s">
        <v>453</v>
      </c>
      <c r="Q322" s="634" t="s">
        <v>383</v>
      </c>
      <c r="R322" s="634" t="s">
        <v>369</v>
      </c>
      <c r="S322" s="634" t="s">
        <v>370</v>
      </c>
      <c r="T322" s="634" t="s">
        <v>371</v>
      </c>
      <c r="U322" s="634" t="s">
        <v>372</v>
      </c>
      <c r="V322" s="634" t="s">
        <v>373</v>
      </c>
      <c r="W322" s="634" t="s">
        <v>374</v>
      </c>
      <c r="X322" s="634" t="s">
        <v>375</v>
      </c>
      <c r="Y322" s="634" t="s">
        <v>376</v>
      </c>
      <c r="Z322" s="634" t="s">
        <v>377</v>
      </c>
      <c r="AA322" s="634" t="s">
        <v>378</v>
      </c>
      <c r="AB322" s="634" t="s">
        <v>379</v>
      </c>
      <c r="AC322" s="634" t="s">
        <v>380</v>
      </c>
      <c r="AD322" s="634" t="s">
        <v>361</v>
      </c>
    </row>
    <row r="323" spans="1:30" x14ac:dyDescent="0.6">
      <c r="A323" s="634" t="s">
        <v>296</v>
      </c>
      <c r="B323" s="634">
        <v>2730606</v>
      </c>
      <c r="C323" s="634">
        <v>3090509</v>
      </c>
      <c r="D323" s="634">
        <v>2477143</v>
      </c>
      <c r="E323" s="634">
        <v>2426373</v>
      </c>
      <c r="F323" s="634">
        <v>3355101</v>
      </c>
      <c r="G323" s="634">
        <v>2751168</v>
      </c>
      <c r="H323" s="634">
        <v>0</v>
      </c>
      <c r="I323" s="634">
        <v>0</v>
      </c>
      <c r="J323" s="634">
        <v>0</v>
      </c>
      <c r="K323" s="634">
        <v>0</v>
      </c>
      <c r="L323" s="634">
        <v>0</v>
      </c>
      <c r="M323" s="634">
        <v>0</v>
      </c>
      <c r="N323" s="634">
        <f>SUM(B323:M323)</f>
        <v>16830900</v>
      </c>
      <c r="O323" s="707">
        <f>SUM(R323:W323)</f>
        <v>7618880</v>
      </c>
      <c r="Q323" s="634" t="s">
        <v>296</v>
      </c>
      <c r="R323" s="634">
        <v>719331</v>
      </c>
      <c r="S323" s="634">
        <v>1422299</v>
      </c>
      <c r="T323" s="634">
        <v>784242</v>
      </c>
      <c r="U323" s="634">
        <v>1684993</v>
      </c>
      <c r="V323" s="634">
        <v>1408867</v>
      </c>
      <c r="W323" s="634">
        <v>1599148</v>
      </c>
      <c r="X323" s="634">
        <v>1152776</v>
      </c>
      <c r="Y323" s="634">
        <v>2021143</v>
      </c>
      <c r="Z323" s="634">
        <v>2732822</v>
      </c>
      <c r="AA323" s="634">
        <v>1515181</v>
      </c>
      <c r="AB323" s="634">
        <v>2668422</v>
      </c>
      <c r="AC323" s="634">
        <v>4604192</v>
      </c>
      <c r="AD323" s="634">
        <v>22313416</v>
      </c>
    </row>
    <row r="324" spans="1:30" x14ac:dyDescent="0.6">
      <c r="A324" s="634" t="s">
        <v>295</v>
      </c>
      <c r="B324" s="634">
        <v>1432471</v>
      </c>
      <c r="C324" s="634">
        <v>1883057</v>
      </c>
      <c r="D324" s="634">
        <v>2257709</v>
      </c>
      <c r="E324" s="634">
        <v>2534457</v>
      </c>
      <c r="F324" s="634">
        <v>2792722</v>
      </c>
      <c r="G324" s="634">
        <v>1716717</v>
      </c>
      <c r="H324" s="634">
        <v>0</v>
      </c>
      <c r="I324" s="634">
        <v>0</v>
      </c>
      <c r="J324" s="634">
        <v>0</v>
      </c>
      <c r="K324" s="634">
        <v>0</v>
      </c>
      <c r="L324" s="634">
        <v>0</v>
      </c>
      <c r="M324" s="634">
        <v>0</v>
      </c>
      <c r="N324" s="634">
        <f t="shared" ref="N324:N329" si="132">SUM(B324:M324)</f>
        <v>12617133</v>
      </c>
      <c r="O324" s="707">
        <f t="shared" ref="O324:O329" si="133">SUM(R324:W324)</f>
        <v>6337434</v>
      </c>
      <c r="Q324" s="634" t="s">
        <v>295</v>
      </c>
      <c r="R324" s="634">
        <v>466600</v>
      </c>
      <c r="S324" s="634">
        <v>1156030</v>
      </c>
      <c r="T324" s="634">
        <v>856610</v>
      </c>
      <c r="U324" s="634">
        <v>1124954</v>
      </c>
      <c r="V324" s="634">
        <v>1619743</v>
      </c>
      <c r="W324" s="634">
        <v>1113497</v>
      </c>
      <c r="X324" s="634">
        <v>1600749</v>
      </c>
      <c r="Y324" s="634">
        <v>1759985</v>
      </c>
      <c r="Z324" s="634">
        <v>2555830</v>
      </c>
      <c r="AA324" s="634">
        <v>1577995</v>
      </c>
      <c r="AB324" s="634">
        <v>2701765</v>
      </c>
      <c r="AC324" s="634">
        <v>2458426</v>
      </c>
      <c r="AD324" s="634">
        <v>18992184</v>
      </c>
    </row>
    <row r="325" spans="1:30" x14ac:dyDescent="0.6">
      <c r="A325" s="634" t="s">
        <v>293</v>
      </c>
      <c r="B325" s="634">
        <v>679179</v>
      </c>
      <c r="C325" s="634">
        <v>3410683</v>
      </c>
      <c r="D325" s="634">
        <v>3210679</v>
      </c>
      <c r="E325" s="634">
        <v>3398417</v>
      </c>
      <c r="F325" s="634">
        <v>3617677</v>
      </c>
      <c r="G325" s="634">
        <v>3207391</v>
      </c>
      <c r="H325" s="634">
        <v>0</v>
      </c>
      <c r="I325" s="634">
        <v>0</v>
      </c>
      <c r="J325" s="634">
        <v>0</v>
      </c>
      <c r="K325" s="634">
        <v>0</v>
      </c>
      <c r="L325" s="634">
        <v>0</v>
      </c>
      <c r="M325" s="634">
        <v>0</v>
      </c>
      <c r="N325" s="634">
        <f t="shared" si="132"/>
        <v>17524026</v>
      </c>
      <c r="O325" s="707">
        <f t="shared" si="133"/>
        <v>10013676</v>
      </c>
      <c r="Q325" s="634" t="s">
        <v>293</v>
      </c>
      <c r="R325" s="634">
        <v>900768</v>
      </c>
      <c r="S325" s="634">
        <v>1924043</v>
      </c>
      <c r="T325" s="634">
        <v>793848</v>
      </c>
      <c r="U325" s="634">
        <v>1734843</v>
      </c>
      <c r="V325" s="634">
        <v>2003452</v>
      </c>
      <c r="W325" s="634">
        <v>2656722</v>
      </c>
      <c r="X325" s="634">
        <v>1847033</v>
      </c>
      <c r="Y325" s="634">
        <v>2169812</v>
      </c>
      <c r="Z325" s="634">
        <v>28201</v>
      </c>
      <c r="AA325" s="634">
        <v>2065586</v>
      </c>
      <c r="AB325" s="634">
        <v>1846602</v>
      </c>
      <c r="AC325" s="634">
        <v>2574907</v>
      </c>
      <c r="AD325" s="634">
        <v>20545817</v>
      </c>
    </row>
    <row r="326" spans="1:30" x14ac:dyDescent="0.6">
      <c r="A326" s="634" t="s">
        <v>291</v>
      </c>
      <c r="B326" s="634">
        <v>138220</v>
      </c>
      <c r="C326" s="634">
        <v>253521</v>
      </c>
      <c r="D326" s="634">
        <v>305585</v>
      </c>
      <c r="E326" s="634">
        <v>201377</v>
      </c>
      <c r="F326" s="634">
        <v>114721</v>
      </c>
      <c r="G326" s="634">
        <v>22077</v>
      </c>
      <c r="H326" s="634">
        <v>0</v>
      </c>
      <c r="I326" s="634">
        <v>0</v>
      </c>
      <c r="J326" s="634">
        <v>0</v>
      </c>
      <c r="K326" s="634">
        <v>0</v>
      </c>
      <c r="L326" s="634">
        <v>0</v>
      </c>
      <c r="M326" s="634">
        <v>0</v>
      </c>
      <c r="N326" s="634">
        <f t="shared" si="132"/>
        <v>1035501</v>
      </c>
      <c r="O326" s="707">
        <f t="shared" si="133"/>
        <v>762327</v>
      </c>
      <c r="Q326" s="634" t="s">
        <v>291</v>
      </c>
      <c r="R326" s="634">
        <v>79875</v>
      </c>
      <c r="S326" s="634">
        <v>159144</v>
      </c>
      <c r="T326" s="634">
        <v>227322</v>
      </c>
      <c r="U326" s="634">
        <v>203341</v>
      </c>
      <c r="V326" s="634">
        <v>74398</v>
      </c>
      <c r="W326" s="634">
        <v>18247</v>
      </c>
      <c r="X326" s="634">
        <v>204849</v>
      </c>
      <c r="Y326" s="634">
        <v>440857</v>
      </c>
      <c r="Z326" s="634">
        <v>20494</v>
      </c>
      <c r="AA326" s="634">
        <v>45276</v>
      </c>
      <c r="AB326" s="634">
        <v>349625</v>
      </c>
      <c r="AC326" s="634">
        <v>169007</v>
      </c>
      <c r="AD326" s="634">
        <v>1992435</v>
      </c>
    </row>
    <row r="327" spans="1:30" x14ac:dyDescent="0.6">
      <c r="A327" s="634" t="s">
        <v>290</v>
      </c>
      <c r="B327" s="634">
        <v>5885</v>
      </c>
      <c r="C327" s="634">
        <v>6850</v>
      </c>
      <c r="D327" s="634">
        <v>0</v>
      </c>
      <c r="E327" s="634">
        <v>0</v>
      </c>
      <c r="F327" s="634">
        <v>4005</v>
      </c>
      <c r="G327" s="634">
        <v>40229</v>
      </c>
      <c r="H327" s="634">
        <v>0</v>
      </c>
      <c r="I327" s="634">
        <v>0</v>
      </c>
      <c r="J327" s="634">
        <v>0</v>
      </c>
      <c r="K327" s="634">
        <v>0</v>
      </c>
      <c r="L327" s="634">
        <v>0</v>
      </c>
      <c r="M327" s="634">
        <v>0</v>
      </c>
      <c r="N327" s="634">
        <f t="shared" si="132"/>
        <v>56969</v>
      </c>
      <c r="O327" s="707">
        <f t="shared" si="133"/>
        <v>10780</v>
      </c>
      <c r="Q327" s="634" t="s">
        <v>290</v>
      </c>
      <c r="R327" s="634">
        <v>0</v>
      </c>
      <c r="S327" s="634">
        <v>0</v>
      </c>
      <c r="T327" s="634">
        <v>3946</v>
      </c>
      <c r="U327" s="634">
        <v>6834</v>
      </c>
      <c r="V327" s="634">
        <v>0</v>
      </c>
      <c r="W327" s="634">
        <v>0</v>
      </c>
      <c r="X327" s="634">
        <v>0</v>
      </c>
      <c r="Y327" s="634">
        <v>0</v>
      </c>
      <c r="Z327" s="634">
        <v>17393</v>
      </c>
      <c r="AA327" s="634">
        <v>18710</v>
      </c>
      <c r="AB327" s="634">
        <v>39292</v>
      </c>
      <c r="AC327" s="634">
        <v>7839</v>
      </c>
      <c r="AD327" s="634">
        <v>94014</v>
      </c>
    </row>
    <row r="328" spans="1:30" x14ac:dyDescent="0.6">
      <c r="A328" s="634" t="s">
        <v>289</v>
      </c>
      <c r="B328" s="634">
        <v>13309</v>
      </c>
      <c r="C328" s="634">
        <v>93542</v>
      </c>
      <c r="D328" s="634">
        <v>16596</v>
      </c>
      <c r="E328" s="634">
        <v>19269</v>
      </c>
      <c r="F328" s="634">
        <v>45722</v>
      </c>
      <c r="G328" s="634">
        <v>96735</v>
      </c>
      <c r="H328" s="634">
        <v>0</v>
      </c>
      <c r="I328" s="634">
        <v>0</v>
      </c>
      <c r="J328" s="634">
        <v>0</v>
      </c>
      <c r="K328" s="634">
        <v>0</v>
      </c>
      <c r="L328" s="634">
        <v>0</v>
      </c>
      <c r="M328" s="634">
        <v>0</v>
      </c>
      <c r="N328" s="634">
        <f t="shared" si="132"/>
        <v>285173</v>
      </c>
      <c r="O328" s="707">
        <f t="shared" si="133"/>
        <v>298494</v>
      </c>
      <c r="Q328" s="634" t="s">
        <v>289</v>
      </c>
      <c r="R328" s="634">
        <v>544</v>
      </c>
      <c r="S328" s="634">
        <v>779</v>
      </c>
      <c r="T328" s="634">
        <v>190827</v>
      </c>
      <c r="U328" s="634">
        <v>59763</v>
      </c>
      <c r="V328" s="634">
        <v>33441</v>
      </c>
      <c r="W328" s="634">
        <v>13140</v>
      </c>
      <c r="X328" s="634">
        <v>29698</v>
      </c>
      <c r="Y328" s="634">
        <v>111521</v>
      </c>
      <c r="Z328" s="634">
        <v>87025</v>
      </c>
      <c r="AA328" s="634">
        <v>66407</v>
      </c>
      <c r="AB328" s="634">
        <v>88648</v>
      </c>
      <c r="AC328" s="634">
        <v>153892</v>
      </c>
      <c r="AD328" s="634">
        <v>835685</v>
      </c>
    </row>
    <row r="329" spans="1:30" x14ac:dyDescent="0.6">
      <c r="A329" s="634" t="s">
        <v>288</v>
      </c>
      <c r="B329" s="634">
        <v>353006</v>
      </c>
      <c r="C329" s="634">
        <v>699347</v>
      </c>
      <c r="D329" s="634">
        <v>636159</v>
      </c>
      <c r="E329" s="634">
        <v>584714</v>
      </c>
      <c r="F329" s="634">
        <v>577064</v>
      </c>
      <c r="G329" s="634">
        <v>543722</v>
      </c>
      <c r="H329" s="634">
        <v>0</v>
      </c>
      <c r="I329" s="634">
        <v>0</v>
      </c>
      <c r="J329" s="634">
        <v>0</v>
      </c>
      <c r="K329" s="634">
        <v>0</v>
      </c>
      <c r="L329" s="634">
        <v>0</v>
      </c>
      <c r="M329" s="634">
        <v>0</v>
      </c>
      <c r="N329" s="634">
        <f t="shared" si="132"/>
        <v>3394012</v>
      </c>
      <c r="O329" s="707">
        <f t="shared" si="133"/>
        <v>2812976</v>
      </c>
      <c r="Q329" s="634" t="s">
        <v>288</v>
      </c>
      <c r="R329" s="634">
        <v>360980</v>
      </c>
      <c r="S329" s="634">
        <v>681185</v>
      </c>
      <c r="T329" s="634">
        <v>227501</v>
      </c>
      <c r="U329" s="634">
        <v>305315</v>
      </c>
      <c r="V329" s="634">
        <v>564193</v>
      </c>
      <c r="W329" s="634">
        <v>673802</v>
      </c>
      <c r="X329" s="634">
        <v>638423</v>
      </c>
      <c r="Y329" s="634">
        <v>1535692</v>
      </c>
      <c r="Z329" s="634">
        <v>480801</v>
      </c>
      <c r="AA329" s="634">
        <v>453569</v>
      </c>
      <c r="AB329" s="634">
        <v>476796</v>
      </c>
      <c r="AC329" s="634">
        <v>938674</v>
      </c>
      <c r="AD329" s="634">
        <v>7336931</v>
      </c>
    </row>
    <row r="330" spans="1:30" x14ac:dyDescent="0.6">
      <c r="N330" s="273">
        <f>SUM(N323:N329)</f>
        <v>51743714</v>
      </c>
      <c r="O330" s="273">
        <f>SUM(O323:O329)</f>
        <v>27854567</v>
      </c>
    </row>
  </sheetData>
  <mergeCells count="3">
    <mergeCell ref="A203:A205"/>
    <mergeCell ref="F233:F244"/>
    <mergeCell ref="G233:S233"/>
  </mergeCells>
  <conditionalFormatting sqref="H235:S244">
    <cfRule type="colorScale" priority="27">
      <colorScale>
        <cfvo type="num" val="$B$233"/>
        <cfvo type="num" val="$B$232"/>
        <cfvo type="num" val="$B$231"/>
        <color rgb="FFF8696B"/>
        <color rgb="FFFFEB84"/>
        <color rgb="FF63BE7B"/>
      </colorScale>
    </cfRule>
  </conditionalFormatting>
  <pageMargins left="0.7" right="0.7" top="0.75" bottom="0.75" header="0.3" footer="0.3"/>
  <ignoredErrors>
    <ignoredError sqref="O293:O299 O303:O309 O313:O319 O323:O329" formulaRange="1"/>
    <ignoredError sqref="P51 P57 J9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6"/>
  <sheetViews>
    <sheetView rightToLeft="1" topLeftCell="A248" zoomScale="55" zoomScaleNormal="55" workbookViewId="0">
      <pane xSplit="1" topLeftCell="B1" activePane="topRight" state="frozen"/>
      <selection activeCell="N337" sqref="N337:O337"/>
      <selection pane="topRight" activeCell="B249" sqref="B249"/>
    </sheetView>
  </sheetViews>
  <sheetFormatPr defaultRowHeight="22.5" x14ac:dyDescent="0.6"/>
  <cols>
    <col min="1" max="1" width="51.140625" style="286" customWidth="1"/>
    <col min="2" max="2" width="23.85546875" style="286" bestFit="1" customWidth="1"/>
    <col min="3" max="3" width="18.7109375" style="286" bestFit="1" customWidth="1"/>
    <col min="4" max="4" width="20.28515625" style="286" bestFit="1" customWidth="1"/>
    <col min="5" max="5" width="20.140625" style="286" bestFit="1" customWidth="1"/>
    <col min="6" max="6" width="20.140625" style="286" customWidth="1"/>
    <col min="7" max="7" width="22.7109375" style="286" customWidth="1"/>
    <col min="8" max="8" width="18" style="286" bestFit="1" customWidth="1"/>
    <col min="9" max="9" width="18.7109375" style="286" customWidth="1"/>
    <col min="10" max="10" width="15.42578125" style="286" bestFit="1" customWidth="1"/>
    <col min="11" max="11" width="15.7109375" style="286" bestFit="1" customWidth="1"/>
    <col min="12" max="12" width="31.42578125" style="286" customWidth="1"/>
    <col min="13" max="13" width="17.5703125" style="286" bestFit="1" customWidth="1"/>
    <col min="14" max="14" width="15.7109375" style="286" bestFit="1" customWidth="1"/>
    <col min="15" max="15" width="12.5703125" style="286" bestFit="1" customWidth="1"/>
    <col min="16" max="16" width="19" style="286" bestFit="1" customWidth="1"/>
    <col min="17" max="30" width="30.7109375" style="286" customWidth="1"/>
    <col min="31" max="31" width="9.28515625" style="286" bestFit="1" customWidth="1"/>
    <col min="32" max="32" width="9.42578125" style="286" bestFit="1" customWidth="1"/>
    <col min="33" max="34" width="9.140625" style="286"/>
    <col min="35" max="35" width="17.28515625" style="286" bestFit="1" customWidth="1"/>
    <col min="36" max="39" width="12.28515625" style="286" customWidth="1"/>
    <col min="40" max="16384" width="9.140625" style="286"/>
  </cols>
  <sheetData>
    <row r="1" spans="1:22" x14ac:dyDescent="0.6">
      <c r="A1" s="535" t="s">
        <v>183</v>
      </c>
      <c r="B1" s="533" t="s">
        <v>81</v>
      </c>
      <c r="C1" s="533" t="s">
        <v>80</v>
      </c>
      <c r="D1" s="533" t="s">
        <v>79</v>
      </c>
      <c r="E1" s="533" t="s">
        <v>78</v>
      </c>
      <c r="F1" s="533" t="s">
        <v>77</v>
      </c>
      <c r="G1" s="533" t="s">
        <v>76</v>
      </c>
      <c r="H1" s="533" t="s">
        <v>75</v>
      </c>
      <c r="I1" s="533" t="s">
        <v>74</v>
      </c>
      <c r="J1" s="533" t="s">
        <v>73</v>
      </c>
      <c r="K1" s="533" t="s">
        <v>72</v>
      </c>
      <c r="L1" s="533" t="s">
        <v>71</v>
      </c>
      <c r="M1" s="533" t="s">
        <v>70</v>
      </c>
      <c r="N1" s="534" t="s">
        <v>69</v>
      </c>
      <c r="O1" s="533" t="s">
        <v>68</v>
      </c>
      <c r="P1" s="533" t="s">
        <v>67</v>
      </c>
      <c r="Q1" s="532" t="s">
        <v>66</v>
      </c>
    </row>
    <row r="2" spans="1:22" x14ac:dyDescent="0.6">
      <c r="A2" s="556" t="s">
        <v>503</v>
      </c>
      <c r="B2" s="834">
        <v>2252744</v>
      </c>
      <c r="C2" s="834">
        <v>2035532</v>
      </c>
      <c r="D2" s="834">
        <v>2385825</v>
      </c>
      <c r="E2" s="834">
        <v>2183343</v>
      </c>
      <c r="F2" s="834">
        <v>556213</v>
      </c>
      <c r="G2" s="834">
        <v>1229064</v>
      </c>
      <c r="H2" s="834">
        <v>1789875</v>
      </c>
      <c r="I2" s="834">
        <v>2328728</v>
      </c>
      <c r="J2" s="834">
        <v>532882</v>
      </c>
      <c r="K2" s="834">
        <v>1103839</v>
      </c>
      <c r="L2" s="834">
        <v>1754038</v>
      </c>
      <c r="M2" s="834">
        <v>2453730</v>
      </c>
      <c r="N2" s="835">
        <v>671917</v>
      </c>
      <c r="O2" s="834"/>
      <c r="P2" s="834">
        <f>Q2-N2</f>
        <v>1571867.4978987323</v>
      </c>
      <c r="Q2" s="832">
        <f>Q13*Q6</f>
        <v>2243784.4978987323</v>
      </c>
      <c r="R2" s="235"/>
    </row>
    <row r="3" spans="1:22" x14ac:dyDescent="0.6">
      <c r="A3" s="555" t="s">
        <v>251</v>
      </c>
      <c r="B3" s="836">
        <v>1298875</v>
      </c>
      <c r="C3" s="836">
        <v>1423339</v>
      </c>
      <c r="D3" s="836">
        <v>1052671</v>
      </c>
      <c r="E3" s="836">
        <v>1416345</v>
      </c>
      <c r="F3" s="836">
        <v>387939</v>
      </c>
      <c r="G3" s="836">
        <v>652202</v>
      </c>
      <c r="H3" s="836">
        <v>1025168</v>
      </c>
      <c r="I3" s="836">
        <v>1436863</v>
      </c>
      <c r="J3" s="836">
        <v>443552</v>
      </c>
      <c r="K3" s="836">
        <v>805740</v>
      </c>
      <c r="L3" s="836">
        <v>1085679</v>
      </c>
      <c r="M3" s="836">
        <v>1368737</v>
      </c>
      <c r="N3" s="837">
        <v>308206</v>
      </c>
      <c r="O3" s="836"/>
      <c r="P3" s="836">
        <f>Q3-N3</f>
        <v>1054131.5021012679</v>
      </c>
      <c r="Q3" s="838">
        <f>Q14*Q6</f>
        <v>1362337.5021012679</v>
      </c>
      <c r="R3" s="235"/>
    </row>
    <row r="4" spans="1:22" x14ac:dyDescent="0.6">
      <c r="A4" s="554" t="s">
        <v>225</v>
      </c>
      <c r="B4" s="834">
        <v>0</v>
      </c>
      <c r="C4" s="834">
        <v>0</v>
      </c>
      <c r="D4" s="834">
        <v>0</v>
      </c>
      <c r="E4" s="834">
        <v>0</v>
      </c>
      <c r="F4" s="834">
        <v>0</v>
      </c>
      <c r="G4" s="834">
        <v>3259348</v>
      </c>
      <c r="H4" s="834">
        <v>4833241</v>
      </c>
      <c r="I4" s="834">
        <v>6155975</v>
      </c>
      <c r="J4" s="834">
        <v>1743091</v>
      </c>
      <c r="K4" s="834">
        <v>3435913</v>
      </c>
      <c r="L4" s="834">
        <v>4703019</v>
      </c>
      <c r="M4" s="834">
        <v>6314954</v>
      </c>
      <c r="N4" s="835">
        <v>0</v>
      </c>
      <c r="O4" s="834"/>
      <c r="P4" s="834">
        <f>Q4</f>
        <v>5437922.0665277634</v>
      </c>
      <c r="Q4" s="832">
        <f>Q10</f>
        <v>5437922.0665277634</v>
      </c>
      <c r="R4" s="235"/>
    </row>
    <row r="5" spans="1:22" x14ac:dyDescent="0.6">
      <c r="A5" s="554" t="s">
        <v>335</v>
      </c>
      <c r="B5" s="834"/>
      <c r="C5" s="834"/>
      <c r="D5" s="834"/>
      <c r="E5" s="834"/>
      <c r="F5" s="834"/>
      <c r="G5" s="834"/>
      <c r="H5" s="834"/>
      <c r="I5" s="834"/>
      <c r="J5" s="834"/>
      <c r="K5" s="834"/>
      <c r="L5" s="834"/>
      <c r="M5" s="834"/>
      <c r="N5" s="835"/>
      <c r="O5" s="834"/>
      <c r="P5" s="834"/>
      <c r="Q5" s="832">
        <f>Q16*(Q3-R5)</f>
        <v>53052.243010282022</v>
      </c>
      <c r="R5" s="235">
        <v>511263</v>
      </c>
      <c r="S5" s="286" t="s">
        <v>507</v>
      </c>
    </row>
    <row r="6" spans="1:22" ht="23.25" thickBot="1" x14ac:dyDescent="0.65">
      <c r="A6" s="553" t="s">
        <v>45</v>
      </c>
      <c r="B6" s="839">
        <f t="shared" ref="B6:P6" si="0">SUM(B2:B3)</f>
        <v>3551619</v>
      </c>
      <c r="C6" s="839">
        <f t="shared" si="0"/>
        <v>3458871</v>
      </c>
      <c r="D6" s="839">
        <f t="shared" si="0"/>
        <v>3438496</v>
      </c>
      <c r="E6" s="839">
        <f t="shared" si="0"/>
        <v>3599688</v>
      </c>
      <c r="F6" s="839">
        <f t="shared" si="0"/>
        <v>944152</v>
      </c>
      <c r="G6" s="839">
        <f t="shared" si="0"/>
        <v>1881266</v>
      </c>
      <c r="H6" s="839">
        <f t="shared" si="0"/>
        <v>2815043</v>
      </c>
      <c r="I6" s="839">
        <f t="shared" si="0"/>
        <v>3765591</v>
      </c>
      <c r="J6" s="839">
        <f t="shared" si="0"/>
        <v>976434</v>
      </c>
      <c r="K6" s="839">
        <f t="shared" si="0"/>
        <v>1909579</v>
      </c>
      <c r="L6" s="839">
        <f t="shared" si="0"/>
        <v>2839717</v>
      </c>
      <c r="M6" s="839">
        <f t="shared" si="0"/>
        <v>3822467</v>
      </c>
      <c r="N6" s="839">
        <f t="shared" si="0"/>
        <v>980123</v>
      </c>
      <c r="O6" s="839">
        <f t="shared" si="0"/>
        <v>0</v>
      </c>
      <c r="P6" s="839">
        <f t="shared" si="0"/>
        <v>2625999</v>
      </c>
      <c r="Q6" s="840">
        <f>B244</f>
        <v>3606122</v>
      </c>
      <c r="R6" s="235"/>
    </row>
    <row r="7" spans="1:22" s="776" customFormat="1" x14ac:dyDescent="0.6">
      <c r="A7" s="288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828"/>
    </row>
    <row r="8" spans="1:22" s="776" customFormat="1" x14ac:dyDescent="0.6">
      <c r="A8" s="811" t="s">
        <v>186</v>
      </c>
      <c r="B8" s="829"/>
      <c r="C8" s="829"/>
      <c r="D8" s="829"/>
      <c r="E8" s="829"/>
      <c r="F8" s="829"/>
      <c r="G8" s="830">
        <f>G10/G9</f>
        <v>1.6352679525383438</v>
      </c>
      <c r="H8" s="830">
        <f t="shared" ref="H8:N8" si="1">H10/H9</f>
        <v>1.6334571088256911</v>
      </c>
      <c r="I8" s="830">
        <f t="shared" si="1"/>
        <v>1.5007466291479876</v>
      </c>
      <c r="J8" s="830">
        <f t="shared" si="1"/>
        <v>1.6817030132092901</v>
      </c>
      <c r="K8" s="830">
        <f t="shared" si="1"/>
        <v>1.6474662739797621</v>
      </c>
      <c r="L8" s="830">
        <f t="shared" si="1"/>
        <v>1.4991307232375621</v>
      </c>
      <c r="M8" s="830">
        <f t="shared" si="1"/>
        <v>1.5151924136951347</v>
      </c>
      <c r="N8" s="830">
        <f t="shared" si="1"/>
        <v>0</v>
      </c>
      <c r="O8" s="829"/>
      <c r="P8" s="829"/>
      <c r="Q8" s="830">
        <f>AVERAGE(M8,I8)</f>
        <v>1.5079695214215612</v>
      </c>
      <c r="R8" s="200" t="s">
        <v>464</v>
      </c>
    </row>
    <row r="9" spans="1:22" s="776" customFormat="1" x14ac:dyDescent="0.6">
      <c r="A9" s="811" t="s">
        <v>502</v>
      </c>
      <c r="B9" s="829">
        <f>B2+B3</f>
        <v>3551619</v>
      </c>
      <c r="C9" s="829">
        <f t="shared" ref="C9:N9" si="2">C2+C3</f>
        <v>3458871</v>
      </c>
      <c r="D9" s="829">
        <f t="shared" si="2"/>
        <v>3438496</v>
      </c>
      <c r="E9" s="829">
        <f t="shared" si="2"/>
        <v>3599688</v>
      </c>
      <c r="F9" s="829">
        <f t="shared" si="2"/>
        <v>944152</v>
      </c>
      <c r="G9" s="829">
        <f t="shared" si="2"/>
        <v>1881266</v>
      </c>
      <c r="H9" s="829">
        <f t="shared" si="2"/>
        <v>2815043</v>
      </c>
      <c r="I9" s="829">
        <f t="shared" si="2"/>
        <v>3765591</v>
      </c>
      <c r="J9" s="829">
        <f t="shared" si="2"/>
        <v>976434</v>
      </c>
      <c r="K9" s="829">
        <f t="shared" si="2"/>
        <v>1909579</v>
      </c>
      <c r="L9" s="829">
        <f t="shared" si="2"/>
        <v>2839717</v>
      </c>
      <c r="M9" s="829">
        <f t="shared" si="2"/>
        <v>3822467</v>
      </c>
      <c r="N9" s="829">
        <f t="shared" si="2"/>
        <v>980123</v>
      </c>
      <c r="O9" s="829"/>
      <c r="P9" s="829"/>
      <c r="Q9" s="829">
        <f>Q6</f>
        <v>3606122</v>
      </c>
      <c r="R9" s="831">
        <f>R239</f>
        <v>1900807</v>
      </c>
    </row>
    <row r="10" spans="1:22" s="776" customFormat="1" x14ac:dyDescent="0.6">
      <c r="A10" s="811" t="s">
        <v>23</v>
      </c>
      <c r="B10" s="829"/>
      <c r="C10" s="829"/>
      <c r="D10" s="829"/>
      <c r="E10" s="829"/>
      <c r="F10" s="829"/>
      <c r="G10" s="829">
        <f t="shared" ref="G10:N10" si="3">G4-G26</f>
        <v>3076374</v>
      </c>
      <c r="H10" s="829">
        <f t="shared" si="3"/>
        <v>4598252</v>
      </c>
      <c r="I10" s="829">
        <f t="shared" si="3"/>
        <v>5651198</v>
      </c>
      <c r="J10" s="829">
        <f t="shared" si="3"/>
        <v>1642072</v>
      </c>
      <c r="K10" s="829">
        <f t="shared" si="3"/>
        <v>3145967</v>
      </c>
      <c r="L10" s="829">
        <f t="shared" si="3"/>
        <v>4257107</v>
      </c>
      <c r="M10" s="829">
        <f t="shared" si="3"/>
        <v>5791773</v>
      </c>
      <c r="N10" s="829">
        <f t="shared" si="3"/>
        <v>0</v>
      </c>
      <c r="O10" s="829"/>
      <c r="P10" s="829"/>
      <c r="Q10" s="829">
        <f>Q9*Q8</f>
        <v>5437922.0665277634</v>
      </c>
      <c r="R10" s="831">
        <f>R236-S236</f>
        <v>3112604</v>
      </c>
    </row>
    <row r="11" spans="1:22" s="776" customFormat="1" ht="23.25" thickBot="1" x14ac:dyDescent="0.65">
      <c r="A11" s="288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828"/>
    </row>
    <row r="12" spans="1:22" s="776" customFormat="1" x14ac:dyDescent="0.6">
      <c r="A12" s="810" t="s">
        <v>282</v>
      </c>
      <c r="B12" s="815" t="s">
        <v>81</v>
      </c>
      <c r="C12" s="815" t="s">
        <v>80</v>
      </c>
      <c r="D12" s="815" t="s">
        <v>79</v>
      </c>
      <c r="E12" s="815" t="s">
        <v>78</v>
      </c>
      <c r="F12" s="815" t="s">
        <v>77</v>
      </c>
      <c r="G12" s="815" t="s">
        <v>76</v>
      </c>
      <c r="H12" s="815" t="s">
        <v>75</v>
      </c>
      <c r="I12" s="815" t="s">
        <v>74</v>
      </c>
      <c r="J12" s="815" t="s">
        <v>73</v>
      </c>
      <c r="K12" s="815" t="s">
        <v>72</v>
      </c>
      <c r="L12" s="815" t="s">
        <v>71</v>
      </c>
      <c r="M12" s="815" t="s">
        <v>70</v>
      </c>
      <c r="N12" s="816" t="s">
        <v>69</v>
      </c>
      <c r="O12" s="815" t="s">
        <v>68</v>
      </c>
      <c r="P12" s="815" t="s">
        <v>67</v>
      </c>
      <c r="Q12" s="817" t="s">
        <v>66</v>
      </c>
      <c r="R12" s="200" t="s">
        <v>464</v>
      </c>
    </row>
    <row r="13" spans="1:22" s="776" customFormat="1" x14ac:dyDescent="0.6">
      <c r="A13" s="811" t="s">
        <v>503</v>
      </c>
      <c r="B13" s="820">
        <f t="shared" ref="B13:N13" si="4">B2/B6</f>
        <v>0.63428650426749045</v>
      </c>
      <c r="C13" s="820">
        <f t="shared" si="4"/>
        <v>0.58849607285151717</v>
      </c>
      <c r="D13" s="820">
        <f t="shared" si="4"/>
        <v>0.69385713986580178</v>
      </c>
      <c r="E13" s="820">
        <f t="shared" si="4"/>
        <v>0.60653673318354262</v>
      </c>
      <c r="F13" s="820">
        <f t="shared" si="4"/>
        <v>0.58911382912920796</v>
      </c>
      <c r="G13" s="820">
        <f t="shared" si="4"/>
        <v>0.65331750002392008</v>
      </c>
      <c r="H13" s="820">
        <f t="shared" si="4"/>
        <v>0.63582510107305645</v>
      </c>
      <c r="I13" s="820">
        <f t="shared" si="4"/>
        <v>0.6184229779601661</v>
      </c>
      <c r="J13" s="820">
        <f t="shared" si="4"/>
        <v>0.54574297904415459</v>
      </c>
      <c r="K13" s="820">
        <f t="shared" si="4"/>
        <v>0.5780535919173807</v>
      </c>
      <c r="L13" s="820">
        <f t="shared" si="4"/>
        <v>0.61768056464781529</v>
      </c>
      <c r="M13" s="820">
        <f t="shared" si="4"/>
        <v>0.64192313498062903</v>
      </c>
      <c r="N13" s="820">
        <f t="shared" si="4"/>
        <v>0.68554354912597704</v>
      </c>
      <c r="O13" s="818"/>
      <c r="P13" s="818"/>
      <c r="Q13" s="821">
        <f>AVERAGE(B13:N13)</f>
        <v>0.62221535985158916</v>
      </c>
      <c r="R13" s="344">
        <f>R232/$R$239</f>
        <v>0.66472187865469767</v>
      </c>
    </row>
    <row r="14" spans="1:22" x14ac:dyDescent="0.6">
      <c r="A14" s="812" t="s">
        <v>251</v>
      </c>
      <c r="B14" s="822">
        <f t="shared" ref="B14:N14" si="5">B3/B6</f>
        <v>0.36571349573250961</v>
      </c>
      <c r="C14" s="822">
        <f t="shared" si="5"/>
        <v>0.41150392714848283</v>
      </c>
      <c r="D14" s="822">
        <f t="shared" si="5"/>
        <v>0.30614286013419822</v>
      </c>
      <c r="E14" s="822">
        <f t="shared" si="5"/>
        <v>0.39346326681645744</v>
      </c>
      <c r="F14" s="822">
        <f t="shared" si="5"/>
        <v>0.41088617087079199</v>
      </c>
      <c r="G14" s="822">
        <f t="shared" si="5"/>
        <v>0.34668249997607992</v>
      </c>
      <c r="H14" s="822">
        <f t="shared" si="5"/>
        <v>0.36417489892694355</v>
      </c>
      <c r="I14" s="822">
        <f t="shared" si="5"/>
        <v>0.38157702203983385</v>
      </c>
      <c r="J14" s="822">
        <f t="shared" si="5"/>
        <v>0.45425702095584547</v>
      </c>
      <c r="K14" s="822">
        <f t="shared" si="5"/>
        <v>0.42194640808261924</v>
      </c>
      <c r="L14" s="822">
        <f t="shared" si="5"/>
        <v>0.38231943535218477</v>
      </c>
      <c r="M14" s="822">
        <f t="shared" si="5"/>
        <v>0.35807686501937097</v>
      </c>
      <c r="N14" s="822">
        <f t="shared" si="5"/>
        <v>0.31445645087402296</v>
      </c>
      <c r="O14" s="819"/>
      <c r="P14" s="819"/>
      <c r="Q14" s="823">
        <f>AVERAGE(B14:N14)</f>
        <v>0.3777846401484109</v>
      </c>
      <c r="R14" s="344">
        <f>R233/$R$239</f>
        <v>0.33527812134530227</v>
      </c>
      <c r="S14" s="319"/>
      <c r="T14" s="319"/>
      <c r="U14" s="319"/>
      <c r="V14" s="319"/>
    </row>
    <row r="15" spans="1:22" x14ac:dyDescent="0.6">
      <c r="A15" s="813" t="s">
        <v>225</v>
      </c>
      <c r="B15" s="818"/>
      <c r="C15" s="818"/>
      <c r="D15" s="818"/>
      <c r="E15" s="818"/>
      <c r="F15" s="818"/>
      <c r="G15" s="827"/>
      <c r="H15" s="827"/>
      <c r="I15" s="827"/>
      <c r="J15" s="827"/>
      <c r="K15" s="827"/>
      <c r="L15" s="827"/>
      <c r="M15" s="827"/>
      <c r="N15" s="827"/>
      <c r="O15" s="827"/>
      <c r="P15" s="827"/>
      <c r="Q15" s="821"/>
      <c r="R15" s="831"/>
      <c r="S15" s="319"/>
      <c r="T15" s="319"/>
      <c r="U15" s="319"/>
      <c r="V15" s="319"/>
    </row>
    <row r="16" spans="1:22" x14ac:dyDescent="0.6">
      <c r="A16" s="813" t="s">
        <v>335</v>
      </c>
      <c r="B16" s="818"/>
      <c r="C16" s="818"/>
      <c r="D16" s="818"/>
      <c r="E16" s="818"/>
      <c r="F16" s="818"/>
      <c r="G16" s="827"/>
      <c r="H16" s="827"/>
      <c r="I16" s="827"/>
      <c r="J16" s="827"/>
      <c r="K16" s="827"/>
      <c r="L16" s="827"/>
      <c r="M16" s="827"/>
      <c r="N16" s="827"/>
      <c r="O16" s="827"/>
      <c r="P16" s="827"/>
      <c r="Q16" s="821">
        <f>R16</f>
        <v>6.2335603850542126E-2</v>
      </c>
      <c r="R16" s="344">
        <f>O237/N239</f>
        <v>6.2335603850542126E-2</v>
      </c>
      <c r="S16" s="319" t="s">
        <v>504</v>
      </c>
      <c r="T16" s="319"/>
      <c r="U16" s="319"/>
      <c r="V16" s="319"/>
    </row>
    <row r="17" spans="1:22" ht="23.25" thickBot="1" x14ac:dyDescent="0.65">
      <c r="A17" s="814" t="s">
        <v>45</v>
      </c>
      <c r="B17" s="824">
        <f t="shared" ref="B17:N17" si="6">B6/B6</f>
        <v>1</v>
      </c>
      <c r="C17" s="824">
        <f t="shared" si="6"/>
        <v>1</v>
      </c>
      <c r="D17" s="824">
        <f t="shared" si="6"/>
        <v>1</v>
      </c>
      <c r="E17" s="824">
        <f t="shared" si="6"/>
        <v>1</v>
      </c>
      <c r="F17" s="824">
        <f t="shared" si="6"/>
        <v>1</v>
      </c>
      <c r="G17" s="824">
        <f t="shared" si="6"/>
        <v>1</v>
      </c>
      <c r="H17" s="824">
        <f t="shared" si="6"/>
        <v>1</v>
      </c>
      <c r="I17" s="824">
        <f t="shared" si="6"/>
        <v>1</v>
      </c>
      <c r="J17" s="824">
        <f t="shared" si="6"/>
        <v>1</v>
      </c>
      <c r="K17" s="824">
        <f t="shared" si="6"/>
        <v>1</v>
      </c>
      <c r="L17" s="824">
        <f t="shared" si="6"/>
        <v>1</v>
      </c>
      <c r="M17" s="824">
        <f t="shared" si="6"/>
        <v>1</v>
      </c>
      <c r="N17" s="824">
        <f t="shared" si="6"/>
        <v>1</v>
      </c>
      <c r="O17" s="825"/>
      <c r="P17" s="825"/>
      <c r="Q17" s="826">
        <v>1</v>
      </c>
      <c r="R17" s="831"/>
      <c r="S17" s="319"/>
      <c r="T17" s="319"/>
      <c r="U17" s="319"/>
      <c r="V17" s="319"/>
    </row>
    <row r="18" spans="1:22" x14ac:dyDescent="0.6">
      <c r="S18" s="319"/>
      <c r="T18" s="319"/>
      <c r="U18" s="319"/>
      <c r="V18" s="319"/>
    </row>
    <row r="19" spans="1:22" x14ac:dyDescent="0.6">
      <c r="S19" s="319"/>
      <c r="T19" s="319"/>
      <c r="U19" s="319"/>
      <c r="V19" s="319"/>
    </row>
    <row r="20" spans="1:22" x14ac:dyDescent="0.6">
      <c r="S20" s="319"/>
      <c r="T20" s="319"/>
      <c r="U20" s="319"/>
      <c r="V20" s="319"/>
    </row>
    <row r="21" spans="1:22" ht="23.25" thickBot="1" x14ac:dyDescent="0.65">
      <c r="J21" s="319"/>
      <c r="K21" s="319"/>
      <c r="L21" s="319"/>
      <c r="M21" s="350"/>
      <c r="N21" s="319"/>
      <c r="O21" s="319"/>
      <c r="P21" s="319"/>
      <c r="Q21" s="320"/>
      <c r="S21" s="320"/>
      <c r="T21" s="320"/>
      <c r="U21" s="320"/>
      <c r="V21" s="319"/>
    </row>
    <row r="22" spans="1:22" ht="23.25" thickBot="1" x14ac:dyDescent="0.65">
      <c r="A22" s="547" t="s">
        <v>172</v>
      </c>
      <c r="B22" s="545" t="s">
        <v>81</v>
      </c>
      <c r="C22" s="545" t="s">
        <v>80</v>
      </c>
      <c r="D22" s="545" t="s">
        <v>79</v>
      </c>
      <c r="E22" s="545" t="s">
        <v>78</v>
      </c>
      <c r="F22" s="545" t="s">
        <v>77</v>
      </c>
      <c r="G22" s="545" t="s">
        <v>76</v>
      </c>
      <c r="H22" s="545" t="s">
        <v>75</v>
      </c>
      <c r="I22" s="545" t="s">
        <v>74</v>
      </c>
      <c r="J22" s="545" t="s">
        <v>73</v>
      </c>
      <c r="K22" s="545" t="s">
        <v>72</v>
      </c>
      <c r="L22" s="545" t="s">
        <v>71</v>
      </c>
      <c r="M22" s="545" t="s">
        <v>70</v>
      </c>
      <c r="N22" s="546" t="s">
        <v>69</v>
      </c>
      <c r="O22" s="545" t="s">
        <v>68</v>
      </c>
      <c r="P22" s="545" t="s">
        <v>67</v>
      </c>
      <c r="Q22" s="544" t="s">
        <v>66</v>
      </c>
    </row>
    <row r="23" spans="1:22" x14ac:dyDescent="0.6">
      <c r="A23" s="543" t="s">
        <v>275</v>
      </c>
      <c r="B23" s="542"/>
      <c r="C23" s="542"/>
      <c r="D23" s="542"/>
      <c r="E23" s="542"/>
      <c r="F23" s="542"/>
      <c r="G23" s="542"/>
      <c r="H23" s="542"/>
      <c r="I23" s="542"/>
      <c r="J23" s="542"/>
      <c r="K23" s="542"/>
      <c r="L23" s="542"/>
      <c r="M23" s="542"/>
      <c r="N23" s="552"/>
      <c r="O23" s="542"/>
      <c r="P23" s="542"/>
      <c r="Q23" s="541"/>
    </row>
    <row r="24" spans="1:22" x14ac:dyDescent="0.6">
      <c r="A24" s="519" t="s">
        <v>251</v>
      </c>
      <c r="B24" s="518">
        <v>1252172</v>
      </c>
      <c r="C24" s="518">
        <v>1042727</v>
      </c>
      <c r="D24" s="518">
        <v>909429</v>
      </c>
      <c r="E24" s="518">
        <v>826253</v>
      </c>
      <c r="F24" s="518">
        <v>130466.75641439926</v>
      </c>
      <c r="G24" s="518">
        <v>366188</v>
      </c>
      <c r="H24" s="518">
        <v>497119</v>
      </c>
      <c r="I24" s="518">
        <v>668477</v>
      </c>
      <c r="J24" s="518">
        <v>94958</v>
      </c>
      <c r="K24" s="518">
        <v>273399</v>
      </c>
      <c r="L24" s="518">
        <v>401851</v>
      </c>
      <c r="M24" s="518">
        <v>659397</v>
      </c>
      <c r="N24" s="539">
        <v>177763</v>
      </c>
      <c r="O24" s="518"/>
      <c r="P24" s="518">
        <f>Q24-N24</f>
        <v>574043.44194793305</v>
      </c>
      <c r="Q24" s="520">
        <f>Q38*Q28</f>
        <v>751806.44194793305</v>
      </c>
    </row>
    <row r="25" spans="1:22" x14ac:dyDescent="0.6">
      <c r="A25" s="530" t="s">
        <v>274</v>
      </c>
      <c r="B25" s="529">
        <v>2199532</v>
      </c>
      <c r="C25" s="529">
        <v>1316244</v>
      </c>
      <c r="D25" s="529">
        <v>1285524</v>
      </c>
      <c r="E25" s="529">
        <v>905693</v>
      </c>
      <c r="F25" s="529">
        <v>167159.24358560072</v>
      </c>
      <c r="G25" s="529">
        <v>260768</v>
      </c>
      <c r="H25" s="529">
        <v>389823</v>
      </c>
      <c r="I25" s="529">
        <v>529519</v>
      </c>
      <c r="J25" s="529">
        <v>121664</v>
      </c>
      <c r="K25" s="529">
        <v>409845</v>
      </c>
      <c r="L25" s="529">
        <v>622633</v>
      </c>
      <c r="M25" s="529">
        <v>929680</v>
      </c>
      <c r="N25" s="540">
        <v>268002</v>
      </c>
      <c r="O25" s="529"/>
      <c r="P25" s="529">
        <f>Q25-N25</f>
        <v>641898.187616357</v>
      </c>
      <c r="Q25" s="531">
        <f>Q39*Q28</f>
        <v>909900.187616357</v>
      </c>
    </row>
    <row r="26" spans="1:22" x14ac:dyDescent="0.6">
      <c r="A26" s="519" t="s">
        <v>120</v>
      </c>
      <c r="B26" s="518">
        <v>459983</v>
      </c>
      <c r="C26" s="518">
        <v>992659</v>
      </c>
      <c r="D26" s="518">
        <v>697307</v>
      </c>
      <c r="E26" s="518">
        <v>747573</v>
      </c>
      <c r="F26" s="518">
        <v>36719</v>
      </c>
      <c r="G26" s="518">
        <v>182974</v>
      </c>
      <c r="H26" s="518">
        <v>234989</v>
      </c>
      <c r="I26" s="518">
        <v>504777</v>
      </c>
      <c r="J26" s="518">
        <v>101019</v>
      </c>
      <c r="K26" s="518">
        <v>289946</v>
      </c>
      <c r="L26" s="518">
        <v>445912</v>
      </c>
      <c r="M26" s="518">
        <v>523181</v>
      </c>
      <c r="N26" s="539">
        <v>0</v>
      </c>
      <c r="O26" s="518"/>
      <c r="P26" s="518">
        <f>Q26-N26</f>
        <v>559543.66898014862</v>
      </c>
      <c r="Q26" s="520">
        <f>Q40*Q2</f>
        <v>559543.66898014862</v>
      </c>
      <c r="R26" s="350"/>
    </row>
    <row r="27" spans="1:22" x14ac:dyDescent="0.6">
      <c r="A27" s="848" t="s">
        <v>335</v>
      </c>
      <c r="B27" s="849"/>
      <c r="C27" s="849"/>
      <c r="D27" s="849"/>
      <c r="E27" s="849"/>
      <c r="F27" s="849"/>
      <c r="G27" s="849"/>
      <c r="H27" s="849"/>
      <c r="I27" s="849"/>
      <c r="J27" s="849"/>
      <c r="K27" s="849"/>
      <c r="L27" s="849"/>
      <c r="M27" s="849"/>
      <c r="N27" s="850"/>
      <c r="O27" s="849"/>
      <c r="P27" s="849">
        <f>Q27</f>
        <v>53052.243010282022</v>
      </c>
      <c r="Q27" s="851">
        <f>Q5</f>
        <v>53052.243010282022</v>
      </c>
      <c r="R27" s="350"/>
    </row>
    <row r="28" spans="1:22" ht="23.25" thickBot="1" x14ac:dyDescent="0.65">
      <c r="A28" s="515" t="s">
        <v>278</v>
      </c>
      <c r="B28" s="514">
        <f t="shared" ref="B28:D28" si="7">SUM(B24:B25)</f>
        <v>3451704</v>
      </c>
      <c r="C28" s="514">
        <f t="shared" si="7"/>
        <v>2358971</v>
      </c>
      <c r="D28" s="514">
        <f t="shared" si="7"/>
        <v>2194953</v>
      </c>
      <c r="E28" s="514">
        <f t="shared" ref="E28:N28" si="8">SUM(E24:E25)</f>
        <v>1731946</v>
      </c>
      <c r="F28" s="514">
        <f t="shared" si="8"/>
        <v>297626</v>
      </c>
      <c r="G28" s="514">
        <f t="shared" si="8"/>
        <v>626956</v>
      </c>
      <c r="H28" s="514">
        <f t="shared" si="8"/>
        <v>886942</v>
      </c>
      <c r="I28" s="514">
        <f t="shared" si="8"/>
        <v>1197996</v>
      </c>
      <c r="J28" s="514">
        <f t="shared" si="8"/>
        <v>216622</v>
      </c>
      <c r="K28" s="514">
        <f t="shared" si="8"/>
        <v>683244</v>
      </c>
      <c r="L28" s="514">
        <f t="shared" si="8"/>
        <v>1024484</v>
      </c>
      <c r="M28" s="514">
        <f t="shared" si="8"/>
        <v>1589077</v>
      </c>
      <c r="N28" s="514">
        <f t="shared" si="8"/>
        <v>445765</v>
      </c>
      <c r="O28" s="514"/>
      <c r="P28" s="514">
        <f>Q28-N28</f>
        <v>1215941.6295642899</v>
      </c>
      <c r="Q28" s="516">
        <f>Q42*Q33</f>
        <v>1661706.6295642899</v>
      </c>
      <c r="R28" s="350"/>
    </row>
    <row r="29" spans="1:22" x14ac:dyDescent="0.6">
      <c r="A29" s="551" t="s">
        <v>273</v>
      </c>
      <c r="B29" s="549"/>
      <c r="C29" s="549"/>
      <c r="D29" s="549"/>
      <c r="E29" s="549"/>
      <c r="F29" s="549"/>
      <c r="G29" s="549"/>
      <c r="H29" s="549"/>
      <c r="I29" s="549"/>
      <c r="J29" s="549"/>
      <c r="K29" s="549"/>
      <c r="L29" s="549"/>
      <c r="M29" s="549"/>
      <c r="N29" s="550"/>
      <c r="O29" s="549"/>
      <c r="P29" s="549"/>
      <c r="Q29" s="548"/>
      <c r="R29" s="350"/>
    </row>
    <row r="30" spans="1:22" x14ac:dyDescent="0.6">
      <c r="A30" s="530" t="s">
        <v>251</v>
      </c>
      <c r="B30" s="529">
        <v>0</v>
      </c>
      <c r="C30" s="529">
        <v>292197</v>
      </c>
      <c r="D30" s="529">
        <v>20816</v>
      </c>
      <c r="E30" s="529">
        <v>707960</v>
      </c>
      <c r="F30" s="529">
        <v>373346.57197734906</v>
      </c>
      <c r="G30" s="529">
        <v>331005</v>
      </c>
      <c r="H30" s="529">
        <v>499452</v>
      </c>
      <c r="I30" s="529">
        <v>842376</v>
      </c>
      <c r="J30" s="529">
        <v>352412</v>
      </c>
      <c r="K30" s="529">
        <v>559923</v>
      </c>
      <c r="L30" s="529">
        <v>615144</v>
      </c>
      <c r="M30" s="529">
        <v>727546</v>
      </c>
      <c r="N30" s="540">
        <v>140684</v>
      </c>
      <c r="O30" s="529"/>
      <c r="P30" s="529">
        <f>Q30-N30</f>
        <v>469244.42339548492</v>
      </c>
      <c r="Q30" s="531">
        <f>Q44*Q32</f>
        <v>609928.42339548492</v>
      </c>
      <c r="R30" s="350"/>
    </row>
    <row r="31" spans="1:22" x14ac:dyDescent="0.6">
      <c r="A31" s="519" t="s">
        <v>274</v>
      </c>
      <c r="B31" s="518">
        <v>21642</v>
      </c>
      <c r="C31" s="518">
        <v>335118</v>
      </c>
      <c r="D31" s="518">
        <v>1344106</v>
      </c>
      <c r="E31" s="518">
        <v>1191075</v>
      </c>
      <c r="F31" s="518">
        <v>436351.42802265089</v>
      </c>
      <c r="G31" s="518">
        <v>1066062</v>
      </c>
      <c r="H31" s="518">
        <v>1474968</v>
      </c>
      <c r="I31" s="518">
        <v>1927491</v>
      </c>
      <c r="J31" s="518">
        <v>411884</v>
      </c>
      <c r="K31" s="518">
        <v>637806</v>
      </c>
      <c r="L31" s="518">
        <v>1049026</v>
      </c>
      <c r="M31" s="518">
        <v>1455504</v>
      </c>
      <c r="N31" s="539">
        <v>408623</v>
      </c>
      <c r="O31" s="518"/>
      <c r="P31" s="518">
        <f>Q31-N31</f>
        <v>969733.12700283341</v>
      </c>
      <c r="Q31" s="520">
        <f>Q45*Q32</f>
        <v>1378356.1270028334</v>
      </c>
    </row>
    <row r="32" spans="1:22" x14ac:dyDescent="0.6">
      <c r="A32" s="530" t="s">
        <v>280</v>
      </c>
      <c r="B32" s="529">
        <f t="shared" ref="B32:I32" si="9">SUM(B30:B31)</f>
        <v>21642</v>
      </c>
      <c r="C32" s="529">
        <f t="shared" si="9"/>
        <v>627315</v>
      </c>
      <c r="D32" s="529">
        <f t="shared" si="9"/>
        <v>1364922</v>
      </c>
      <c r="E32" s="529">
        <f t="shared" si="9"/>
        <v>1899035</v>
      </c>
      <c r="F32" s="529">
        <f t="shared" si="9"/>
        <v>809698</v>
      </c>
      <c r="G32" s="529">
        <f t="shared" si="9"/>
        <v>1397067</v>
      </c>
      <c r="H32" s="529">
        <f t="shared" si="9"/>
        <v>1974420</v>
      </c>
      <c r="I32" s="529">
        <f t="shared" si="9"/>
        <v>2769867</v>
      </c>
      <c r="J32" s="529">
        <v>809698</v>
      </c>
      <c r="K32" s="529">
        <f>SUM(K30:K31)</f>
        <v>1197729</v>
      </c>
      <c r="L32" s="529">
        <f>SUM(L30:L31)</f>
        <v>1664170</v>
      </c>
      <c r="M32" s="529">
        <f>SUM(M30:M31)</f>
        <v>2183050</v>
      </c>
      <c r="N32" s="529">
        <f>SUM(N30:N31)</f>
        <v>549307</v>
      </c>
      <c r="O32" s="529"/>
      <c r="P32" s="529">
        <f>Q32-N32</f>
        <v>1447590.7476396007</v>
      </c>
      <c r="Q32" s="531">
        <f>Q46*Q33</f>
        <v>1996897.7476396007</v>
      </c>
    </row>
    <row r="33" spans="1:17" ht="23.25" thickBot="1" x14ac:dyDescent="0.65">
      <c r="A33" s="538" t="s">
        <v>276</v>
      </c>
      <c r="B33" s="537">
        <f>SUM(B24:B25,B30:B31)</f>
        <v>3473346</v>
      </c>
      <c r="C33" s="537">
        <f t="shared" ref="C33:N33" si="10">C28+C32</f>
        <v>2986286</v>
      </c>
      <c r="D33" s="537">
        <f t="shared" si="10"/>
        <v>3559875</v>
      </c>
      <c r="E33" s="537">
        <f t="shared" si="10"/>
        <v>3630981</v>
      </c>
      <c r="F33" s="537">
        <f t="shared" si="10"/>
        <v>1107324</v>
      </c>
      <c r="G33" s="537">
        <f t="shared" si="10"/>
        <v>2024023</v>
      </c>
      <c r="H33" s="537">
        <f t="shared" si="10"/>
        <v>2861362</v>
      </c>
      <c r="I33" s="537">
        <f t="shared" si="10"/>
        <v>3967863</v>
      </c>
      <c r="J33" s="537">
        <f t="shared" si="10"/>
        <v>1026320</v>
      </c>
      <c r="K33" s="537">
        <f t="shared" si="10"/>
        <v>1880973</v>
      </c>
      <c r="L33" s="537">
        <f t="shared" si="10"/>
        <v>2688654</v>
      </c>
      <c r="M33" s="537">
        <f t="shared" si="10"/>
        <v>3772127</v>
      </c>
      <c r="N33" s="537">
        <f t="shared" si="10"/>
        <v>995072</v>
      </c>
      <c r="O33" s="537"/>
      <c r="P33" s="537">
        <f>Q33-N33</f>
        <v>2663532.3772038906</v>
      </c>
      <c r="Q33" s="536">
        <f>Q47*Q6</f>
        <v>3658604.3772038906</v>
      </c>
    </row>
    <row r="36" spans="1:17" ht="23.25" thickBot="1" x14ac:dyDescent="0.65">
      <c r="A36" s="811" t="s">
        <v>281</v>
      </c>
      <c r="B36" s="811" t="s">
        <v>81</v>
      </c>
      <c r="C36" s="811" t="s">
        <v>80</v>
      </c>
      <c r="D36" s="811" t="s">
        <v>79</v>
      </c>
      <c r="E36" s="811" t="s">
        <v>78</v>
      </c>
      <c r="F36" s="811" t="s">
        <v>77</v>
      </c>
      <c r="G36" s="811" t="s">
        <v>76</v>
      </c>
      <c r="H36" s="811" t="s">
        <v>75</v>
      </c>
      <c r="I36" s="811" t="s">
        <v>74</v>
      </c>
      <c r="J36" s="811" t="s">
        <v>73</v>
      </c>
      <c r="K36" s="811" t="s">
        <v>72</v>
      </c>
      <c r="L36" s="811" t="s">
        <v>71</v>
      </c>
      <c r="M36" s="811" t="s">
        <v>70</v>
      </c>
      <c r="N36" s="811" t="s">
        <v>69</v>
      </c>
      <c r="O36" s="811" t="s">
        <v>68</v>
      </c>
      <c r="P36" s="811" t="s">
        <v>67</v>
      </c>
      <c r="Q36" s="811" t="s">
        <v>66</v>
      </c>
    </row>
    <row r="37" spans="1:17" x14ac:dyDescent="0.6">
      <c r="A37" s="811" t="s">
        <v>275</v>
      </c>
      <c r="B37" s="867"/>
      <c r="C37" s="867"/>
      <c r="D37" s="867"/>
      <c r="E37" s="867"/>
      <c r="F37" s="867"/>
      <c r="G37" s="867"/>
      <c r="H37" s="867"/>
      <c r="I37" s="867"/>
      <c r="J37" s="867"/>
      <c r="K37" s="867"/>
      <c r="L37" s="867"/>
      <c r="M37" s="867"/>
      <c r="N37" s="868"/>
      <c r="O37" s="867"/>
      <c r="P37" s="867"/>
      <c r="Q37" s="869"/>
    </row>
    <row r="38" spans="1:17" x14ac:dyDescent="0.6">
      <c r="A38" s="811" t="s">
        <v>251</v>
      </c>
      <c r="B38" s="871">
        <f t="shared" ref="B38:N38" si="11">B24/B28</f>
        <v>0.36276922934295641</v>
      </c>
      <c r="C38" s="871">
        <f t="shared" si="11"/>
        <v>0.44202620549383609</v>
      </c>
      <c r="D38" s="871">
        <f t="shared" si="11"/>
        <v>0.41432732272627248</v>
      </c>
      <c r="E38" s="871">
        <f t="shared" si="11"/>
        <v>0.47706625957160326</v>
      </c>
      <c r="F38" s="871">
        <f t="shared" si="11"/>
        <v>0.43835806150806472</v>
      </c>
      <c r="G38" s="871">
        <f t="shared" si="11"/>
        <v>0.58407288549754688</v>
      </c>
      <c r="H38" s="871">
        <f t="shared" si="11"/>
        <v>0.56048648051394567</v>
      </c>
      <c r="I38" s="871">
        <f t="shared" si="11"/>
        <v>0.55799602002010018</v>
      </c>
      <c r="J38" s="871">
        <f t="shared" si="11"/>
        <v>0.43835806150806472</v>
      </c>
      <c r="K38" s="871">
        <f t="shared" si="11"/>
        <v>0.40014840964574883</v>
      </c>
      <c r="L38" s="871">
        <f t="shared" si="11"/>
        <v>0.39224721908785298</v>
      </c>
      <c r="M38" s="871">
        <f t="shared" si="11"/>
        <v>0.41495597758950636</v>
      </c>
      <c r="N38" s="871">
        <f t="shared" si="11"/>
        <v>0.39878186937063254</v>
      </c>
      <c r="O38" s="872"/>
      <c r="P38" s="872"/>
      <c r="Q38" s="873">
        <f>AVERAGE(B38:N38)</f>
        <v>0.45243030783662547</v>
      </c>
    </row>
    <row r="39" spans="1:17" x14ac:dyDescent="0.6">
      <c r="A39" s="811" t="s">
        <v>274</v>
      </c>
      <c r="B39" s="875">
        <f t="shared" ref="B39:N39" si="12">B25/B28</f>
        <v>0.63723077065704359</v>
      </c>
      <c r="C39" s="875">
        <f t="shared" si="12"/>
        <v>0.55797379450616391</v>
      </c>
      <c r="D39" s="875">
        <f t="shared" si="12"/>
        <v>0.58567267727372752</v>
      </c>
      <c r="E39" s="875">
        <f t="shared" si="12"/>
        <v>0.52293374042839669</v>
      </c>
      <c r="F39" s="875">
        <f t="shared" si="12"/>
        <v>0.56164193849193522</v>
      </c>
      <c r="G39" s="875">
        <f t="shared" si="12"/>
        <v>0.41592711450245312</v>
      </c>
      <c r="H39" s="875">
        <f t="shared" si="12"/>
        <v>0.43951351948605433</v>
      </c>
      <c r="I39" s="875">
        <f t="shared" si="12"/>
        <v>0.44200397997989976</v>
      </c>
      <c r="J39" s="875">
        <f t="shared" si="12"/>
        <v>0.56164193849193522</v>
      </c>
      <c r="K39" s="875">
        <f t="shared" si="12"/>
        <v>0.59985159035425117</v>
      </c>
      <c r="L39" s="875">
        <f t="shared" si="12"/>
        <v>0.60775278091214702</v>
      </c>
      <c r="M39" s="875">
        <f t="shared" si="12"/>
        <v>0.58504402241049369</v>
      </c>
      <c r="N39" s="875">
        <f t="shared" si="12"/>
        <v>0.60121813062936746</v>
      </c>
      <c r="O39" s="876"/>
      <c r="P39" s="876"/>
      <c r="Q39" s="877">
        <f>AVERAGE(B39:N39)</f>
        <v>0.54756969216337459</v>
      </c>
    </row>
    <row r="40" spans="1:17" x14ac:dyDescent="0.6">
      <c r="A40" s="811" t="s">
        <v>120</v>
      </c>
      <c r="B40" s="871">
        <f t="shared" ref="B40:N40" si="13">B26/B2</f>
        <v>0.20418787043712025</v>
      </c>
      <c r="C40" s="871">
        <f t="shared" si="13"/>
        <v>0.48766563237522181</v>
      </c>
      <c r="D40" s="871">
        <f t="shared" si="13"/>
        <v>0.29227080779185399</v>
      </c>
      <c r="E40" s="871">
        <f t="shared" si="13"/>
        <v>0.34239833136616649</v>
      </c>
      <c r="F40" s="871">
        <f t="shared" si="13"/>
        <v>6.6016076574981167E-2</v>
      </c>
      <c r="G40" s="871">
        <f t="shared" si="13"/>
        <v>0.14887263804000442</v>
      </c>
      <c r="H40" s="871">
        <f t="shared" si="13"/>
        <v>0.1312879391018926</v>
      </c>
      <c r="I40" s="871">
        <f t="shared" si="13"/>
        <v>0.21676082393478327</v>
      </c>
      <c r="J40" s="871">
        <f t="shared" si="13"/>
        <v>0.18957104950063991</v>
      </c>
      <c r="K40" s="871">
        <f t="shared" si="13"/>
        <v>0.26267055249905102</v>
      </c>
      <c r="L40" s="871">
        <f t="shared" si="13"/>
        <v>0.25422026204677434</v>
      </c>
      <c r="M40" s="871">
        <f t="shared" si="13"/>
        <v>0.21321865078879909</v>
      </c>
      <c r="N40" s="871">
        <f t="shared" si="13"/>
        <v>0</v>
      </c>
      <c r="O40" s="872"/>
      <c r="P40" s="872"/>
      <c r="Q40" s="873">
        <f>AVERAGE(G40:M40,B40:E40)</f>
        <v>0.24937495980748248</v>
      </c>
    </row>
    <row r="41" spans="1:17" x14ac:dyDescent="0.6">
      <c r="A41" s="811"/>
      <c r="B41" s="878"/>
      <c r="C41" s="878"/>
      <c r="D41" s="878"/>
      <c r="E41" s="878"/>
      <c r="F41" s="878"/>
      <c r="G41" s="878"/>
      <c r="H41" s="878"/>
      <c r="I41" s="878"/>
      <c r="J41" s="878"/>
      <c r="K41" s="878"/>
      <c r="L41" s="878"/>
      <c r="M41" s="878"/>
      <c r="N41" s="878"/>
      <c r="O41" s="879"/>
      <c r="P41" s="879"/>
      <c r="Q41" s="880"/>
    </row>
    <row r="42" spans="1:17" ht="23.25" thickBot="1" x14ac:dyDescent="0.65">
      <c r="A42" s="811" t="s">
        <v>278</v>
      </c>
      <c r="B42" s="882">
        <f t="shared" ref="B42:N42" si="14">B28/B33</f>
        <v>0.99376912061165223</v>
      </c>
      <c r="C42" s="882">
        <f t="shared" si="14"/>
        <v>0.78993472159063127</v>
      </c>
      <c r="D42" s="882">
        <f t="shared" si="14"/>
        <v>0.61658148109133049</v>
      </c>
      <c r="E42" s="882">
        <f t="shared" si="14"/>
        <v>0.47699120430539294</v>
      </c>
      <c r="F42" s="882">
        <f t="shared" si="14"/>
        <v>0.26877950807532391</v>
      </c>
      <c r="G42" s="882">
        <f t="shared" si="14"/>
        <v>0.30975734959533563</v>
      </c>
      <c r="H42" s="882">
        <f t="shared" si="14"/>
        <v>0.30997196440017027</v>
      </c>
      <c r="I42" s="882">
        <f t="shared" si="14"/>
        <v>0.30192473883296878</v>
      </c>
      <c r="J42" s="882">
        <f t="shared" si="14"/>
        <v>0.21106672382882533</v>
      </c>
      <c r="K42" s="882">
        <f t="shared" si="14"/>
        <v>0.36323966372723054</v>
      </c>
      <c r="L42" s="882">
        <f t="shared" si="14"/>
        <v>0.38103973214850256</v>
      </c>
      <c r="M42" s="882">
        <f t="shared" si="14"/>
        <v>0.42126815984721616</v>
      </c>
      <c r="N42" s="882">
        <f t="shared" si="14"/>
        <v>0.44797260901723696</v>
      </c>
      <c r="O42" s="883"/>
      <c r="P42" s="883"/>
      <c r="Q42" s="884">
        <f>AVERAGE(M42,I42,E42,D42)</f>
        <v>0.45419139601922709</v>
      </c>
    </row>
    <row r="43" spans="1:17" x14ac:dyDescent="0.6">
      <c r="A43" s="811" t="s">
        <v>273</v>
      </c>
      <c r="B43" s="885"/>
      <c r="C43" s="885"/>
      <c r="D43" s="885"/>
      <c r="E43" s="885"/>
      <c r="F43" s="885"/>
      <c r="G43" s="885"/>
      <c r="H43" s="885"/>
      <c r="I43" s="885"/>
      <c r="J43" s="885"/>
      <c r="K43" s="885"/>
      <c r="L43" s="885"/>
      <c r="M43" s="885"/>
      <c r="N43" s="886"/>
      <c r="O43" s="885"/>
      <c r="P43" s="885"/>
      <c r="Q43" s="887"/>
    </row>
    <row r="44" spans="1:17" x14ac:dyDescent="0.6">
      <c r="A44" s="811" t="s">
        <v>251</v>
      </c>
      <c r="B44" s="875">
        <f t="shared" ref="B44:N44" si="15">B30/B32</f>
        <v>0</v>
      </c>
      <c r="C44" s="875">
        <f t="shared" si="15"/>
        <v>0.4657899141579589</v>
      </c>
      <c r="D44" s="875">
        <f t="shared" si="15"/>
        <v>1.525068831772072E-2</v>
      </c>
      <c r="E44" s="875">
        <f t="shared" si="15"/>
        <v>0.37279986940735688</v>
      </c>
      <c r="F44" s="875">
        <f t="shared" si="15"/>
        <v>0.46109360771219521</v>
      </c>
      <c r="G44" s="875">
        <f t="shared" si="15"/>
        <v>0.23692850808157376</v>
      </c>
      <c r="H44" s="875">
        <f t="shared" si="15"/>
        <v>0.25296137599902757</v>
      </c>
      <c r="I44" s="875">
        <f t="shared" si="15"/>
        <v>0.30412146142757035</v>
      </c>
      <c r="J44" s="875">
        <f t="shared" si="15"/>
        <v>0.43523881743563647</v>
      </c>
      <c r="K44" s="875">
        <f t="shared" si="15"/>
        <v>0.46748721956302303</v>
      </c>
      <c r="L44" s="875">
        <f t="shared" si="15"/>
        <v>0.36964012090110987</v>
      </c>
      <c r="M44" s="875">
        <f t="shared" si="15"/>
        <v>0.33327042440622068</v>
      </c>
      <c r="N44" s="875">
        <f t="shared" si="15"/>
        <v>0.25611179176671695</v>
      </c>
      <c r="O44" s="876"/>
      <c r="P44" s="876"/>
      <c r="Q44" s="877">
        <f>AVERAGE(B44:N44)</f>
        <v>0.30543798455200849</v>
      </c>
    </row>
    <row r="45" spans="1:17" x14ac:dyDescent="0.6">
      <c r="A45" s="811" t="s">
        <v>274</v>
      </c>
      <c r="B45" s="871">
        <f t="shared" ref="B45:N45" si="16">B31/B32</f>
        <v>1</v>
      </c>
      <c r="C45" s="871">
        <f t="shared" si="16"/>
        <v>0.5342100858420411</v>
      </c>
      <c r="D45" s="871">
        <f t="shared" si="16"/>
        <v>0.9847493116822793</v>
      </c>
      <c r="E45" s="871">
        <f t="shared" si="16"/>
        <v>0.62720013059264312</v>
      </c>
      <c r="F45" s="871">
        <f t="shared" si="16"/>
        <v>0.53890639228780468</v>
      </c>
      <c r="G45" s="871">
        <f t="shared" si="16"/>
        <v>0.76307149191842627</v>
      </c>
      <c r="H45" s="871">
        <f t="shared" si="16"/>
        <v>0.74703862400097243</v>
      </c>
      <c r="I45" s="871">
        <f t="shared" si="16"/>
        <v>0.69587853857242965</v>
      </c>
      <c r="J45" s="871">
        <f t="shared" si="16"/>
        <v>0.50868842457311247</v>
      </c>
      <c r="K45" s="871">
        <f t="shared" si="16"/>
        <v>0.53251278043697703</v>
      </c>
      <c r="L45" s="871">
        <f t="shared" si="16"/>
        <v>0.63035987909889013</v>
      </c>
      <c r="M45" s="871">
        <f t="shared" si="16"/>
        <v>0.66672957559377932</v>
      </c>
      <c r="N45" s="871">
        <f t="shared" si="16"/>
        <v>0.74388820823328305</v>
      </c>
      <c r="O45" s="872"/>
      <c r="P45" s="872"/>
      <c r="Q45" s="873">
        <f>AVERAGE(B45:N45)</f>
        <v>0.69024872637174139</v>
      </c>
    </row>
    <row r="46" spans="1:17" x14ac:dyDescent="0.6">
      <c r="A46" s="811" t="s">
        <v>280</v>
      </c>
      <c r="B46" s="875">
        <f t="shared" ref="B46:N46" si="17">B32/B33</f>
        <v>6.2308793883477202E-3</v>
      </c>
      <c r="C46" s="875">
        <f t="shared" si="17"/>
        <v>0.2100652784093687</v>
      </c>
      <c r="D46" s="875">
        <f t="shared" si="17"/>
        <v>0.38341851890866957</v>
      </c>
      <c r="E46" s="875">
        <f t="shared" si="17"/>
        <v>0.52300879569460701</v>
      </c>
      <c r="F46" s="875">
        <f t="shared" si="17"/>
        <v>0.73122049192467609</v>
      </c>
      <c r="G46" s="875">
        <f t="shared" si="17"/>
        <v>0.69024265040466437</v>
      </c>
      <c r="H46" s="875">
        <f t="shared" si="17"/>
        <v>0.69002803559982973</v>
      </c>
      <c r="I46" s="875">
        <f t="shared" si="17"/>
        <v>0.69807526116703122</v>
      </c>
      <c r="J46" s="875">
        <f t="shared" si="17"/>
        <v>0.7889332761711747</v>
      </c>
      <c r="K46" s="875">
        <f t="shared" si="17"/>
        <v>0.63676033627276951</v>
      </c>
      <c r="L46" s="875">
        <f t="shared" si="17"/>
        <v>0.61896026785149749</v>
      </c>
      <c r="M46" s="875">
        <f t="shared" si="17"/>
        <v>0.57873184015278378</v>
      </c>
      <c r="N46" s="875">
        <f t="shared" si="17"/>
        <v>0.5520273909827631</v>
      </c>
      <c r="O46" s="876"/>
      <c r="P46" s="876"/>
      <c r="Q46" s="877">
        <f>AVERAGE(M46,I46,E46,D46)</f>
        <v>0.54580860398077291</v>
      </c>
    </row>
    <row r="47" spans="1:17" ht="23.25" thickBot="1" x14ac:dyDescent="0.65">
      <c r="A47" s="811" t="s">
        <v>279</v>
      </c>
      <c r="B47" s="882">
        <f t="shared" ref="B47:N47" si="18">B33/B6</f>
        <v>0.97796131848602008</v>
      </c>
      <c r="C47" s="882">
        <f t="shared" si="18"/>
        <v>0.86337015748780455</v>
      </c>
      <c r="D47" s="882">
        <f t="shared" si="18"/>
        <v>1.0353000265232242</v>
      </c>
      <c r="E47" s="882">
        <f t="shared" si="18"/>
        <v>1.0086932534152959</v>
      </c>
      <c r="F47" s="882">
        <f t="shared" si="18"/>
        <v>1.1728238673433939</v>
      </c>
      <c r="G47" s="882">
        <f t="shared" si="18"/>
        <v>1.0758834742136412</v>
      </c>
      <c r="H47" s="882">
        <f t="shared" si="18"/>
        <v>1.0164541003458918</v>
      </c>
      <c r="I47" s="882">
        <f t="shared" si="18"/>
        <v>1.0537158708951662</v>
      </c>
      <c r="J47" s="882">
        <f t="shared" si="18"/>
        <v>1.0510899866248</v>
      </c>
      <c r="K47" s="882">
        <f t="shared" si="18"/>
        <v>0.98501973471639559</v>
      </c>
      <c r="L47" s="882">
        <f t="shared" si="18"/>
        <v>0.94680350189825258</v>
      </c>
      <c r="M47" s="882">
        <f t="shared" si="18"/>
        <v>0.98683049454710792</v>
      </c>
      <c r="N47" s="882">
        <f t="shared" si="18"/>
        <v>1.0152521673300188</v>
      </c>
      <c r="O47" s="883"/>
      <c r="P47" s="883"/>
      <c r="Q47" s="884">
        <f>AVERAGE(B47:N47)</f>
        <v>1.0145536887559241</v>
      </c>
    </row>
    <row r="50" spans="1:35" ht="23.25" thickBot="1" x14ac:dyDescent="0.65">
      <c r="S50" s="335"/>
      <c r="T50" s="335"/>
    </row>
    <row r="51" spans="1:35" ht="23.25" thickBot="1" x14ac:dyDescent="0.65">
      <c r="A51" s="547" t="s">
        <v>167</v>
      </c>
      <c r="B51" s="545" t="s">
        <v>81</v>
      </c>
      <c r="C51" s="545" t="s">
        <v>80</v>
      </c>
      <c r="D51" s="545" t="s">
        <v>79</v>
      </c>
      <c r="E51" s="545" t="s">
        <v>78</v>
      </c>
      <c r="F51" s="545" t="s">
        <v>77</v>
      </c>
      <c r="G51" s="545" t="s">
        <v>76</v>
      </c>
      <c r="H51" s="545" t="s">
        <v>75</v>
      </c>
      <c r="I51" s="545" t="s">
        <v>74</v>
      </c>
      <c r="J51" s="545" t="s">
        <v>73</v>
      </c>
      <c r="K51" s="545" t="s">
        <v>72</v>
      </c>
      <c r="L51" s="545" t="s">
        <v>71</v>
      </c>
      <c r="M51" s="545" t="s">
        <v>70</v>
      </c>
      <c r="N51" s="546" t="s">
        <v>69</v>
      </c>
      <c r="O51" s="545" t="s">
        <v>68</v>
      </c>
      <c r="P51" s="545" t="s">
        <v>67</v>
      </c>
      <c r="Q51" s="544" t="s">
        <v>66</v>
      </c>
    </row>
    <row r="52" spans="1:35" customFormat="1" x14ac:dyDescent="0.6">
      <c r="A52" s="543" t="s">
        <v>275</v>
      </c>
      <c r="B52" s="542"/>
      <c r="C52" s="542"/>
      <c r="D52" s="542"/>
      <c r="E52" s="542"/>
      <c r="F52" s="542"/>
      <c r="G52" s="542"/>
      <c r="H52" s="542"/>
      <c r="I52" s="542"/>
      <c r="J52" s="542"/>
      <c r="K52" s="542"/>
      <c r="L52" s="542"/>
      <c r="M52" s="542"/>
      <c r="N52" s="542"/>
      <c r="O52" s="542"/>
      <c r="P52" s="542"/>
      <c r="Q52" s="541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</row>
    <row r="53" spans="1:35" x14ac:dyDescent="0.6">
      <c r="A53" s="519" t="s">
        <v>251</v>
      </c>
      <c r="B53" s="518">
        <v>18668723</v>
      </c>
      <c r="C53" s="518">
        <v>15468496</v>
      </c>
      <c r="D53" s="518">
        <v>11106021</v>
      </c>
      <c r="E53" s="518">
        <v>11267119</v>
      </c>
      <c r="F53" s="518">
        <v>2015259.3230657696</v>
      </c>
      <c r="G53" s="518">
        <v>5959773</v>
      </c>
      <c r="H53" s="518">
        <v>8507226</v>
      </c>
      <c r="I53" s="518">
        <v>11985003</v>
      </c>
      <c r="J53" s="518">
        <v>2216777</v>
      </c>
      <c r="K53" s="518">
        <v>6583484</v>
      </c>
      <c r="L53" s="518">
        <v>11008640</v>
      </c>
      <c r="M53" s="518">
        <v>18951101</v>
      </c>
      <c r="N53" s="539">
        <v>6905748</v>
      </c>
      <c r="O53" s="518"/>
      <c r="P53" s="518">
        <f>P24*P83/1000000</f>
        <v>22212292.96610843</v>
      </c>
      <c r="Q53" s="520"/>
    </row>
    <row r="54" spans="1:35" x14ac:dyDescent="0.6">
      <c r="A54" s="530" t="s">
        <v>274</v>
      </c>
      <c r="B54" s="529">
        <v>34728764</v>
      </c>
      <c r="C54" s="529">
        <v>19739140</v>
      </c>
      <c r="D54" s="529">
        <v>14697758</v>
      </c>
      <c r="E54" s="529">
        <v>11524742</v>
      </c>
      <c r="F54" s="529">
        <v>2476454.6769342301</v>
      </c>
      <c r="G54" s="529">
        <v>3851715</v>
      </c>
      <c r="H54" s="529">
        <v>6224644</v>
      </c>
      <c r="I54" s="529">
        <v>8963091</v>
      </c>
      <c r="J54" s="529">
        <v>2724090</v>
      </c>
      <c r="K54" s="529">
        <v>9881877</v>
      </c>
      <c r="L54" s="529">
        <v>16561262</v>
      </c>
      <c r="M54" s="529">
        <v>26375731</v>
      </c>
      <c r="N54" s="540">
        <v>10748163</v>
      </c>
      <c r="O54" s="529"/>
      <c r="P54" s="529">
        <f>P25*P84/1000000</f>
        <v>22088559.448199183</v>
      </c>
      <c r="Q54" s="531"/>
      <c r="R54" s="320"/>
    </row>
    <row r="55" spans="1:35" x14ac:dyDescent="0.6">
      <c r="A55" s="519" t="s">
        <v>120</v>
      </c>
      <c r="B55" s="518">
        <v>1635934</v>
      </c>
      <c r="C55" s="518">
        <v>3516524</v>
      </c>
      <c r="D55" s="518">
        <v>1833225</v>
      </c>
      <c r="E55" s="518">
        <v>1925611</v>
      </c>
      <c r="F55" s="518">
        <v>108984</v>
      </c>
      <c r="G55" s="518">
        <v>567633</v>
      </c>
      <c r="H55" s="518">
        <v>770235</v>
      </c>
      <c r="I55" s="518">
        <v>1897015</v>
      </c>
      <c r="J55" s="518">
        <v>449948</v>
      </c>
      <c r="K55" s="518">
        <v>1449552</v>
      </c>
      <c r="L55" s="518">
        <v>2657403</v>
      </c>
      <c r="M55" s="518">
        <v>3284544</v>
      </c>
      <c r="N55" s="539">
        <v>0</v>
      </c>
      <c r="O55" s="518"/>
      <c r="P55" s="518">
        <f>P26*P85/1000000</f>
        <v>4609949.9220470171</v>
      </c>
      <c r="Q55" s="520"/>
    </row>
    <row r="56" spans="1:35" x14ac:dyDescent="0.6">
      <c r="A56" s="848" t="s">
        <v>335</v>
      </c>
      <c r="B56" s="849"/>
      <c r="C56" s="849"/>
      <c r="D56" s="849"/>
      <c r="E56" s="849"/>
      <c r="F56" s="849"/>
      <c r="G56" s="849"/>
      <c r="H56" s="849"/>
      <c r="I56" s="849"/>
      <c r="J56" s="849"/>
      <c r="K56" s="849"/>
      <c r="L56" s="849"/>
      <c r="M56" s="849"/>
      <c r="N56" s="850"/>
      <c r="O56" s="849"/>
      <c r="P56" s="518">
        <f>P27*P86/1000000</f>
        <v>3023925.5420744671</v>
      </c>
      <c r="Q56" s="851"/>
    </row>
    <row r="57" spans="1:35" ht="23.25" thickBot="1" x14ac:dyDescent="0.65">
      <c r="A57" s="515" t="s">
        <v>278</v>
      </c>
      <c r="B57" s="514">
        <f t="shared" ref="B57:N57" si="19">SUM(B53:B55)</f>
        <v>55033421</v>
      </c>
      <c r="C57" s="514">
        <f t="shared" si="19"/>
        <v>38724160</v>
      </c>
      <c r="D57" s="514">
        <f t="shared" si="19"/>
        <v>27637004</v>
      </c>
      <c r="E57" s="514">
        <f t="shared" si="19"/>
        <v>24717472</v>
      </c>
      <c r="F57" s="514">
        <f t="shared" si="19"/>
        <v>4600698</v>
      </c>
      <c r="G57" s="514">
        <f t="shared" si="19"/>
        <v>10379121</v>
      </c>
      <c r="H57" s="514">
        <f t="shared" si="19"/>
        <v>15502105</v>
      </c>
      <c r="I57" s="514">
        <f t="shared" si="19"/>
        <v>22845109</v>
      </c>
      <c r="J57" s="514">
        <f t="shared" si="19"/>
        <v>5390815</v>
      </c>
      <c r="K57" s="514">
        <f t="shared" si="19"/>
        <v>17914913</v>
      </c>
      <c r="L57" s="514">
        <f t="shared" si="19"/>
        <v>30227305</v>
      </c>
      <c r="M57" s="514">
        <f t="shared" si="19"/>
        <v>48611376</v>
      </c>
      <c r="N57" s="514">
        <f t="shared" si="19"/>
        <v>17653911</v>
      </c>
      <c r="O57" s="514"/>
      <c r="P57" s="514">
        <f>SUM(P53:P56)</f>
        <v>51934727.878429092</v>
      </c>
      <c r="Q57" s="516"/>
    </row>
    <row r="58" spans="1:35" x14ac:dyDescent="0.6">
      <c r="A58" s="543" t="s">
        <v>273</v>
      </c>
      <c r="B58" s="542"/>
      <c r="C58" s="542"/>
      <c r="D58" s="542"/>
      <c r="E58" s="542"/>
      <c r="F58" s="542"/>
      <c r="G58" s="542"/>
      <c r="H58" s="542"/>
      <c r="I58" s="542"/>
      <c r="J58" s="542"/>
      <c r="K58" s="542"/>
      <c r="L58" s="542"/>
      <c r="M58" s="542"/>
      <c r="N58" s="542"/>
      <c r="O58" s="542"/>
      <c r="P58" s="542"/>
      <c r="Q58" s="541"/>
    </row>
    <row r="59" spans="1:35" x14ac:dyDescent="0.6">
      <c r="A59" s="530" t="s">
        <v>251</v>
      </c>
      <c r="B59" s="529">
        <v>0</v>
      </c>
      <c r="C59" s="529">
        <v>4352728</v>
      </c>
      <c r="D59" s="529">
        <v>236121</v>
      </c>
      <c r="E59" s="529">
        <v>8782175</v>
      </c>
      <c r="F59" s="529">
        <v>5314671.6920526074</v>
      </c>
      <c r="G59" s="529">
        <v>5123261</v>
      </c>
      <c r="H59" s="529">
        <v>8356608</v>
      </c>
      <c r="I59" s="529">
        <v>15787833</v>
      </c>
      <c r="J59" s="529">
        <v>7373672</v>
      </c>
      <c r="K59" s="529">
        <v>12529583</v>
      </c>
      <c r="L59" s="529">
        <v>14644998</v>
      </c>
      <c r="M59" s="529">
        <v>18502246</v>
      </c>
      <c r="N59" s="540">
        <v>5007716</v>
      </c>
      <c r="O59" s="529"/>
      <c r="P59" s="529">
        <f>P88*P30/1000000</f>
        <v>19356332.465063754</v>
      </c>
      <c r="Q59" s="531"/>
    </row>
    <row r="60" spans="1:35" x14ac:dyDescent="0.6">
      <c r="A60" s="519" t="s">
        <v>274</v>
      </c>
      <c r="B60" s="518">
        <v>263146</v>
      </c>
      <c r="C60" s="518">
        <v>5075172</v>
      </c>
      <c r="D60" s="518">
        <v>14091049</v>
      </c>
      <c r="E60" s="518">
        <v>14571793</v>
      </c>
      <c r="F60" s="518">
        <v>6532749.3079473935</v>
      </c>
      <c r="G60" s="518">
        <v>15522593</v>
      </c>
      <c r="H60" s="518">
        <v>23456852</v>
      </c>
      <c r="I60" s="518">
        <v>33159118</v>
      </c>
      <c r="J60" s="518">
        <v>9063655</v>
      </c>
      <c r="K60" s="518">
        <v>15167904</v>
      </c>
      <c r="L60" s="518">
        <v>31774682</v>
      </c>
      <c r="M60" s="518">
        <v>46018146</v>
      </c>
      <c r="N60" s="539">
        <v>15385720</v>
      </c>
      <c r="O60" s="518"/>
      <c r="P60" s="520">
        <f>P89*P31/1000000</f>
        <v>39468138.26901532</v>
      </c>
      <c r="Q60" s="520"/>
    </row>
    <row r="61" spans="1:35" x14ac:dyDescent="0.6">
      <c r="A61" s="530" t="s">
        <v>277</v>
      </c>
      <c r="B61" s="529">
        <f t="shared" ref="B61:N61" si="20">SUM(B59:B60)</f>
        <v>263146</v>
      </c>
      <c r="C61" s="529">
        <f t="shared" si="20"/>
        <v>9427900</v>
      </c>
      <c r="D61" s="529">
        <f t="shared" si="20"/>
        <v>14327170</v>
      </c>
      <c r="E61" s="529">
        <f t="shared" si="20"/>
        <v>23353968</v>
      </c>
      <c r="F61" s="529">
        <f t="shared" si="20"/>
        <v>11847421</v>
      </c>
      <c r="G61" s="529">
        <f t="shared" si="20"/>
        <v>20645854</v>
      </c>
      <c r="H61" s="529">
        <f t="shared" si="20"/>
        <v>31813460</v>
      </c>
      <c r="I61" s="529">
        <f t="shared" si="20"/>
        <v>48946951</v>
      </c>
      <c r="J61" s="529">
        <f t="shared" si="20"/>
        <v>16437327</v>
      </c>
      <c r="K61" s="529">
        <f t="shared" si="20"/>
        <v>27697487</v>
      </c>
      <c r="L61" s="529">
        <f t="shared" si="20"/>
        <v>46419680</v>
      </c>
      <c r="M61" s="529">
        <f t="shared" si="20"/>
        <v>64520392</v>
      </c>
      <c r="N61" s="529">
        <f t="shared" si="20"/>
        <v>20393436</v>
      </c>
      <c r="O61" s="529"/>
      <c r="P61" s="529">
        <f>SUM(P59:P60)</f>
        <v>58824470.734079078</v>
      </c>
      <c r="Q61" s="531"/>
    </row>
    <row r="62" spans="1:35" ht="23.25" thickBot="1" x14ac:dyDescent="0.65">
      <c r="A62" s="538" t="s">
        <v>276</v>
      </c>
      <c r="B62" s="537">
        <f t="shared" ref="B62:N62" si="21">B57+B61</f>
        <v>55296567</v>
      </c>
      <c r="C62" s="537">
        <f t="shared" si="21"/>
        <v>48152060</v>
      </c>
      <c r="D62" s="537">
        <f t="shared" si="21"/>
        <v>41964174</v>
      </c>
      <c r="E62" s="537">
        <f t="shared" si="21"/>
        <v>48071440</v>
      </c>
      <c r="F62" s="537">
        <f t="shared" si="21"/>
        <v>16448119</v>
      </c>
      <c r="G62" s="537">
        <f t="shared" si="21"/>
        <v>31024975</v>
      </c>
      <c r="H62" s="537">
        <f t="shared" si="21"/>
        <v>47315565</v>
      </c>
      <c r="I62" s="537">
        <f t="shared" si="21"/>
        <v>71792060</v>
      </c>
      <c r="J62" s="537">
        <f t="shared" si="21"/>
        <v>21828142</v>
      </c>
      <c r="K62" s="537">
        <f t="shared" si="21"/>
        <v>45612400</v>
      </c>
      <c r="L62" s="537">
        <f t="shared" si="21"/>
        <v>76646985</v>
      </c>
      <c r="M62" s="537">
        <f t="shared" si="21"/>
        <v>113131768</v>
      </c>
      <c r="N62" s="537">
        <f t="shared" si="21"/>
        <v>38047347</v>
      </c>
      <c r="O62" s="537">
        <f>SUM(O53:O60)</f>
        <v>0</v>
      </c>
      <c r="P62" s="537">
        <f>P61+P57</f>
        <v>110759198.61250818</v>
      </c>
      <c r="Q62" s="536"/>
    </row>
    <row r="65" spans="1:17" ht="23.25" thickBot="1" x14ac:dyDescent="0.65">
      <c r="A65" s="811" t="s">
        <v>167</v>
      </c>
      <c r="B65" s="811" t="s">
        <v>81</v>
      </c>
      <c r="C65" s="811" t="s">
        <v>80</v>
      </c>
      <c r="D65" s="811" t="s">
        <v>79</v>
      </c>
      <c r="E65" s="811" t="s">
        <v>78</v>
      </c>
      <c r="F65" s="811" t="s">
        <v>77</v>
      </c>
      <c r="G65" s="811" t="s">
        <v>76</v>
      </c>
      <c r="H65" s="811" t="s">
        <v>75</v>
      </c>
      <c r="I65" s="811" t="s">
        <v>74</v>
      </c>
      <c r="J65" s="811" t="s">
        <v>73</v>
      </c>
      <c r="K65" s="811" t="s">
        <v>72</v>
      </c>
      <c r="L65" s="811" t="s">
        <v>71</v>
      </c>
      <c r="M65" s="811" t="s">
        <v>70</v>
      </c>
      <c r="N65" s="811" t="s">
        <v>69</v>
      </c>
      <c r="O65" s="811" t="s">
        <v>68</v>
      </c>
      <c r="P65" s="811" t="s">
        <v>67</v>
      </c>
      <c r="Q65" s="811" t="s">
        <v>66</v>
      </c>
    </row>
    <row r="66" spans="1:17" x14ac:dyDescent="0.6">
      <c r="A66" s="811" t="s">
        <v>275</v>
      </c>
      <c r="B66" s="867"/>
      <c r="C66" s="867"/>
      <c r="D66" s="867"/>
      <c r="E66" s="867"/>
      <c r="F66" s="867"/>
      <c r="G66" s="867"/>
      <c r="H66" s="867"/>
      <c r="I66" s="867"/>
      <c r="J66" s="867"/>
      <c r="K66" s="867"/>
      <c r="L66" s="867"/>
      <c r="M66" s="867"/>
      <c r="N66" s="867"/>
      <c r="O66" s="867"/>
      <c r="P66" s="867"/>
      <c r="Q66" s="869"/>
    </row>
    <row r="67" spans="1:17" x14ac:dyDescent="0.6">
      <c r="A67" s="811" t="s">
        <v>251</v>
      </c>
      <c r="B67" s="871">
        <f t="shared" ref="B67:N67" si="22">B53/B62</f>
        <v>0.33761088640457554</v>
      </c>
      <c r="C67" s="871">
        <f t="shared" si="22"/>
        <v>0.32124266334607493</v>
      </c>
      <c r="D67" s="871">
        <f t="shared" si="22"/>
        <v>0.26465482199173035</v>
      </c>
      <c r="E67" s="871">
        <f t="shared" si="22"/>
        <v>0.23438280609026899</v>
      </c>
      <c r="F67" s="871">
        <f t="shared" si="22"/>
        <v>0.12252217551841457</v>
      </c>
      <c r="G67" s="871">
        <f t="shared" si="22"/>
        <v>0.19209598073809891</v>
      </c>
      <c r="H67" s="871">
        <f t="shared" si="22"/>
        <v>0.17979762050817738</v>
      </c>
      <c r="I67" s="871">
        <f t="shared" si="22"/>
        <v>0.16694050846291358</v>
      </c>
      <c r="J67" s="871">
        <f t="shared" si="22"/>
        <v>0.10155591804378036</v>
      </c>
      <c r="K67" s="871">
        <f t="shared" si="22"/>
        <v>0.14433540002280082</v>
      </c>
      <c r="L67" s="871">
        <f t="shared" si="22"/>
        <v>0.1436278282831347</v>
      </c>
      <c r="M67" s="871">
        <f t="shared" si="22"/>
        <v>0.16751352281527149</v>
      </c>
      <c r="N67" s="871">
        <f t="shared" si="22"/>
        <v>0.18150406124243038</v>
      </c>
      <c r="O67" s="872"/>
      <c r="P67" s="872">
        <f>P38*P94/1000000</f>
        <v>0</v>
      </c>
      <c r="Q67" s="888"/>
    </row>
    <row r="68" spans="1:17" x14ac:dyDescent="0.6">
      <c r="A68" s="811" t="s">
        <v>274</v>
      </c>
      <c r="B68" s="875">
        <f t="shared" ref="B68:N68" si="23">B54/B62</f>
        <v>0.62804557107496384</v>
      </c>
      <c r="C68" s="875">
        <f t="shared" si="23"/>
        <v>0.40993344833014411</v>
      </c>
      <c r="D68" s="875">
        <f t="shared" si="23"/>
        <v>0.35024537835535619</v>
      </c>
      <c r="E68" s="875">
        <f t="shared" si="23"/>
        <v>0.23974197569284381</v>
      </c>
      <c r="F68" s="875">
        <f t="shared" si="23"/>
        <v>0.15056157345008447</v>
      </c>
      <c r="G68" s="875">
        <f t="shared" si="23"/>
        <v>0.12414885104661648</v>
      </c>
      <c r="H68" s="875">
        <f t="shared" si="23"/>
        <v>0.13155594781548102</v>
      </c>
      <c r="I68" s="875">
        <f t="shared" si="23"/>
        <v>0.12484794279478817</v>
      </c>
      <c r="J68" s="875">
        <f t="shared" si="23"/>
        <v>0.1247971540591957</v>
      </c>
      <c r="K68" s="875">
        <f t="shared" si="23"/>
        <v>0.21664891564574545</v>
      </c>
      <c r="L68" s="875">
        <f t="shared" si="23"/>
        <v>0.21607193029184382</v>
      </c>
      <c r="M68" s="875">
        <f t="shared" si="23"/>
        <v>0.23314168483604003</v>
      </c>
      <c r="N68" s="875">
        <f t="shared" si="23"/>
        <v>0.28249441413089854</v>
      </c>
      <c r="O68" s="876"/>
      <c r="P68" s="876">
        <f>P39*P95/1000000</f>
        <v>0</v>
      </c>
      <c r="Q68" s="889"/>
    </row>
    <row r="69" spans="1:17" x14ac:dyDescent="0.6">
      <c r="A69" s="811" t="s">
        <v>120</v>
      </c>
      <c r="B69" s="871">
        <f t="shared" ref="B69:N69" si="24">B55/B62</f>
        <v>2.9584729916415968E-2</v>
      </c>
      <c r="C69" s="871">
        <f t="shared" si="24"/>
        <v>7.302956509025782E-2</v>
      </c>
      <c r="D69" s="871">
        <f t="shared" si="24"/>
        <v>4.3685477998446964E-2</v>
      </c>
      <c r="E69" s="871">
        <f t="shared" si="24"/>
        <v>4.0057277252356076E-2</v>
      </c>
      <c r="F69" s="871">
        <f t="shared" si="24"/>
        <v>6.6259248245954449E-3</v>
      </c>
      <c r="G69" s="871">
        <f t="shared" si="24"/>
        <v>1.8296001850122361E-2</v>
      </c>
      <c r="H69" s="871">
        <f t="shared" si="24"/>
        <v>1.6278681233120644E-2</v>
      </c>
      <c r="I69" s="871">
        <f t="shared" si="24"/>
        <v>2.6423743795623081E-2</v>
      </c>
      <c r="J69" s="871">
        <f t="shared" si="24"/>
        <v>2.0613206566092526E-2</v>
      </c>
      <c r="K69" s="871">
        <f t="shared" si="24"/>
        <v>3.1779779182853789E-2</v>
      </c>
      <c r="L69" s="871">
        <f t="shared" si="24"/>
        <v>3.4670678827092807E-2</v>
      </c>
      <c r="M69" s="871">
        <f t="shared" si="24"/>
        <v>2.9032906124122449E-2</v>
      </c>
      <c r="N69" s="871">
        <f t="shared" si="24"/>
        <v>0</v>
      </c>
      <c r="O69" s="872"/>
      <c r="P69" s="872">
        <f>P40*P96/1000000</f>
        <v>0</v>
      </c>
      <c r="Q69" s="888"/>
    </row>
    <row r="70" spans="1:17" x14ac:dyDescent="0.6">
      <c r="A70" s="811"/>
      <c r="B70" s="878"/>
      <c r="C70" s="878"/>
      <c r="D70" s="878"/>
      <c r="E70" s="878"/>
      <c r="F70" s="878"/>
      <c r="G70" s="878"/>
      <c r="H70" s="878"/>
      <c r="I70" s="878"/>
      <c r="J70" s="878"/>
      <c r="K70" s="878"/>
      <c r="L70" s="878"/>
      <c r="M70" s="878"/>
      <c r="N70" s="878"/>
      <c r="O70" s="879"/>
      <c r="P70" s="879"/>
      <c r="Q70" s="890"/>
    </row>
    <row r="71" spans="1:17" ht="23.25" thickBot="1" x14ac:dyDescent="0.65">
      <c r="A71" s="811" t="s">
        <v>278</v>
      </c>
      <c r="B71" s="882"/>
      <c r="C71" s="882"/>
      <c r="D71" s="882"/>
      <c r="E71" s="882"/>
      <c r="F71" s="882"/>
      <c r="G71" s="882"/>
      <c r="H71" s="882"/>
      <c r="I71" s="882"/>
      <c r="J71" s="882"/>
      <c r="K71" s="882"/>
      <c r="L71" s="882"/>
      <c r="M71" s="882"/>
      <c r="N71" s="882"/>
      <c r="O71" s="883"/>
      <c r="P71" s="883">
        <f>SUM(P67:P69)</f>
        <v>0</v>
      </c>
      <c r="Q71" s="891"/>
    </row>
    <row r="72" spans="1:17" x14ac:dyDescent="0.6">
      <c r="A72" s="811" t="s">
        <v>273</v>
      </c>
      <c r="B72" s="892"/>
      <c r="C72" s="892"/>
      <c r="D72" s="892"/>
      <c r="E72" s="892"/>
      <c r="F72" s="892"/>
      <c r="G72" s="892"/>
      <c r="H72" s="892"/>
      <c r="I72" s="892"/>
      <c r="J72" s="892"/>
      <c r="K72" s="892"/>
      <c r="L72" s="892"/>
      <c r="M72" s="892"/>
      <c r="N72" s="892"/>
      <c r="O72" s="867"/>
      <c r="P72" s="867"/>
      <c r="Q72" s="869"/>
    </row>
    <row r="73" spans="1:17" x14ac:dyDescent="0.6">
      <c r="A73" s="811" t="s">
        <v>272</v>
      </c>
      <c r="B73" s="875">
        <f t="shared" ref="B73:N73" si="25">B59/B62</f>
        <v>0</v>
      </c>
      <c r="C73" s="875">
        <f t="shared" si="25"/>
        <v>9.0395468023590261E-2</v>
      </c>
      <c r="D73" s="875">
        <f t="shared" si="25"/>
        <v>5.6267281705580574E-3</v>
      </c>
      <c r="E73" s="875">
        <f t="shared" si="25"/>
        <v>0.18269007543772353</v>
      </c>
      <c r="F73" s="875">
        <f t="shared" si="25"/>
        <v>0.32311729335449285</v>
      </c>
      <c r="G73" s="875">
        <f t="shared" si="25"/>
        <v>0.1651334449101087</v>
      </c>
      <c r="H73" s="875">
        <f t="shared" si="25"/>
        <v>0.17661435512816978</v>
      </c>
      <c r="I73" s="875">
        <f t="shared" si="25"/>
        <v>0.21991057228334163</v>
      </c>
      <c r="J73" s="875">
        <f t="shared" si="25"/>
        <v>0.33780575552422187</v>
      </c>
      <c r="K73" s="875">
        <f t="shared" si="25"/>
        <v>0.27469685874893668</v>
      </c>
      <c r="L73" s="875">
        <f t="shared" si="25"/>
        <v>0.19107076423162633</v>
      </c>
      <c r="M73" s="875">
        <f t="shared" si="25"/>
        <v>0.1635459811783371</v>
      </c>
      <c r="N73" s="875">
        <f t="shared" si="25"/>
        <v>0.1316180074263785</v>
      </c>
      <c r="O73" s="876"/>
      <c r="P73" s="876">
        <f>P99*P44/1000000</f>
        <v>0</v>
      </c>
      <c r="Q73" s="889"/>
    </row>
    <row r="74" spans="1:17" x14ac:dyDescent="0.6">
      <c r="A74" s="811" t="s">
        <v>271</v>
      </c>
      <c r="B74" s="871">
        <f t="shared" ref="B74:N74" si="26">B60/B62</f>
        <v>4.7588126040446601E-3</v>
      </c>
      <c r="C74" s="871">
        <f t="shared" si="26"/>
        <v>0.10539885520993286</v>
      </c>
      <c r="D74" s="871">
        <f t="shared" si="26"/>
        <v>0.33578759348390846</v>
      </c>
      <c r="E74" s="871">
        <f t="shared" si="26"/>
        <v>0.30312786552680759</v>
      </c>
      <c r="F74" s="871">
        <f t="shared" si="26"/>
        <v>0.39717303285241268</v>
      </c>
      <c r="G74" s="871">
        <f t="shared" si="26"/>
        <v>0.5003257214550535</v>
      </c>
      <c r="H74" s="871">
        <f t="shared" si="26"/>
        <v>0.49575339531505119</v>
      </c>
      <c r="I74" s="871">
        <f t="shared" si="26"/>
        <v>0.46187723266333353</v>
      </c>
      <c r="J74" s="871">
        <f t="shared" si="26"/>
        <v>0.41522796580670951</v>
      </c>
      <c r="K74" s="871">
        <f t="shared" si="26"/>
        <v>0.33253904639966325</v>
      </c>
      <c r="L74" s="871">
        <f t="shared" si="26"/>
        <v>0.41455879836630233</v>
      </c>
      <c r="M74" s="871">
        <f t="shared" si="26"/>
        <v>0.40676590504622895</v>
      </c>
      <c r="N74" s="871">
        <f t="shared" si="26"/>
        <v>0.40438351720029259</v>
      </c>
      <c r="O74" s="872"/>
      <c r="P74" s="888">
        <f>P100*P45/1000000</f>
        <v>0</v>
      </c>
      <c r="Q74" s="888"/>
    </row>
    <row r="75" spans="1:17" x14ac:dyDescent="0.6">
      <c r="A75" s="811" t="s">
        <v>277</v>
      </c>
      <c r="B75" s="875"/>
      <c r="C75" s="875"/>
      <c r="D75" s="875"/>
      <c r="E75" s="875"/>
      <c r="F75" s="875"/>
      <c r="G75" s="875"/>
      <c r="H75" s="875"/>
      <c r="I75" s="875"/>
      <c r="J75" s="875"/>
      <c r="K75" s="875"/>
      <c r="L75" s="875"/>
      <c r="M75" s="875"/>
      <c r="N75" s="875"/>
      <c r="O75" s="876"/>
      <c r="P75" s="876">
        <f>SUM(P73:P74)</f>
        <v>0</v>
      </c>
      <c r="Q75" s="889"/>
    </row>
    <row r="76" spans="1:17" ht="23.25" thickBot="1" x14ac:dyDescent="0.65">
      <c r="A76" s="811" t="s">
        <v>276</v>
      </c>
      <c r="B76" s="883"/>
      <c r="C76" s="883"/>
      <c r="D76" s="883"/>
      <c r="E76" s="883"/>
      <c r="F76" s="883"/>
      <c r="G76" s="883"/>
      <c r="H76" s="883"/>
      <c r="I76" s="883"/>
      <c r="J76" s="883"/>
      <c r="K76" s="883"/>
      <c r="L76" s="883"/>
      <c r="M76" s="883"/>
      <c r="N76" s="883"/>
      <c r="O76" s="883"/>
      <c r="P76" s="883"/>
      <c r="Q76" s="891"/>
    </row>
    <row r="80" spans="1:17" ht="23.25" thickBot="1" x14ac:dyDescent="0.65"/>
    <row r="81" spans="1:18" ht="23.25" thickBot="1" x14ac:dyDescent="0.65">
      <c r="A81" s="535" t="s">
        <v>165</v>
      </c>
      <c r="B81" s="533" t="s">
        <v>81</v>
      </c>
      <c r="C81" s="533" t="s">
        <v>80</v>
      </c>
      <c r="D81" s="533" t="s">
        <v>79</v>
      </c>
      <c r="E81" s="533" t="s">
        <v>78</v>
      </c>
      <c r="F81" s="533" t="s">
        <v>77</v>
      </c>
      <c r="G81" s="533" t="s">
        <v>76</v>
      </c>
      <c r="H81" s="533" t="s">
        <v>75</v>
      </c>
      <c r="I81" s="533" t="s">
        <v>74</v>
      </c>
      <c r="J81" s="533" t="s">
        <v>73</v>
      </c>
      <c r="K81" s="533" t="s">
        <v>72</v>
      </c>
      <c r="L81" s="533" t="s">
        <v>71</v>
      </c>
      <c r="M81" s="533" t="s">
        <v>70</v>
      </c>
      <c r="N81" s="534" t="s">
        <v>69</v>
      </c>
      <c r="O81" s="533" t="s">
        <v>68</v>
      </c>
      <c r="P81" s="533" t="s">
        <v>67</v>
      </c>
      <c r="Q81" s="532" t="s">
        <v>66</v>
      </c>
      <c r="R81" s="319"/>
    </row>
    <row r="82" spans="1:18" x14ac:dyDescent="0.6">
      <c r="A82" s="523" t="s">
        <v>275</v>
      </c>
      <c r="B82" s="522"/>
      <c r="C82" s="522"/>
      <c r="D82" s="522"/>
      <c r="E82" s="522"/>
      <c r="F82" s="522"/>
      <c r="G82" s="522"/>
      <c r="H82" s="522"/>
      <c r="I82" s="522"/>
      <c r="J82" s="522"/>
      <c r="K82" s="522"/>
      <c r="L82" s="522"/>
      <c r="M82" s="522"/>
      <c r="N82" s="522"/>
      <c r="O82" s="522"/>
      <c r="P82" s="522"/>
      <c r="Q82" s="524"/>
      <c r="R82" s="319"/>
    </row>
    <row r="83" spans="1:18" x14ac:dyDescent="0.6">
      <c r="A83" s="519" t="s">
        <v>251</v>
      </c>
      <c r="B83" s="518">
        <f t="shared" ref="B83:N83" si="27">B53*1000000/B24</f>
        <v>14909072.39580505</v>
      </c>
      <c r="C83" s="518">
        <f t="shared" si="27"/>
        <v>14834655.667303139</v>
      </c>
      <c r="D83" s="518">
        <f t="shared" si="27"/>
        <v>12212081.426917329</v>
      </c>
      <c r="E83" s="518">
        <f t="shared" si="27"/>
        <v>13636403.135601323</v>
      </c>
      <c r="F83" s="518">
        <f t="shared" si="27"/>
        <v>15446535.028929031</v>
      </c>
      <c r="G83" s="518">
        <f t="shared" si="27"/>
        <v>16275172.862027155</v>
      </c>
      <c r="H83" s="518">
        <f t="shared" si="27"/>
        <v>17113057.436951715</v>
      </c>
      <c r="I83" s="518">
        <f t="shared" si="27"/>
        <v>17928818.79256878</v>
      </c>
      <c r="J83" s="518">
        <f t="shared" si="27"/>
        <v>23344815.602687504</v>
      </c>
      <c r="K83" s="518">
        <f t="shared" si="27"/>
        <v>24080131.968295421</v>
      </c>
      <c r="L83" s="518">
        <f t="shared" si="27"/>
        <v>27394830.422221173</v>
      </c>
      <c r="M83" s="518">
        <f t="shared" si="27"/>
        <v>28740047.346287593</v>
      </c>
      <c r="N83" s="518">
        <f t="shared" si="27"/>
        <v>38848061.745132565</v>
      </c>
      <c r="O83" s="518"/>
      <c r="P83" s="518">
        <f>B252</f>
        <v>38694446</v>
      </c>
      <c r="Q83" s="520"/>
      <c r="R83" s="319"/>
    </row>
    <row r="84" spans="1:18" x14ac:dyDescent="0.6">
      <c r="A84" s="530" t="s">
        <v>274</v>
      </c>
      <c r="B84" s="529">
        <f t="shared" ref="B84:N84" si="28">B54*1000000/B25</f>
        <v>15789160.603255602</v>
      </c>
      <c r="C84" s="529">
        <f t="shared" si="28"/>
        <v>14996565.98624571</v>
      </c>
      <c r="D84" s="529">
        <f t="shared" si="28"/>
        <v>11433281.681244379</v>
      </c>
      <c r="E84" s="529">
        <f t="shared" si="28"/>
        <v>12724777.601240156</v>
      </c>
      <c r="F84" s="529">
        <f t="shared" si="28"/>
        <v>14814943.067543017</v>
      </c>
      <c r="G84" s="529">
        <f t="shared" si="28"/>
        <v>14770658.209596269</v>
      </c>
      <c r="H84" s="529">
        <f t="shared" si="28"/>
        <v>15967872.598589616</v>
      </c>
      <c r="I84" s="529">
        <f t="shared" si="28"/>
        <v>16926854.37160895</v>
      </c>
      <c r="J84" s="529">
        <f t="shared" si="28"/>
        <v>22390271.567596003</v>
      </c>
      <c r="K84" s="529">
        <f t="shared" si="28"/>
        <v>24111254.25465725</v>
      </c>
      <c r="L84" s="529">
        <f t="shared" si="28"/>
        <v>26598754.001153167</v>
      </c>
      <c r="M84" s="529">
        <f t="shared" si="28"/>
        <v>28370763.058256604</v>
      </c>
      <c r="N84" s="529">
        <f t="shared" si="28"/>
        <v>40104786.531443797</v>
      </c>
      <c r="O84" s="529"/>
      <c r="P84" s="529">
        <f>B251</f>
        <v>34411313</v>
      </c>
      <c r="Q84" s="531"/>
      <c r="R84" s="319"/>
    </row>
    <row r="85" spans="1:18" ht="23.25" thickBot="1" x14ac:dyDescent="0.65">
      <c r="A85" s="526" t="s">
        <v>120</v>
      </c>
      <c r="B85" s="525">
        <f t="shared" ref="B85:M85" si="29">B55*1000000/B26</f>
        <v>3556509.6970975013</v>
      </c>
      <c r="C85" s="525">
        <f t="shared" si="29"/>
        <v>3542529.7106055552</v>
      </c>
      <c r="D85" s="525">
        <f t="shared" si="29"/>
        <v>2629007.0227317382</v>
      </c>
      <c r="E85" s="525">
        <f t="shared" si="29"/>
        <v>2575816.676097184</v>
      </c>
      <c r="F85" s="525">
        <f t="shared" si="29"/>
        <v>2968054.6855851193</v>
      </c>
      <c r="G85" s="525">
        <f t="shared" si="29"/>
        <v>3102260.4304436697</v>
      </c>
      <c r="H85" s="525">
        <f t="shared" si="29"/>
        <v>3277749.1712378026</v>
      </c>
      <c r="I85" s="525">
        <f t="shared" si="29"/>
        <v>3758124.8749447777</v>
      </c>
      <c r="J85" s="525">
        <f t="shared" si="29"/>
        <v>4454092.7944248114</v>
      </c>
      <c r="K85" s="525">
        <f t="shared" si="29"/>
        <v>4999386.0925827567</v>
      </c>
      <c r="L85" s="525">
        <f t="shared" si="29"/>
        <v>5959478.5518218838</v>
      </c>
      <c r="M85" s="525">
        <f t="shared" si="29"/>
        <v>6278026.1515613142</v>
      </c>
      <c r="N85" s="525">
        <v>0</v>
      </c>
      <c r="O85" s="525"/>
      <c r="P85" s="528">
        <f>P89*Q96</f>
        <v>8238767.0125002675</v>
      </c>
      <c r="Q85" s="527"/>
    </row>
    <row r="86" spans="1:18" ht="23.25" thickBot="1" x14ac:dyDescent="0.65">
      <c r="A86" s="852" t="s">
        <v>335</v>
      </c>
      <c r="B86" s="853"/>
      <c r="C86" s="853"/>
      <c r="D86" s="853"/>
      <c r="E86" s="853"/>
      <c r="F86" s="853"/>
      <c r="G86" s="853"/>
      <c r="H86" s="853"/>
      <c r="I86" s="853"/>
      <c r="J86" s="853"/>
      <c r="K86" s="853"/>
      <c r="L86" s="853"/>
      <c r="M86" s="853"/>
      <c r="N86" s="853"/>
      <c r="O86" s="853"/>
      <c r="P86" s="854">
        <f>B253</f>
        <v>56999014</v>
      </c>
      <c r="Q86" s="855"/>
    </row>
    <row r="87" spans="1:18" x14ac:dyDescent="0.6">
      <c r="A87" s="523" t="s">
        <v>273</v>
      </c>
      <c r="B87" s="522"/>
      <c r="C87" s="522"/>
      <c r="D87" s="522"/>
      <c r="E87" s="522"/>
      <c r="F87" s="522"/>
      <c r="G87" s="522"/>
      <c r="H87" s="522"/>
      <c r="I87" s="522"/>
      <c r="J87" s="522"/>
      <c r="K87" s="522"/>
      <c r="L87" s="522"/>
      <c r="M87" s="522"/>
      <c r="N87" s="522"/>
      <c r="O87" s="522"/>
      <c r="P87" s="522"/>
      <c r="Q87" s="524"/>
    </row>
    <row r="88" spans="1:18" x14ac:dyDescent="0.6">
      <c r="A88" s="519" t="s">
        <v>251</v>
      </c>
      <c r="B88" s="518">
        <v>0</v>
      </c>
      <c r="C88" s="518">
        <f t="shared" ref="C88:N88" si="30">C59*1000000/C30</f>
        <v>14896552.668234102</v>
      </c>
      <c r="D88" s="518">
        <f t="shared" si="30"/>
        <v>11343245.580322828</v>
      </c>
      <c r="E88" s="518">
        <f t="shared" si="30"/>
        <v>12404902.819368325</v>
      </c>
      <c r="F88" s="518">
        <f t="shared" si="30"/>
        <v>14235222.95625912</v>
      </c>
      <c r="G88" s="518">
        <f t="shared" si="30"/>
        <v>15477896.104288455</v>
      </c>
      <c r="H88" s="518">
        <f t="shared" si="30"/>
        <v>16731553.78294611</v>
      </c>
      <c r="I88" s="518">
        <f t="shared" si="30"/>
        <v>18742026.126100458</v>
      </c>
      <c r="J88" s="518">
        <f t="shared" si="30"/>
        <v>20923441.880526204</v>
      </c>
      <c r="K88" s="518">
        <f t="shared" si="30"/>
        <v>22377332.240325902</v>
      </c>
      <c r="L88" s="518">
        <f t="shared" si="30"/>
        <v>23807430.455308024</v>
      </c>
      <c r="M88" s="518">
        <f t="shared" si="30"/>
        <v>25431032.539523274</v>
      </c>
      <c r="N88" s="518">
        <f t="shared" si="30"/>
        <v>35595490.603053652</v>
      </c>
      <c r="O88" s="518"/>
      <c r="P88" s="521">
        <f>B250</f>
        <v>41250000</v>
      </c>
      <c r="Q88" s="520"/>
    </row>
    <row r="89" spans="1:18" ht="23.25" thickBot="1" x14ac:dyDescent="0.65">
      <c r="A89" s="515" t="s">
        <v>274</v>
      </c>
      <c r="B89" s="514">
        <f>B60*1000000/B31</f>
        <v>12159042.602347288</v>
      </c>
      <c r="C89" s="514">
        <f t="shared" ref="C89:N89" si="31">C60*1000000/C31</f>
        <v>15144432.707285196</v>
      </c>
      <c r="D89" s="514">
        <f t="shared" si="31"/>
        <v>10483584.627998089</v>
      </c>
      <c r="E89" s="514">
        <f t="shared" si="31"/>
        <v>12234152.341372291</v>
      </c>
      <c r="F89" s="514">
        <f t="shared" si="31"/>
        <v>14971302.68955664</v>
      </c>
      <c r="G89" s="514">
        <f t="shared" si="31"/>
        <v>14560685.025824014</v>
      </c>
      <c r="H89" s="514">
        <f t="shared" si="31"/>
        <v>15903295.529123344</v>
      </c>
      <c r="I89" s="514">
        <f t="shared" si="31"/>
        <v>17203254.386142399</v>
      </c>
      <c r="J89" s="514">
        <f t="shared" si="31"/>
        <v>22005358.304765418</v>
      </c>
      <c r="K89" s="514">
        <f t="shared" si="31"/>
        <v>23781375.527981862</v>
      </c>
      <c r="L89" s="514">
        <f t="shared" si="31"/>
        <v>30289699.206692684</v>
      </c>
      <c r="M89" s="514">
        <f t="shared" si="31"/>
        <v>31616640.009233914</v>
      </c>
      <c r="N89" s="514">
        <f t="shared" si="31"/>
        <v>37652603.989496432</v>
      </c>
      <c r="O89" s="514"/>
      <c r="P89" s="517">
        <f>B246</f>
        <v>40700000</v>
      </c>
      <c r="Q89" s="516"/>
    </row>
    <row r="91" spans="1:18" ht="23.25" thickBot="1" x14ac:dyDescent="0.65"/>
    <row r="92" spans="1:18" ht="23.25" thickBot="1" x14ac:dyDescent="0.65">
      <c r="A92" s="938" t="s">
        <v>165</v>
      </c>
      <c r="B92" s="939" t="s">
        <v>81</v>
      </c>
      <c r="C92" s="939" t="s">
        <v>80</v>
      </c>
      <c r="D92" s="939" t="s">
        <v>79</v>
      </c>
      <c r="E92" s="939" t="s">
        <v>78</v>
      </c>
      <c r="F92" s="939" t="s">
        <v>77</v>
      </c>
      <c r="G92" s="939" t="s">
        <v>76</v>
      </c>
      <c r="H92" s="939" t="s">
        <v>75</v>
      </c>
      <c r="I92" s="939" t="s">
        <v>74</v>
      </c>
      <c r="J92" s="939" t="s">
        <v>73</v>
      </c>
      <c r="K92" s="939" t="s">
        <v>72</v>
      </c>
      <c r="L92" s="939" t="s">
        <v>71</v>
      </c>
      <c r="M92" s="939" t="s">
        <v>70</v>
      </c>
      <c r="N92" s="940" t="s">
        <v>69</v>
      </c>
      <c r="O92" s="939" t="s">
        <v>68</v>
      </c>
      <c r="P92" s="939" t="s">
        <v>67</v>
      </c>
      <c r="Q92" s="941" t="s">
        <v>66</v>
      </c>
    </row>
    <row r="93" spans="1:18" x14ac:dyDescent="0.6">
      <c r="A93" s="942" t="s">
        <v>275</v>
      </c>
      <c r="B93" s="943"/>
      <c r="C93" s="943"/>
      <c r="D93" s="943"/>
      <c r="E93" s="943"/>
      <c r="F93" s="943"/>
      <c r="G93" s="943"/>
      <c r="H93" s="943"/>
      <c r="I93" s="943"/>
      <c r="J93" s="943"/>
      <c r="K93" s="943"/>
      <c r="L93" s="943"/>
      <c r="M93" s="943"/>
      <c r="N93" s="943"/>
      <c r="O93" s="943"/>
      <c r="P93" s="943"/>
      <c r="Q93" s="944"/>
    </row>
    <row r="94" spans="1:18" x14ac:dyDescent="0.6">
      <c r="A94" s="870" t="s">
        <v>251</v>
      </c>
      <c r="B94" s="871">
        <f t="shared" ref="B94:N94" si="32">B83/B89</f>
        <v>1.2261715731571556</v>
      </c>
      <c r="C94" s="871">
        <f t="shared" si="32"/>
        <v>0.97954515392094954</v>
      </c>
      <c r="D94" s="871">
        <f t="shared" si="32"/>
        <v>1.1648765055325649</v>
      </c>
      <c r="E94" s="871">
        <f t="shared" si="32"/>
        <v>1.1146177319933344</v>
      </c>
      <c r="F94" s="871">
        <f t="shared" si="32"/>
        <v>1.0317428849864811</v>
      </c>
      <c r="G94" s="871">
        <f t="shared" si="32"/>
        <v>1.1177477456014207</v>
      </c>
      <c r="H94" s="871">
        <f t="shared" si="32"/>
        <v>1.076069887880343</v>
      </c>
      <c r="I94" s="871">
        <f t="shared" si="32"/>
        <v>1.0421759970608142</v>
      </c>
      <c r="J94" s="871">
        <f t="shared" si="32"/>
        <v>1.0608695972758606</v>
      </c>
      <c r="K94" s="871">
        <f t="shared" si="32"/>
        <v>1.0125626223748931</v>
      </c>
      <c r="L94" s="871">
        <f t="shared" si="32"/>
        <v>0.90442728517317617</v>
      </c>
      <c r="M94" s="871">
        <f t="shared" si="32"/>
        <v>0.90901649694255349</v>
      </c>
      <c r="N94" s="871">
        <f t="shared" si="32"/>
        <v>1.0317496701149704</v>
      </c>
      <c r="O94" s="872"/>
      <c r="P94" s="872"/>
      <c r="Q94" s="873">
        <f>AVERAGE(B94:N94)</f>
        <v>1.051659473231886</v>
      </c>
    </row>
    <row r="95" spans="1:18" x14ac:dyDescent="0.6">
      <c r="A95" s="874" t="s">
        <v>274</v>
      </c>
      <c r="B95" s="875">
        <f t="shared" ref="B95:N95" si="33">B84/B89</f>
        <v>1.2985529469407011</v>
      </c>
      <c r="C95" s="875">
        <f t="shared" si="33"/>
        <v>0.99023623242299763</v>
      </c>
      <c r="D95" s="875">
        <f t="shared" si="33"/>
        <v>1.0905889623583493</v>
      </c>
      <c r="E95" s="875">
        <f t="shared" si="33"/>
        <v>1.0401029222276983</v>
      </c>
      <c r="F95" s="875">
        <f t="shared" si="33"/>
        <v>0.9895560443031659</v>
      </c>
      <c r="G95" s="875">
        <f t="shared" si="33"/>
        <v>1.014420556683965</v>
      </c>
      <c r="H95" s="875">
        <f t="shared" si="33"/>
        <v>1.0040606092836553</v>
      </c>
      <c r="I95" s="875">
        <f t="shared" si="33"/>
        <v>0.98393327167468414</v>
      </c>
      <c r="J95" s="875">
        <f t="shared" si="33"/>
        <v>1.0174917971113986</v>
      </c>
      <c r="K95" s="875">
        <f t="shared" si="33"/>
        <v>1.0138713055637696</v>
      </c>
      <c r="L95" s="875">
        <f t="shared" si="33"/>
        <v>0.87814520110110628</v>
      </c>
      <c r="M95" s="875">
        <f t="shared" si="33"/>
        <v>0.89733643581261879</v>
      </c>
      <c r="N95" s="875">
        <f t="shared" si="33"/>
        <v>1.0651265060613451</v>
      </c>
      <c r="O95" s="876"/>
      <c r="P95" s="876"/>
      <c r="Q95" s="877">
        <f>M95</f>
        <v>0.89733643581261879</v>
      </c>
    </row>
    <row r="96" spans="1:18" ht="23.25" thickBot="1" x14ac:dyDescent="0.65">
      <c r="A96" s="945" t="s">
        <v>120</v>
      </c>
      <c r="B96" s="946">
        <f t="shared" ref="B96:N96" si="34">B85/B89</f>
        <v>0.29249915584726394</v>
      </c>
      <c r="C96" s="946">
        <f t="shared" si="34"/>
        <v>0.23391630304523914</v>
      </c>
      <c r="D96" s="946">
        <f t="shared" si="34"/>
        <v>0.25077367293917335</v>
      </c>
      <c r="E96" s="946">
        <f t="shared" si="34"/>
        <v>0.21054312585159926</v>
      </c>
      <c r="F96" s="946">
        <f t="shared" si="34"/>
        <v>0.19824959438269266</v>
      </c>
      <c r="G96" s="946">
        <f t="shared" si="34"/>
        <v>0.21305731323366137</v>
      </c>
      <c r="H96" s="946">
        <f t="shared" si="34"/>
        <v>0.20610502805757053</v>
      </c>
      <c r="I96" s="946">
        <f t="shared" si="34"/>
        <v>0.21845429885475798</v>
      </c>
      <c r="J96" s="946">
        <f t="shared" si="34"/>
        <v>0.2024094646738947</v>
      </c>
      <c r="K96" s="946">
        <f t="shared" si="34"/>
        <v>0.21022274706945915</v>
      </c>
      <c r="L96" s="946">
        <f t="shared" si="34"/>
        <v>0.19674934739877187</v>
      </c>
      <c r="M96" s="946">
        <f t="shared" si="34"/>
        <v>0.19856715165582942</v>
      </c>
      <c r="N96" s="946">
        <f t="shared" si="34"/>
        <v>0</v>
      </c>
      <c r="O96" s="947"/>
      <c r="P96" s="947"/>
      <c r="Q96" s="948">
        <f>AVERAGE(B96:N96)</f>
        <v>0.20242670792383949</v>
      </c>
    </row>
    <row r="97" spans="1:19" ht="23.25" thickBot="1" x14ac:dyDescent="0.65">
      <c r="A97" s="949"/>
      <c r="B97" s="950"/>
      <c r="C97" s="950"/>
      <c r="D97" s="950"/>
      <c r="E97" s="950"/>
      <c r="F97" s="950"/>
      <c r="G97" s="950"/>
      <c r="H97" s="950"/>
      <c r="I97" s="950"/>
      <c r="J97" s="950"/>
      <c r="K97" s="950"/>
      <c r="L97" s="950"/>
      <c r="M97" s="950"/>
      <c r="N97" s="950"/>
      <c r="O97" s="951"/>
      <c r="P97" s="951"/>
      <c r="Q97" s="952"/>
    </row>
    <row r="98" spans="1:19" x14ac:dyDescent="0.6">
      <c r="A98" s="942" t="s">
        <v>273</v>
      </c>
      <c r="B98" s="892"/>
      <c r="C98" s="892"/>
      <c r="D98" s="892"/>
      <c r="E98" s="892"/>
      <c r="F98" s="892"/>
      <c r="G98" s="892"/>
      <c r="H98" s="892"/>
      <c r="I98" s="892"/>
      <c r="J98" s="892"/>
      <c r="K98" s="892"/>
      <c r="L98" s="892"/>
      <c r="M98" s="892"/>
      <c r="N98" s="892"/>
      <c r="O98" s="943"/>
      <c r="P98" s="943"/>
      <c r="Q98" s="944"/>
    </row>
    <row r="99" spans="1:19" x14ac:dyDescent="0.6">
      <c r="A99" s="870" t="s">
        <v>272</v>
      </c>
      <c r="B99" s="871">
        <f t="shared" ref="B99:N99" si="35">B88/B89</f>
        <v>0</v>
      </c>
      <c r="C99" s="871">
        <f t="shared" si="35"/>
        <v>0.98363226646767354</v>
      </c>
      <c r="D99" s="871">
        <f t="shared" si="35"/>
        <v>1.0820006689342572</v>
      </c>
      <c r="E99" s="871">
        <f t="shared" si="35"/>
        <v>1.0139568703438984</v>
      </c>
      <c r="F99" s="871">
        <f t="shared" si="35"/>
        <v>0.95083395556413552</v>
      </c>
      <c r="G99" s="871">
        <f t="shared" si="35"/>
        <v>1.062992302686153</v>
      </c>
      <c r="H99" s="871">
        <f t="shared" si="35"/>
        <v>1.052080919473954</v>
      </c>
      <c r="I99" s="871">
        <f t="shared" si="35"/>
        <v>1.0894465492062695</v>
      </c>
      <c r="J99" s="871">
        <f t="shared" si="35"/>
        <v>0.95083395556413564</v>
      </c>
      <c r="K99" s="871">
        <f t="shared" si="35"/>
        <v>0.94096038364122703</v>
      </c>
      <c r="L99" s="871">
        <f t="shared" si="35"/>
        <v>0.78599098303517101</v>
      </c>
      <c r="M99" s="871">
        <f t="shared" si="35"/>
        <v>0.80435595092001932</v>
      </c>
      <c r="N99" s="871">
        <f t="shared" si="35"/>
        <v>0.94536597290809865</v>
      </c>
      <c r="O99" s="872"/>
      <c r="P99" s="872"/>
      <c r="Q99" s="873">
        <f>AVERAGE(B99:N99)</f>
        <v>0.89711159836499954</v>
      </c>
    </row>
    <row r="100" spans="1:19" ht="23.25" thickBot="1" x14ac:dyDescent="0.65">
      <c r="A100" s="881" t="s">
        <v>271</v>
      </c>
      <c r="B100" s="882">
        <f t="shared" ref="B100:N100" si="36">B89/B89</f>
        <v>1</v>
      </c>
      <c r="C100" s="882">
        <f t="shared" si="36"/>
        <v>1</v>
      </c>
      <c r="D100" s="882">
        <f t="shared" si="36"/>
        <v>1</v>
      </c>
      <c r="E100" s="882">
        <f t="shared" si="36"/>
        <v>1</v>
      </c>
      <c r="F100" s="882">
        <f t="shared" si="36"/>
        <v>1</v>
      </c>
      <c r="G100" s="882">
        <f t="shared" si="36"/>
        <v>1</v>
      </c>
      <c r="H100" s="882">
        <f t="shared" si="36"/>
        <v>1</v>
      </c>
      <c r="I100" s="882">
        <f t="shared" si="36"/>
        <v>1</v>
      </c>
      <c r="J100" s="882">
        <f t="shared" si="36"/>
        <v>1</v>
      </c>
      <c r="K100" s="882">
        <f t="shared" si="36"/>
        <v>1</v>
      </c>
      <c r="L100" s="882">
        <f t="shared" si="36"/>
        <v>1</v>
      </c>
      <c r="M100" s="882">
        <f t="shared" si="36"/>
        <v>1</v>
      </c>
      <c r="N100" s="882">
        <f t="shared" si="36"/>
        <v>1</v>
      </c>
      <c r="O100" s="883"/>
      <c r="P100" s="883"/>
      <c r="Q100" s="884">
        <f>AVERAGE(B100:N100)</f>
        <v>1</v>
      </c>
    </row>
    <row r="103" spans="1:19" ht="23.25" thickBot="1" x14ac:dyDescent="0.65">
      <c r="S103" s="348"/>
    </row>
    <row r="104" spans="1:19" x14ac:dyDescent="0.6">
      <c r="A104" s="500" t="s">
        <v>152</v>
      </c>
      <c r="B104" s="499" t="s">
        <v>81</v>
      </c>
      <c r="C104" s="499" t="s">
        <v>80</v>
      </c>
      <c r="D104" s="499" t="s">
        <v>79</v>
      </c>
      <c r="E104" s="499" t="s">
        <v>78</v>
      </c>
      <c r="F104" s="499" t="s">
        <v>74</v>
      </c>
      <c r="G104" s="499" t="s">
        <v>73</v>
      </c>
      <c r="H104" s="499" t="s">
        <v>72</v>
      </c>
      <c r="I104" s="499" t="s">
        <v>71</v>
      </c>
      <c r="J104" s="499" t="s">
        <v>70</v>
      </c>
      <c r="K104" s="499" t="s">
        <v>124</v>
      </c>
      <c r="L104" s="499" t="s">
        <v>68</v>
      </c>
      <c r="M104" s="499" t="s">
        <v>67</v>
      </c>
      <c r="N104" s="498" t="s">
        <v>66</v>
      </c>
    </row>
    <row r="105" spans="1:19" x14ac:dyDescent="0.6">
      <c r="A105" s="491" t="s">
        <v>148</v>
      </c>
      <c r="B105" s="513">
        <v>25482768</v>
      </c>
      <c r="C105" s="513">
        <v>26432206</v>
      </c>
      <c r="D105" s="513">
        <v>18733967</v>
      </c>
      <c r="E105" s="513">
        <v>19194777</v>
      </c>
      <c r="F105" s="513">
        <v>28812487</v>
      </c>
      <c r="G105" s="513">
        <v>10434855</v>
      </c>
      <c r="H105" s="513">
        <v>22179050</v>
      </c>
      <c r="I105" s="513">
        <v>36801583</v>
      </c>
      <c r="J105" s="513">
        <v>49700570</v>
      </c>
      <c r="K105" s="513">
        <v>17216043</v>
      </c>
      <c r="L105" s="512"/>
      <c r="M105" s="512">
        <f>M154</f>
        <v>53319289.641678743</v>
      </c>
      <c r="N105" s="511">
        <f>M105+K105</f>
        <v>70535332.641678751</v>
      </c>
    </row>
    <row r="106" spans="1:19" x14ac:dyDescent="0.6">
      <c r="A106" s="495" t="s">
        <v>147</v>
      </c>
      <c r="B106" s="510">
        <v>756106</v>
      </c>
      <c r="C106" s="510">
        <v>821821</v>
      </c>
      <c r="D106" s="510">
        <v>953584</v>
      </c>
      <c r="E106" s="510">
        <v>1070759</v>
      </c>
      <c r="F106" s="510">
        <v>1238595</v>
      </c>
      <c r="G106" s="510">
        <v>368108</v>
      </c>
      <c r="H106" s="510">
        <v>734959</v>
      </c>
      <c r="I106" s="510">
        <v>1110887</v>
      </c>
      <c r="J106" s="510">
        <v>1562780</v>
      </c>
      <c r="K106" s="510">
        <v>520019</v>
      </c>
      <c r="L106" s="509"/>
      <c r="M106" s="509">
        <f>N106-K106</f>
        <v>1511595</v>
      </c>
      <c r="N106" s="508">
        <f>J106*1.3</f>
        <v>2031614</v>
      </c>
    </row>
    <row r="107" spans="1:19" x14ac:dyDescent="0.6">
      <c r="A107" s="491" t="s">
        <v>146</v>
      </c>
      <c r="B107" s="513">
        <v>10515352</v>
      </c>
      <c r="C107" s="513">
        <v>13462669</v>
      </c>
      <c r="D107" s="513">
        <f>D108-D106-D105</f>
        <v>15773510</v>
      </c>
      <c r="E107" s="513">
        <f>E108-E106-E105</f>
        <v>14558591</v>
      </c>
      <c r="F107" s="513">
        <v>18472693</v>
      </c>
      <c r="G107" s="513">
        <v>5344744</v>
      </c>
      <c r="H107" s="513">
        <v>10931610</v>
      </c>
      <c r="I107" s="513">
        <v>18049930</v>
      </c>
      <c r="J107" s="513">
        <v>28949379</v>
      </c>
      <c r="K107" s="513">
        <v>10197562</v>
      </c>
      <c r="L107" s="512"/>
      <c r="M107" s="512">
        <f>J185</f>
        <v>27436630.700000003</v>
      </c>
      <c r="N107" s="511">
        <f>M107+K107</f>
        <v>37634192.700000003</v>
      </c>
    </row>
    <row r="108" spans="1:19" x14ac:dyDescent="0.6">
      <c r="A108" s="495" t="s">
        <v>100</v>
      </c>
      <c r="B108" s="510">
        <f>SUM(B105:B107)</f>
        <v>36754226</v>
      </c>
      <c r="C108" s="510">
        <f>SUM(C105:C107)</f>
        <v>40716696</v>
      </c>
      <c r="D108" s="510">
        <v>35461061</v>
      </c>
      <c r="E108" s="510">
        <v>34824127</v>
      </c>
      <c r="F108" s="510">
        <v>48523775</v>
      </c>
      <c r="G108" s="510">
        <v>16147737</v>
      </c>
      <c r="H108" s="510">
        <v>33845619</v>
      </c>
      <c r="I108" s="510">
        <v>55962400</v>
      </c>
      <c r="J108" s="510">
        <v>80212729</v>
      </c>
      <c r="K108" s="510">
        <v>27933624</v>
      </c>
      <c r="L108" s="509"/>
      <c r="M108" s="509">
        <f>SUM(M105:M107)</f>
        <v>82267515.341678739</v>
      </c>
      <c r="N108" s="508">
        <f>M108+K108</f>
        <v>110201139.34167874</v>
      </c>
    </row>
    <row r="109" spans="1:19" x14ac:dyDescent="0.6">
      <c r="A109" s="491" t="s">
        <v>145</v>
      </c>
      <c r="B109" s="513"/>
      <c r="C109" s="513"/>
      <c r="D109" s="513">
        <v>0</v>
      </c>
      <c r="E109" s="513">
        <v>0</v>
      </c>
      <c r="F109" s="513">
        <v>0</v>
      </c>
      <c r="G109" s="513">
        <v>0</v>
      </c>
      <c r="H109" s="513">
        <v>0</v>
      </c>
      <c r="I109" s="513">
        <v>0</v>
      </c>
      <c r="J109" s="513">
        <v>0</v>
      </c>
      <c r="K109" s="513">
        <v>0</v>
      </c>
      <c r="L109" s="512"/>
      <c r="M109" s="512"/>
      <c r="N109" s="511"/>
    </row>
    <row r="110" spans="1:19" x14ac:dyDescent="0.6">
      <c r="A110" s="495" t="s">
        <v>144</v>
      </c>
      <c r="B110" s="510">
        <v>36754226</v>
      </c>
      <c r="C110" s="510">
        <v>40716696</v>
      </c>
      <c r="D110" s="510">
        <v>35461061</v>
      </c>
      <c r="E110" s="510">
        <v>34824127</v>
      </c>
      <c r="F110" s="510">
        <v>48523775</v>
      </c>
      <c r="G110" s="510">
        <v>16147737</v>
      </c>
      <c r="H110" s="510">
        <v>33845619</v>
      </c>
      <c r="I110" s="510">
        <v>55962400</v>
      </c>
      <c r="J110" s="510">
        <v>80212729</v>
      </c>
      <c r="K110" s="510">
        <v>27933624</v>
      </c>
      <c r="L110" s="509"/>
      <c r="M110" s="509"/>
      <c r="N110" s="508"/>
    </row>
    <row r="111" spans="1:19" x14ac:dyDescent="0.6">
      <c r="A111" s="491" t="s">
        <v>143</v>
      </c>
      <c r="B111" s="513"/>
      <c r="C111" s="513"/>
      <c r="D111" s="513">
        <v>1048389</v>
      </c>
      <c r="E111" s="513">
        <v>807543</v>
      </c>
      <c r="F111" s="513">
        <v>0</v>
      </c>
      <c r="G111" s="513">
        <v>-1418879</v>
      </c>
      <c r="H111" s="513">
        <v>0</v>
      </c>
      <c r="I111" s="513">
        <v>0</v>
      </c>
      <c r="J111" s="513">
        <v>0</v>
      </c>
      <c r="K111" s="513">
        <v>0</v>
      </c>
      <c r="L111" s="512"/>
      <c r="M111" s="512"/>
      <c r="N111" s="511"/>
    </row>
    <row r="112" spans="1:19" x14ac:dyDescent="0.6">
      <c r="A112" s="495" t="s">
        <v>142</v>
      </c>
      <c r="B112" s="510"/>
      <c r="C112" s="510"/>
      <c r="D112" s="510">
        <v>-807543</v>
      </c>
      <c r="E112" s="510">
        <v>-528079</v>
      </c>
      <c r="F112" s="510">
        <v>0</v>
      </c>
      <c r="G112" s="510">
        <v>491094</v>
      </c>
      <c r="H112" s="510">
        <v>0</v>
      </c>
      <c r="I112" s="510">
        <v>0</v>
      </c>
      <c r="J112" s="510">
        <v>0</v>
      </c>
      <c r="K112" s="510">
        <v>0</v>
      </c>
      <c r="L112" s="509"/>
      <c r="M112" s="509"/>
      <c r="N112" s="508"/>
    </row>
    <row r="113" spans="1:18" x14ac:dyDescent="0.6">
      <c r="A113" s="491" t="s">
        <v>141</v>
      </c>
      <c r="B113" s="513"/>
      <c r="C113" s="513"/>
      <c r="D113" s="513">
        <f>236276-481331-547289</f>
        <v>-792344</v>
      </c>
      <c r="E113" s="513">
        <f>481331-183170-86206</f>
        <v>211955</v>
      </c>
      <c r="F113" s="513">
        <v>0</v>
      </c>
      <c r="G113" s="513">
        <v>0</v>
      </c>
      <c r="H113" s="513">
        <v>0</v>
      </c>
      <c r="I113" s="513">
        <v>0</v>
      </c>
      <c r="J113" s="513">
        <v>0</v>
      </c>
      <c r="K113" s="513">
        <v>0</v>
      </c>
      <c r="L113" s="512"/>
      <c r="M113" s="512"/>
      <c r="N113" s="511"/>
    </row>
    <row r="114" spans="1:18" x14ac:dyDescent="0.6">
      <c r="A114" s="495" t="s">
        <v>140</v>
      </c>
      <c r="B114" s="510"/>
      <c r="C114" s="510"/>
      <c r="D114" s="510">
        <v>34272629</v>
      </c>
      <c r="E114" s="510">
        <v>35952480</v>
      </c>
      <c r="F114" s="510">
        <v>48523775</v>
      </c>
      <c r="G114" s="510">
        <v>15219952</v>
      </c>
      <c r="H114" s="510">
        <v>33845619</v>
      </c>
      <c r="I114" s="510">
        <v>55962400</v>
      </c>
      <c r="J114" s="510">
        <v>80212729</v>
      </c>
      <c r="K114" s="510">
        <v>27933624</v>
      </c>
      <c r="L114" s="509"/>
      <c r="M114" s="509"/>
      <c r="N114" s="508"/>
    </row>
    <row r="115" spans="1:18" x14ac:dyDescent="0.6">
      <c r="A115" s="491" t="s">
        <v>139</v>
      </c>
      <c r="B115" s="513"/>
      <c r="C115" s="513"/>
      <c r="D115" s="513">
        <f>5772173+217404</f>
        <v>5989577</v>
      </c>
      <c r="E115" s="513">
        <f>3746451+384281</f>
        <v>4130732</v>
      </c>
      <c r="F115" s="513">
        <v>4156701</v>
      </c>
      <c r="G115" s="513">
        <v>2131465</v>
      </c>
      <c r="H115" s="513">
        <v>2601540</v>
      </c>
      <c r="I115" s="513">
        <v>2601540</v>
      </c>
      <c r="J115" s="513">
        <v>2601540</v>
      </c>
      <c r="K115" s="513">
        <v>7167694</v>
      </c>
      <c r="L115" s="512"/>
      <c r="M115" s="512"/>
      <c r="N115" s="511"/>
      <c r="O115" s="298"/>
    </row>
    <row r="116" spans="1:18" x14ac:dyDescent="0.6">
      <c r="A116" s="495" t="s">
        <v>138</v>
      </c>
      <c r="B116" s="510">
        <v>-1516971</v>
      </c>
      <c r="C116" s="510">
        <v>-5931614</v>
      </c>
      <c r="D116" s="510">
        <f>-3746451-384281</f>
        <v>-4130732</v>
      </c>
      <c r="E116" s="510">
        <v>-3628623</v>
      </c>
      <c r="F116" s="510">
        <v>-2601540</v>
      </c>
      <c r="G116" s="510">
        <v>-2502052</v>
      </c>
      <c r="H116" s="510">
        <v>-5831175</v>
      </c>
      <c r="I116" s="510">
        <v>-8498380</v>
      </c>
      <c r="J116" s="510">
        <v>-7167694</v>
      </c>
      <c r="K116" s="510">
        <v>-9985807</v>
      </c>
      <c r="L116" s="509"/>
      <c r="M116" s="509"/>
      <c r="N116" s="508"/>
      <c r="O116" s="298"/>
      <c r="P116" s="298"/>
      <c r="Q116" s="298"/>
      <c r="R116" s="298"/>
    </row>
    <row r="117" spans="1:18" x14ac:dyDescent="0.6">
      <c r="A117" s="491" t="s">
        <v>137</v>
      </c>
      <c r="B117" s="513"/>
      <c r="C117" s="513"/>
      <c r="D117" s="513">
        <v>36131474</v>
      </c>
      <c r="E117" s="513">
        <v>36454589</v>
      </c>
      <c r="F117" s="513">
        <v>50078936</v>
      </c>
      <c r="G117" s="513">
        <v>14849365</v>
      </c>
      <c r="H117" s="513">
        <v>30615984</v>
      </c>
      <c r="I117" s="513">
        <v>50065560</v>
      </c>
      <c r="J117" s="513">
        <v>75646575</v>
      </c>
      <c r="K117" s="513">
        <v>25115511</v>
      </c>
      <c r="L117" s="512"/>
      <c r="M117" s="512"/>
      <c r="N117" s="511"/>
    </row>
    <row r="118" spans="1:18" x14ac:dyDescent="0.6">
      <c r="A118" s="495" t="s">
        <v>136</v>
      </c>
      <c r="B118" s="510"/>
      <c r="C118" s="510"/>
      <c r="D118" s="510">
        <v>0</v>
      </c>
      <c r="E118" s="510">
        <v>0</v>
      </c>
      <c r="F118" s="510">
        <v>0</v>
      </c>
      <c r="G118" s="510">
        <v>0</v>
      </c>
      <c r="H118" s="510">
        <v>0</v>
      </c>
      <c r="I118" s="510">
        <v>0</v>
      </c>
      <c r="J118" s="510">
        <v>0</v>
      </c>
      <c r="K118" s="510">
        <v>0</v>
      </c>
      <c r="L118" s="509">
        <v>0</v>
      </c>
      <c r="M118" s="509"/>
      <c r="N118" s="508"/>
    </row>
    <row r="119" spans="1:18" ht="23.25" thickBot="1" x14ac:dyDescent="0.65">
      <c r="A119" s="504" t="s">
        <v>135</v>
      </c>
      <c r="B119" s="507">
        <v>35237255</v>
      </c>
      <c r="C119" s="507">
        <v>34785082</v>
      </c>
      <c r="D119" s="507">
        <v>36131474</v>
      </c>
      <c r="E119" s="507">
        <v>36454589</v>
      </c>
      <c r="F119" s="507">
        <v>50078936</v>
      </c>
      <c r="G119" s="507">
        <v>14849365</v>
      </c>
      <c r="H119" s="507">
        <v>30615984</v>
      </c>
      <c r="I119" s="507">
        <v>50065560</v>
      </c>
      <c r="J119" s="507">
        <v>75646575</v>
      </c>
      <c r="K119" s="507">
        <v>25115511</v>
      </c>
      <c r="L119" s="506"/>
      <c r="M119" s="506">
        <f>M120*M108</f>
        <v>76687557.084279418</v>
      </c>
      <c r="N119" s="455">
        <f>M119+K119</f>
        <v>101803068.08427942</v>
      </c>
    </row>
    <row r="120" spans="1:18" x14ac:dyDescent="0.6">
      <c r="F120" s="298">
        <f>F119/F108</f>
        <v>1.032049464412033</v>
      </c>
      <c r="G120" s="298">
        <f t="shared" ref="G120:K120" si="37">G119/G108</f>
        <v>0.91959418214453204</v>
      </c>
      <c r="H120" s="298">
        <f t="shared" si="37"/>
        <v>0.90457745801605816</v>
      </c>
      <c r="I120" s="298">
        <f t="shared" si="37"/>
        <v>0.89462853630294625</v>
      </c>
      <c r="J120" s="298">
        <f t="shared" si="37"/>
        <v>0.94307444645101157</v>
      </c>
      <c r="K120" s="298">
        <f t="shared" si="37"/>
        <v>0.89911394955412871</v>
      </c>
      <c r="M120" s="713">
        <f>AVERAGE(F120:K120)</f>
        <v>0.93217300614678489</v>
      </c>
    </row>
    <row r="121" spans="1:18" x14ac:dyDescent="0.6">
      <c r="B121" s="298"/>
      <c r="C121" s="298"/>
      <c r="D121" s="298"/>
      <c r="E121" s="298"/>
      <c r="F121" s="298"/>
      <c r="G121" s="298"/>
      <c r="H121" s="298"/>
      <c r="I121" s="298"/>
      <c r="J121" s="298"/>
      <c r="K121" s="298"/>
    </row>
    <row r="122" spans="1:18" ht="23.25" thickBot="1" x14ac:dyDescent="0.65"/>
    <row r="123" spans="1:18" x14ac:dyDescent="0.6">
      <c r="A123" s="500" t="s">
        <v>132</v>
      </c>
      <c r="B123" s="499" t="s">
        <v>81</v>
      </c>
      <c r="C123" s="499" t="s">
        <v>80</v>
      </c>
      <c r="D123" s="499" t="s">
        <v>79</v>
      </c>
      <c r="E123" s="499" t="s">
        <v>78</v>
      </c>
      <c r="F123" s="499" t="s">
        <v>74</v>
      </c>
      <c r="G123" s="499" t="s">
        <v>73</v>
      </c>
      <c r="H123" s="499" t="s">
        <v>72</v>
      </c>
      <c r="I123" s="499" t="s">
        <v>71</v>
      </c>
      <c r="J123" s="499" t="s">
        <v>70</v>
      </c>
      <c r="K123" s="499" t="s">
        <v>124</v>
      </c>
      <c r="L123" s="499" t="s">
        <v>68</v>
      </c>
      <c r="M123" s="499" t="s">
        <v>67</v>
      </c>
      <c r="N123" s="498" t="s">
        <v>66</v>
      </c>
    </row>
    <row r="124" spans="1:18" x14ac:dyDescent="0.6">
      <c r="A124" s="491" t="s">
        <v>268</v>
      </c>
      <c r="B124" s="490">
        <v>5444482</v>
      </c>
      <c r="C124" s="490">
        <v>5885278</v>
      </c>
      <c r="D124" s="490">
        <v>5562226</v>
      </c>
      <c r="E124" s="490">
        <v>5445419</v>
      </c>
      <c r="F124" s="490">
        <v>5491612</v>
      </c>
      <c r="G124" s="490">
        <v>1640023</v>
      </c>
      <c r="H124" s="490">
        <v>3158729</v>
      </c>
      <c r="I124" s="490">
        <v>4340201</v>
      </c>
      <c r="J124" s="490">
        <v>5814600</v>
      </c>
      <c r="K124" s="490">
        <v>1430216</v>
      </c>
      <c r="L124" s="490"/>
      <c r="M124" s="490">
        <f t="shared" ref="M124:M129" si="38">N135*$M$131</f>
        <v>3994575.6982074664</v>
      </c>
      <c r="N124" s="492"/>
    </row>
    <row r="125" spans="1:18" x14ac:dyDescent="0.6">
      <c r="A125" s="495" t="s">
        <v>267</v>
      </c>
      <c r="B125" s="494">
        <v>205354</v>
      </c>
      <c r="C125" s="494">
        <v>171089</v>
      </c>
      <c r="D125" s="494">
        <v>125088</v>
      </c>
      <c r="E125" s="494">
        <v>162852</v>
      </c>
      <c r="F125" s="494">
        <v>166706</v>
      </c>
      <c r="G125" s="494">
        <v>35104</v>
      </c>
      <c r="H125" s="494">
        <v>64121</v>
      </c>
      <c r="I125" s="494">
        <v>93370</v>
      </c>
      <c r="J125" s="494">
        <v>127658</v>
      </c>
      <c r="K125" s="494">
        <v>46845</v>
      </c>
      <c r="L125" s="494"/>
      <c r="M125" s="494">
        <f t="shared" si="38"/>
        <v>87699.849427607871</v>
      </c>
      <c r="N125" s="496"/>
    </row>
    <row r="126" spans="1:18" x14ac:dyDescent="0.6">
      <c r="A126" s="491" t="s">
        <v>266</v>
      </c>
      <c r="B126" s="490">
        <v>720642</v>
      </c>
      <c r="C126" s="490">
        <v>692556</v>
      </c>
      <c r="D126" s="490">
        <v>486760</v>
      </c>
      <c r="E126" s="490">
        <v>593927</v>
      </c>
      <c r="F126" s="490">
        <v>531004</v>
      </c>
      <c r="G126" s="490">
        <v>208969</v>
      </c>
      <c r="H126" s="490">
        <v>350381</v>
      </c>
      <c r="I126" s="490">
        <v>555765</v>
      </c>
      <c r="J126" s="490">
        <v>669612</v>
      </c>
      <c r="K126" s="490">
        <v>178104</v>
      </c>
      <c r="L126" s="490"/>
      <c r="M126" s="490">
        <f t="shared" si="38"/>
        <v>460017.16754860152</v>
      </c>
      <c r="N126" s="492"/>
    </row>
    <row r="127" spans="1:18" x14ac:dyDescent="0.6">
      <c r="A127" s="495" t="s">
        <v>265</v>
      </c>
      <c r="B127" s="494">
        <v>0</v>
      </c>
      <c r="C127" s="494">
        <v>0</v>
      </c>
      <c r="D127" s="494">
        <v>56241</v>
      </c>
      <c r="E127" s="494">
        <v>52617</v>
      </c>
      <c r="F127" s="494">
        <v>0</v>
      </c>
      <c r="G127" s="494">
        <v>46689</v>
      </c>
      <c r="H127" s="494">
        <v>86544</v>
      </c>
      <c r="I127" s="494">
        <v>134034</v>
      </c>
      <c r="J127" s="494">
        <v>189197</v>
      </c>
      <c r="K127" s="494">
        <v>15677</v>
      </c>
      <c r="L127" s="494"/>
      <c r="M127" s="494">
        <f t="shared" si="38"/>
        <v>129976.56560619098</v>
      </c>
      <c r="N127" s="496"/>
    </row>
    <row r="128" spans="1:18" x14ac:dyDescent="0.6">
      <c r="A128" s="491" t="s">
        <v>264</v>
      </c>
      <c r="B128" s="490">
        <v>0</v>
      </c>
      <c r="C128" s="490">
        <v>0</v>
      </c>
      <c r="D128" s="490">
        <v>125254</v>
      </c>
      <c r="E128" s="490">
        <v>95365</v>
      </c>
      <c r="F128" s="490">
        <v>0</v>
      </c>
      <c r="G128" s="490">
        <v>0</v>
      </c>
      <c r="H128" s="490">
        <v>0</v>
      </c>
      <c r="I128" s="490">
        <v>0</v>
      </c>
      <c r="J128" s="490">
        <v>0</v>
      </c>
      <c r="K128" s="490">
        <v>31181</v>
      </c>
      <c r="L128" s="490"/>
      <c r="M128" s="490">
        <f t="shared" si="38"/>
        <v>83541.835891005525</v>
      </c>
      <c r="N128" s="492"/>
    </row>
    <row r="129" spans="1:29" x14ac:dyDescent="0.6">
      <c r="A129" s="495" t="s">
        <v>263</v>
      </c>
      <c r="B129" s="494">
        <v>0</v>
      </c>
      <c r="C129" s="494">
        <v>0</v>
      </c>
      <c r="D129" s="494">
        <v>0</v>
      </c>
      <c r="E129" s="494">
        <v>0</v>
      </c>
      <c r="F129" s="494">
        <v>0</v>
      </c>
      <c r="G129" s="494">
        <v>0</v>
      </c>
      <c r="H129" s="494">
        <v>186340</v>
      </c>
      <c r="I129" s="494">
        <v>245913</v>
      </c>
      <c r="J129" s="494">
        <v>245913</v>
      </c>
      <c r="K129" s="494"/>
      <c r="L129" s="494"/>
      <c r="M129" s="494">
        <f t="shared" si="38"/>
        <v>168939.92599203603</v>
      </c>
      <c r="N129" s="496"/>
    </row>
    <row r="130" spans="1:29" ht="23.25" thickBot="1" x14ac:dyDescent="0.65">
      <c r="A130" s="504" t="s">
        <v>45</v>
      </c>
      <c r="B130" s="503">
        <f t="shared" ref="B130:K130" si="39">SUM(B124:B129)</f>
        <v>6370478</v>
      </c>
      <c r="C130" s="503">
        <f t="shared" si="39"/>
        <v>6748923</v>
      </c>
      <c r="D130" s="503">
        <f t="shared" si="39"/>
        <v>6355569</v>
      </c>
      <c r="E130" s="503">
        <f t="shared" si="39"/>
        <v>6350180</v>
      </c>
      <c r="F130" s="503">
        <f t="shared" si="39"/>
        <v>6189322</v>
      </c>
      <c r="G130" s="503">
        <f t="shared" si="39"/>
        <v>1930785</v>
      </c>
      <c r="H130" s="503">
        <f t="shared" si="39"/>
        <v>3846115</v>
      </c>
      <c r="I130" s="503">
        <f t="shared" si="39"/>
        <v>5369283</v>
      </c>
      <c r="J130" s="503">
        <f t="shared" si="39"/>
        <v>7046980</v>
      </c>
      <c r="K130" s="503">
        <f t="shared" si="39"/>
        <v>1702023</v>
      </c>
      <c r="L130" s="503"/>
      <c r="M130" s="503">
        <f>SUM(M124:M129)</f>
        <v>4924751.0426729079</v>
      </c>
      <c r="N130" s="505">
        <f>M130+K130</f>
        <v>6626774.0426729079</v>
      </c>
    </row>
    <row r="131" spans="1:29" x14ac:dyDescent="0.6">
      <c r="A131" s="200" t="s">
        <v>270</v>
      </c>
      <c r="B131" s="502">
        <f>B6</f>
        <v>3551619</v>
      </c>
      <c r="C131" s="502">
        <f>C6</f>
        <v>3458871</v>
      </c>
      <c r="D131" s="502">
        <f>D6</f>
        <v>3438496</v>
      </c>
      <c r="E131" s="502">
        <f>E6</f>
        <v>3599688</v>
      </c>
      <c r="F131" s="502">
        <f t="shared" ref="F131:K131" si="40">I6</f>
        <v>3765591</v>
      </c>
      <c r="G131" s="502">
        <f t="shared" si="40"/>
        <v>976434</v>
      </c>
      <c r="H131" s="502">
        <f t="shared" si="40"/>
        <v>1909579</v>
      </c>
      <c r="I131" s="502">
        <f t="shared" si="40"/>
        <v>2839717</v>
      </c>
      <c r="J131" s="502">
        <f t="shared" si="40"/>
        <v>3822467</v>
      </c>
      <c r="K131" s="502">
        <f t="shared" si="40"/>
        <v>980123</v>
      </c>
      <c r="L131" s="336"/>
      <c r="M131" s="336">
        <f>P6</f>
        <v>2625999</v>
      </c>
      <c r="N131" s="501">
        <f>M131+K131</f>
        <v>3606122</v>
      </c>
      <c r="R131" s="320"/>
      <c r="S131" s="350"/>
      <c r="T131" s="320"/>
      <c r="U131" s="319"/>
      <c r="V131" s="350"/>
      <c r="W131" s="319"/>
      <c r="X131" s="319"/>
      <c r="Y131" s="319"/>
      <c r="Z131" s="319"/>
      <c r="AA131" s="319"/>
      <c r="AB131" s="350"/>
      <c r="AC131" s="319"/>
    </row>
    <row r="132" spans="1:29" x14ac:dyDescent="0.6">
      <c r="R132" s="320"/>
      <c r="S132" s="350"/>
      <c r="T132" s="320"/>
      <c r="U132" s="319"/>
      <c r="V132" s="350"/>
      <c r="W132" s="319"/>
      <c r="X132" s="319"/>
      <c r="Y132" s="319"/>
      <c r="Z132" s="319"/>
      <c r="AA132" s="319"/>
      <c r="AB132" s="350"/>
      <c r="AC132" s="319"/>
    </row>
    <row r="133" spans="1:29" ht="23.25" thickBot="1" x14ac:dyDescent="0.65">
      <c r="R133" s="320"/>
      <c r="S133" s="350"/>
      <c r="T133" s="320"/>
      <c r="U133" s="319"/>
      <c r="V133" s="350"/>
      <c r="W133" s="319"/>
      <c r="X133" s="319"/>
      <c r="Y133" s="319"/>
      <c r="Z133" s="319"/>
      <c r="AA133" s="319"/>
      <c r="AB133" s="350"/>
      <c r="AC133" s="319"/>
    </row>
    <row r="134" spans="1:29" x14ac:dyDescent="0.6">
      <c r="A134" s="953" t="s">
        <v>132</v>
      </c>
      <c r="B134" s="954" t="s">
        <v>81</v>
      </c>
      <c r="C134" s="954" t="s">
        <v>80</v>
      </c>
      <c r="D134" s="954" t="s">
        <v>79</v>
      </c>
      <c r="E134" s="954" t="s">
        <v>78</v>
      </c>
      <c r="F134" s="954" t="s">
        <v>74</v>
      </c>
      <c r="G134" s="954" t="s">
        <v>73</v>
      </c>
      <c r="H134" s="954" t="s">
        <v>72</v>
      </c>
      <c r="I134" s="954" t="s">
        <v>71</v>
      </c>
      <c r="J134" s="954" t="s">
        <v>70</v>
      </c>
      <c r="K134" s="954" t="s">
        <v>124</v>
      </c>
      <c r="L134" s="954" t="s">
        <v>68</v>
      </c>
      <c r="M134" s="954" t="s">
        <v>67</v>
      </c>
      <c r="N134" s="955" t="s">
        <v>66</v>
      </c>
      <c r="R134" s="320"/>
      <c r="S134" s="350"/>
      <c r="T134" s="320"/>
      <c r="U134" s="319"/>
      <c r="V134" s="350"/>
      <c r="W134" s="319"/>
      <c r="X134" s="319"/>
      <c r="Y134" s="319"/>
      <c r="Z134" s="319"/>
      <c r="AA134" s="319"/>
      <c r="AB134" s="350"/>
      <c r="AC134" s="319"/>
    </row>
    <row r="135" spans="1:29" x14ac:dyDescent="0.6">
      <c r="A135" s="956" t="s">
        <v>268</v>
      </c>
      <c r="B135" s="957">
        <f t="shared" ref="B135:B141" si="41">B124/$B$131</f>
        <v>1.5329577862940817</v>
      </c>
      <c r="C135" s="957">
        <f t="shared" ref="C135:K135" si="42">C124/C131</f>
        <v>1.7015026001258793</v>
      </c>
      <c r="D135" s="957">
        <f t="shared" si="42"/>
        <v>1.6176334071640623</v>
      </c>
      <c r="E135" s="957">
        <f t="shared" si="42"/>
        <v>1.5127474936716738</v>
      </c>
      <c r="F135" s="957">
        <f t="shared" si="42"/>
        <v>1.4583665618491228</v>
      </c>
      <c r="G135" s="957">
        <f t="shared" si="42"/>
        <v>1.679604561086566</v>
      </c>
      <c r="H135" s="957">
        <f t="shared" si="42"/>
        <v>1.6541494224643234</v>
      </c>
      <c r="I135" s="957">
        <f t="shared" si="42"/>
        <v>1.5283920897751431</v>
      </c>
      <c r="J135" s="957">
        <f t="shared" si="42"/>
        <v>1.5211642114895956</v>
      </c>
      <c r="K135" s="957">
        <f t="shared" si="42"/>
        <v>1.4592209345153619</v>
      </c>
      <c r="L135" s="958"/>
      <c r="M135" s="958"/>
      <c r="N135" s="959">
        <f>J135</f>
        <v>1.5211642114895956</v>
      </c>
      <c r="R135" s="320"/>
      <c r="S135" s="350"/>
      <c r="T135" s="320"/>
      <c r="U135" s="319"/>
      <c r="V135" s="350"/>
      <c r="W135" s="319"/>
      <c r="X135" s="319"/>
      <c r="Y135" s="319"/>
      <c r="Z135" s="319"/>
      <c r="AA135" s="319"/>
      <c r="AB135" s="350"/>
      <c r="AC135" s="319"/>
    </row>
    <row r="136" spans="1:29" x14ac:dyDescent="0.6">
      <c r="A136" s="960" t="s">
        <v>267</v>
      </c>
      <c r="B136" s="961">
        <f t="shared" si="41"/>
        <v>5.781982808403717E-2</v>
      </c>
      <c r="C136" s="961">
        <f t="shared" ref="C136:K136" si="43">C125/C131</f>
        <v>4.9463827936919301E-2</v>
      </c>
      <c r="D136" s="961">
        <f t="shared" si="43"/>
        <v>3.6378695801885477E-2</v>
      </c>
      <c r="E136" s="961">
        <f t="shared" si="43"/>
        <v>4.5240587517584856E-2</v>
      </c>
      <c r="F136" s="961">
        <f t="shared" si="43"/>
        <v>4.4270872752776393E-2</v>
      </c>
      <c r="G136" s="961">
        <f t="shared" si="43"/>
        <v>3.5951226606201751E-2</v>
      </c>
      <c r="H136" s="961">
        <f t="shared" si="43"/>
        <v>3.3578605546039204E-2</v>
      </c>
      <c r="I136" s="961">
        <f t="shared" si="43"/>
        <v>3.288003698960143E-2</v>
      </c>
      <c r="J136" s="961">
        <f t="shared" si="43"/>
        <v>3.3396756597244656E-2</v>
      </c>
      <c r="K136" s="961">
        <f t="shared" si="43"/>
        <v>4.7795021645242484E-2</v>
      </c>
      <c r="L136" s="962"/>
      <c r="M136" s="962"/>
      <c r="N136" s="963">
        <f>J136</f>
        <v>3.3396756597244656E-2</v>
      </c>
      <c r="R136" s="320"/>
      <c r="S136" s="350"/>
      <c r="T136" s="320"/>
      <c r="U136" s="319"/>
      <c r="V136" s="350"/>
      <c r="W136" s="319"/>
      <c r="X136" s="319"/>
      <c r="Y136" s="319"/>
      <c r="Z136" s="319"/>
      <c r="AA136" s="319"/>
      <c r="AB136" s="350"/>
      <c r="AC136" s="319"/>
    </row>
    <row r="137" spans="1:29" x14ac:dyDescent="0.6">
      <c r="A137" s="956" t="s">
        <v>266</v>
      </c>
      <c r="B137" s="957">
        <f t="shared" si="41"/>
        <v>0.20290521027170988</v>
      </c>
      <c r="C137" s="957">
        <f t="shared" ref="C137:K137" si="44">C126/C131</f>
        <v>0.20022602751013263</v>
      </c>
      <c r="D137" s="957">
        <f t="shared" si="44"/>
        <v>0.1415618921761142</v>
      </c>
      <c r="E137" s="957">
        <f t="shared" si="44"/>
        <v>0.16499402170410324</v>
      </c>
      <c r="F137" s="957">
        <f t="shared" si="44"/>
        <v>0.1410147836023615</v>
      </c>
      <c r="G137" s="957">
        <f t="shared" si="44"/>
        <v>0.2140124166098272</v>
      </c>
      <c r="H137" s="957">
        <f t="shared" si="44"/>
        <v>0.18348599350956415</v>
      </c>
      <c r="I137" s="957">
        <f t="shared" si="44"/>
        <v>0.19571140363634826</v>
      </c>
      <c r="J137" s="957">
        <f t="shared" si="44"/>
        <v>0.17517796752725401</v>
      </c>
      <c r="K137" s="957">
        <f t="shared" si="44"/>
        <v>0.18171596830193762</v>
      </c>
      <c r="L137" s="958"/>
      <c r="M137" s="958"/>
      <c r="N137" s="959">
        <f>J137</f>
        <v>0.17517796752725401</v>
      </c>
      <c r="R137" s="320"/>
      <c r="S137" s="350"/>
      <c r="T137" s="320"/>
      <c r="U137" s="319"/>
      <c r="V137" s="350"/>
      <c r="W137" s="319"/>
      <c r="X137" s="319"/>
      <c r="Y137" s="319"/>
      <c r="Z137" s="319"/>
      <c r="AA137" s="319"/>
      <c r="AB137" s="350"/>
      <c r="AC137" s="319"/>
    </row>
    <row r="138" spans="1:29" x14ac:dyDescent="0.6">
      <c r="A138" s="960" t="s">
        <v>265</v>
      </c>
      <c r="B138" s="961">
        <f t="shared" si="41"/>
        <v>0</v>
      </c>
      <c r="C138" s="961">
        <f t="shared" ref="C138:K138" si="45">C127/C131</f>
        <v>0</v>
      </c>
      <c r="D138" s="961">
        <f t="shared" si="45"/>
        <v>1.6356279024317608E-2</v>
      </c>
      <c r="E138" s="961">
        <f t="shared" si="45"/>
        <v>1.4617100148679552E-2</v>
      </c>
      <c r="F138" s="961">
        <f t="shared" si="45"/>
        <v>0</v>
      </c>
      <c r="G138" s="961">
        <f t="shared" si="45"/>
        <v>4.7815827797884958E-2</v>
      </c>
      <c r="H138" s="961">
        <f t="shared" si="45"/>
        <v>4.5320984363569142E-2</v>
      </c>
      <c r="I138" s="961">
        <f t="shared" si="45"/>
        <v>4.7199773780274581E-2</v>
      </c>
      <c r="J138" s="961">
        <f t="shared" si="45"/>
        <v>4.9496045355002412E-2</v>
      </c>
      <c r="K138" s="961">
        <f t="shared" si="45"/>
        <v>1.5994931248424944E-2</v>
      </c>
      <c r="L138" s="962"/>
      <c r="M138" s="962"/>
      <c r="N138" s="963">
        <f>J138</f>
        <v>4.9496045355002412E-2</v>
      </c>
      <c r="R138" s="320"/>
      <c r="S138" s="350"/>
      <c r="T138" s="320"/>
      <c r="U138" s="319"/>
      <c r="V138" s="350"/>
      <c r="W138" s="319"/>
      <c r="X138" s="319"/>
      <c r="Y138" s="319"/>
      <c r="Z138" s="319"/>
      <c r="AA138" s="319"/>
      <c r="AB138" s="350"/>
      <c r="AC138" s="319"/>
    </row>
    <row r="139" spans="1:29" x14ac:dyDescent="0.6">
      <c r="A139" s="956" t="s">
        <v>264</v>
      </c>
      <c r="B139" s="957">
        <f t="shared" si="41"/>
        <v>0</v>
      </c>
      <c r="C139" s="957">
        <f t="shared" ref="C139:K139" si="46">C128/C131</f>
        <v>0</v>
      </c>
      <c r="D139" s="957">
        <f t="shared" si="46"/>
        <v>3.6426972722957945E-2</v>
      </c>
      <c r="E139" s="957">
        <f t="shared" si="46"/>
        <v>2.6492573800840517E-2</v>
      </c>
      <c r="F139" s="957">
        <f t="shared" si="46"/>
        <v>0</v>
      </c>
      <c r="G139" s="957">
        <f t="shared" si="46"/>
        <v>0</v>
      </c>
      <c r="H139" s="957">
        <f t="shared" si="46"/>
        <v>0</v>
      </c>
      <c r="I139" s="957">
        <f t="shared" si="46"/>
        <v>0</v>
      </c>
      <c r="J139" s="957">
        <f t="shared" si="46"/>
        <v>0</v>
      </c>
      <c r="K139" s="957">
        <f t="shared" si="46"/>
        <v>3.1813354038217653E-2</v>
      </c>
      <c r="L139" s="958"/>
      <c r="M139" s="958"/>
      <c r="N139" s="959">
        <f>K139</f>
        <v>3.1813354038217653E-2</v>
      </c>
      <c r="R139" s="320"/>
      <c r="S139" s="350"/>
      <c r="T139" s="320"/>
      <c r="U139" s="319"/>
      <c r="V139" s="350"/>
      <c r="W139" s="319"/>
      <c r="X139" s="319"/>
      <c r="Y139" s="319"/>
      <c r="Z139" s="319"/>
      <c r="AA139" s="319"/>
      <c r="AB139" s="350"/>
      <c r="AC139" s="319"/>
    </row>
    <row r="140" spans="1:29" x14ac:dyDescent="0.6">
      <c r="A140" s="960" t="s">
        <v>263</v>
      </c>
      <c r="B140" s="961">
        <f t="shared" si="41"/>
        <v>0</v>
      </c>
      <c r="C140" s="961">
        <f t="shared" ref="C140:K140" si="47">C129/C131</f>
        <v>0</v>
      </c>
      <c r="D140" s="961">
        <f t="shared" si="47"/>
        <v>0</v>
      </c>
      <c r="E140" s="961">
        <f t="shared" si="47"/>
        <v>0</v>
      </c>
      <c r="F140" s="961">
        <f t="shared" si="47"/>
        <v>0</v>
      </c>
      <c r="G140" s="961">
        <f t="shared" si="47"/>
        <v>0</v>
      </c>
      <c r="H140" s="961">
        <f t="shared" si="47"/>
        <v>9.7581718274027937E-2</v>
      </c>
      <c r="I140" s="961">
        <f t="shared" si="47"/>
        <v>8.6597713786268141E-2</v>
      </c>
      <c r="J140" s="961">
        <f t="shared" si="47"/>
        <v>6.4333583520799528E-2</v>
      </c>
      <c r="K140" s="961">
        <f t="shared" si="47"/>
        <v>0</v>
      </c>
      <c r="L140" s="962"/>
      <c r="M140" s="962"/>
      <c r="N140" s="963">
        <f>J140</f>
        <v>6.4333583520799528E-2</v>
      </c>
      <c r="R140" s="320"/>
      <c r="S140" s="350"/>
      <c r="T140" s="320"/>
      <c r="U140" s="319"/>
      <c r="V140" s="350"/>
      <c r="W140" s="319"/>
      <c r="X140" s="319"/>
      <c r="Y140" s="319"/>
      <c r="Z140" s="319"/>
      <c r="AA140" s="319"/>
      <c r="AB140" s="350"/>
      <c r="AC140" s="319"/>
    </row>
    <row r="141" spans="1:29" ht="23.25" thickBot="1" x14ac:dyDescent="0.65">
      <c r="A141" s="964" t="s">
        <v>45</v>
      </c>
      <c r="B141" s="965">
        <f t="shared" si="41"/>
        <v>1.7936828246498286</v>
      </c>
      <c r="C141" s="965">
        <f t="shared" ref="C141:K141" si="48">C130/C131</f>
        <v>1.9511924555729312</v>
      </c>
      <c r="D141" s="965">
        <f t="shared" si="48"/>
        <v>1.8483572468893377</v>
      </c>
      <c r="E141" s="965">
        <f t="shared" si="48"/>
        <v>1.7640917768428819</v>
      </c>
      <c r="F141" s="965">
        <f t="shared" si="48"/>
        <v>1.6436522182042606</v>
      </c>
      <c r="G141" s="965">
        <f t="shared" si="48"/>
        <v>1.9773840321004799</v>
      </c>
      <c r="H141" s="965">
        <f t="shared" si="48"/>
        <v>2.0141167241575237</v>
      </c>
      <c r="I141" s="965">
        <f t="shared" si="48"/>
        <v>1.8907810179676354</v>
      </c>
      <c r="J141" s="965">
        <f t="shared" si="48"/>
        <v>1.8435685644898963</v>
      </c>
      <c r="K141" s="965">
        <f t="shared" si="48"/>
        <v>1.7365402097491844</v>
      </c>
      <c r="L141" s="966"/>
      <c r="M141" s="966"/>
      <c r="N141" s="967"/>
      <c r="R141" s="320"/>
      <c r="S141" s="350"/>
      <c r="T141" s="320"/>
      <c r="U141" s="319"/>
      <c r="V141" s="350"/>
      <c r="W141" s="319"/>
      <c r="X141" s="319"/>
      <c r="Y141" s="319"/>
      <c r="Z141" s="319"/>
      <c r="AA141" s="319"/>
      <c r="AB141" s="350"/>
      <c r="AC141" s="319"/>
    </row>
    <row r="142" spans="1:29" x14ac:dyDescent="0.6">
      <c r="R142" s="320"/>
      <c r="S142" s="350"/>
      <c r="T142" s="320"/>
      <c r="U142" s="319"/>
      <c r="V142" s="350"/>
      <c r="W142" s="319"/>
      <c r="X142" s="319"/>
      <c r="Y142" s="319"/>
      <c r="Z142" s="319"/>
      <c r="AA142" s="319"/>
      <c r="AB142" s="350"/>
      <c r="AC142" s="319"/>
    </row>
    <row r="143" spans="1:29" x14ac:dyDescent="0.6">
      <c r="R143" s="320"/>
      <c r="S143" s="350"/>
      <c r="T143" s="320"/>
      <c r="U143" s="319"/>
      <c r="V143" s="350"/>
      <c r="W143" s="319"/>
      <c r="X143" s="319"/>
      <c r="Y143" s="319"/>
      <c r="Z143" s="319"/>
      <c r="AA143" s="319"/>
      <c r="AB143" s="350"/>
      <c r="AC143" s="319"/>
    </row>
    <row r="145" spans="1:29" ht="23.25" thickBot="1" x14ac:dyDescent="0.65"/>
    <row r="146" spans="1:29" x14ac:dyDescent="0.6">
      <c r="A146" s="500" t="s">
        <v>131</v>
      </c>
      <c r="B146" s="499" t="s">
        <v>81</v>
      </c>
      <c r="C146" s="499" t="s">
        <v>80</v>
      </c>
      <c r="D146" s="499" t="s">
        <v>79</v>
      </c>
      <c r="E146" s="499" t="s">
        <v>78</v>
      </c>
      <c r="F146" s="499" t="s">
        <v>74</v>
      </c>
      <c r="G146" s="499" t="s">
        <v>73</v>
      </c>
      <c r="H146" s="499" t="s">
        <v>72</v>
      </c>
      <c r="I146" s="499" t="s">
        <v>71</v>
      </c>
      <c r="J146" s="499" t="s">
        <v>70</v>
      </c>
      <c r="K146" s="499" t="s">
        <v>124</v>
      </c>
      <c r="L146" s="499" t="s">
        <v>68</v>
      </c>
      <c r="M146" s="499" t="s">
        <v>67</v>
      </c>
      <c r="N146" s="498" t="s">
        <v>66</v>
      </c>
      <c r="R146" s="319"/>
      <c r="S146" s="350"/>
      <c r="T146" s="319"/>
      <c r="U146" s="319"/>
      <c r="V146" s="350"/>
      <c r="W146" s="319"/>
      <c r="X146" s="319"/>
      <c r="Y146" s="319"/>
      <c r="Z146" s="319"/>
      <c r="AA146" s="319"/>
      <c r="AB146" s="350"/>
      <c r="AC146" s="319"/>
    </row>
    <row r="147" spans="1:29" x14ac:dyDescent="0.6">
      <c r="A147" s="491" t="s">
        <v>268</v>
      </c>
      <c r="B147" s="490">
        <v>13965982</v>
      </c>
      <c r="C147" s="490">
        <v>16181679</v>
      </c>
      <c r="D147" s="490">
        <v>11114284</v>
      </c>
      <c r="E147" s="490">
        <v>10715370</v>
      </c>
      <c r="F147" s="490">
        <v>16254643</v>
      </c>
      <c r="G147" s="490">
        <v>6383838</v>
      </c>
      <c r="H147" s="490">
        <v>13314339</v>
      </c>
      <c r="I147" s="490">
        <v>21203142</v>
      </c>
      <c r="J147" s="490">
        <v>29824020</v>
      </c>
      <c r="K147" s="490">
        <v>9637849</v>
      </c>
      <c r="L147" s="490"/>
      <c r="M147" s="490">
        <f t="shared" ref="M147:M152" si="49">M157*M124/1000000</f>
        <v>24958108.96240025</v>
      </c>
      <c r="N147" s="492"/>
      <c r="R147" s="319"/>
      <c r="S147" s="350"/>
      <c r="T147" s="319"/>
      <c r="U147" s="319"/>
      <c r="V147" s="350"/>
      <c r="W147" s="319"/>
      <c r="X147" s="319"/>
      <c r="Y147" s="319"/>
      <c r="Z147" s="319"/>
      <c r="AA147" s="319"/>
      <c r="AB147" s="350"/>
      <c r="AC147" s="319"/>
    </row>
    <row r="148" spans="1:29" x14ac:dyDescent="0.6">
      <c r="A148" s="495" t="s">
        <v>267</v>
      </c>
      <c r="B148" s="494">
        <v>2158480</v>
      </c>
      <c r="C148" s="494">
        <v>1933466</v>
      </c>
      <c r="D148" s="494">
        <v>967401</v>
      </c>
      <c r="E148" s="494">
        <v>1314916</v>
      </c>
      <c r="F148" s="494">
        <v>1691580</v>
      </c>
      <c r="G148" s="494">
        <v>501597</v>
      </c>
      <c r="H148" s="494">
        <v>1128842</v>
      </c>
      <c r="I148" s="494">
        <v>2051283</v>
      </c>
      <c r="J148" s="494">
        <v>2539591</v>
      </c>
      <c r="K148" s="494">
        <v>1419707</v>
      </c>
      <c r="L148" s="494"/>
      <c r="M148" s="494">
        <f t="shared" si="49"/>
        <v>2464318.6480870172</v>
      </c>
      <c r="N148" s="496"/>
      <c r="R148" s="320"/>
      <c r="T148" s="319"/>
      <c r="U148" s="320"/>
      <c r="V148" s="350"/>
      <c r="W148" s="319"/>
      <c r="X148" s="320"/>
      <c r="Y148" s="320"/>
      <c r="Z148" s="319"/>
      <c r="AA148" s="320"/>
      <c r="AC148" s="319"/>
    </row>
    <row r="149" spans="1:29" x14ac:dyDescent="0.6">
      <c r="A149" s="491" t="s">
        <v>266</v>
      </c>
      <c r="B149" s="490">
        <v>5889764</v>
      </c>
      <c r="C149" s="490">
        <v>5322162</v>
      </c>
      <c r="D149" s="490">
        <v>3431853</v>
      </c>
      <c r="E149" s="490">
        <v>4473936</v>
      </c>
      <c r="F149" s="490">
        <v>5041757</v>
      </c>
      <c r="G149" s="490">
        <v>2316683</v>
      </c>
      <c r="H149" s="490">
        <v>4039583</v>
      </c>
      <c r="I149" s="490">
        <v>7194453</v>
      </c>
      <c r="J149" s="490">
        <v>8914068</v>
      </c>
      <c r="K149" s="490">
        <v>3255252</v>
      </c>
      <c r="L149" s="490"/>
      <c r="M149" s="490">
        <f t="shared" si="49"/>
        <v>7795563.545290974</v>
      </c>
      <c r="N149" s="492"/>
    </row>
    <row r="150" spans="1:29" x14ac:dyDescent="0.6">
      <c r="A150" s="495" t="s">
        <v>265</v>
      </c>
      <c r="B150" s="494">
        <v>2409726</v>
      </c>
      <c r="C150" s="494">
        <v>2160255</v>
      </c>
      <c r="D150" s="494">
        <v>2187830</v>
      </c>
      <c r="E150" s="494">
        <v>2096582</v>
      </c>
      <c r="F150" s="494">
        <v>4590225</v>
      </c>
      <c r="G150" s="494">
        <v>1232737</v>
      </c>
      <c r="H150" s="494">
        <v>2357438</v>
      </c>
      <c r="I150" s="494">
        <v>4425711</v>
      </c>
      <c r="J150" s="494">
        <v>6359203</v>
      </c>
      <c r="K150" s="494">
        <v>1947235</v>
      </c>
      <c r="L150" s="494"/>
      <c r="M150" s="494">
        <f t="shared" si="49"/>
        <v>14968662.672068739</v>
      </c>
      <c r="N150" s="496"/>
      <c r="R150" s="319"/>
      <c r="S150" s="350"/>
      <c r="T150" s="319"/>
      <c r="U150" s="319"/>
      <c r="V150" s="350"/>
      <c r="W150" s="319"/>
      <c r="X150" s="319"/>
      <c r="Y150" s="319"/>
      <c r="Z150" s="319"/>
      <c r="AA150" s="319"/>
      <c r="AB150" s="350"/>
      <c r="AC150" s="319"/>
    </row>
    <row r="151" spans="1:29" x14ac:dyDescent="0.6">
      <c r="A151" s="491" t="s">
        <v>264</v>
      </c>
      <c r="B151" s="490">
        <v>983335</v>
      </c>
      <c r="C151" s="490">
        <v>834644</v>
      </c>
      <c r="D151" s="490">
        <v>718813</v>
      </c>
      <c r="E151" s="490">
        <v>593973</v>
      </c>
      <c r="F151" s="490">
        <v>1590225</v>
      </c>
      <c r="G151" s="490">
        <v>0</v>
      </c>
      <c r="H151" s="490">
        <v>0</v>
      </c>
      <c r="I151" s="490">
        <v>0</v>
      </c>
      <c r="J151" s="490">
        <v>0</v>
      </c>
      <c r="K151" s="490">
        <v>543263</v>
      </c>
      <c r="L151" s="490"/>
      <c r="M151" s="490">
        <f t="shared" si="49"/>
        <v>1349542.7257304799</v>
      </c>
      <c r="N151" s="492"/>
    </row>
    <row r="152" spans="1:29" x14ac:dyDescent="0.6">
      <c r="A152" s="495" t="s">
        <v>263</v>
      </c>
      <c r="B152" s="494"/>
      <c r="C152" s="494"/>
      <c r="D152" s="494"/>
      <c r="E152" s="494"/>
      <c r="F152" s="494">
        <v>0</v>
      </c>
      <c r="G152" s="494">
        <v>0</v>
      </c>
      <c r="H152" s="494">
        <v>1108657</v>
      </c>
      <c r="I152" s="494">
        <v>1672343</v>
      </c>
      <c r="J152" s="494">
        <v>1637525</v>
      </c>
      <c r="K152" s="494"/>
      <c r="L152" s="494"/>
      <c r="M152" s="494">
        <f t="shared" si="49"/>
        <v>1370356.0881012843</v>
      </c>
      <c r="N152" s="496"/>
    </row>
    <row r="153" spans="1:29" x14ac:dyDescent="0.6">
      <c r="A153" s="491" t="s">
        <v>269</v>
      </c>
      <c r="B153" s="490"/>
      <c r="C153" s="490"/>
      <c r="D153" s="490"/>
      <c r="E153" s="490"/>
      <c r="F153" s="490">
        <v>0</v>
      </c>
      <c r="G153" s="490">
        <v>0</v>
      </c>
      <c r="H153" s="490">
        <v>230191</v>
      </c>
      <c r="I153" s="490">
        <v>254651</v>
      </c>
      <c r="J153" s="490">
        <v>0</v>
      </c>
      <c r="K153" s="490">
        <v>412737</v>
      </c>
      <c r="L153" s="490"/>
      <c r="M153" s="490">
        <f>K153</f>
        <v>412737</v>
      </c>
      <c r="N153" s="492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</row>
    <row r="154" spans="1:29" ht="23.25" thickBot="1" x14ac:dyDescent="0.65">
      <c r="A154" s="487" t="s">
        <v>45</v>
      </c>
      <c r="B154" s="486">
        <f t="shared" ref="B154:K154" si="50">SUM(B147:B153)</f>
        <v>25407287</v>
      </c>
      <c r="C154" s="486">
        <f t="shared" si="50"/>
        <v>26432206</v>
      </c>
      <c r="D154" s="486">
        <f t="shared" si="50"/>
        <v>18420181</v>
      </c>
      <c r="E154" s="486">
        <f t="shared" si="50"/>
        <v>19194777</v>
      </c>
      <c r="F154" s="486">
        <f t="shared" si="50"/>
        <v>29168430</v>
      </c>
      <c r="G154" s="486">
        <f t="shared" si="50"/>
        <v>10434855</v>
      </c>
      <c r="H154" s="486">
        <f t="shared" si="50"/>
        <v>22179050</v>
      </c>
      <c r="I154" s="486">
        <f t="shared" si="50"/>
        <v>36801583</v>
      </c>
      <c r="J154" s="486">
        <f t="shared" si="50"/>
        <v>49274407</v>
      </c>
      <c r="K154" s="486">
        <f t="shared" si="50"/>
        <v>17216043</v>
      </c>
      <c r="L154" s="486"/>
      <c r="M154" s="486">
        <f>SUM(M147:M153)</f>
        <v>53319289.641678743</v>
      </c>
      <c r="N154" s="488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</row>
    <row r="155" spans="1:29" ht="23.25" thickBot="1" x14ac:dyDescent="0.65">
      <c r="T155" s="319"/>
      <c r="W155" s="319"/>
      <c r="Z155" s="319"/>
      <c r="AC155" s="319"/>
    </row>
    <row r="156" spans="1:29" x14ac:dyDescent="0.6">
      <c r="A156" s="500" t="s">
        <v>125</v>
      </c>
      <c r="B156" s="499" t="s">
        <v>81</v>
      </c>
      <c r="C156" s="499" t="s">
        <v>80</v>
      </c>
      <c r="D156" s="499" t="s">
        <v>79</v>
      </c>
      <c r="E156" s="499" t="s">
        <v>78</v>
      </c>
      <c r="F156" s="499" t="s">
        <v>74</v>
      </c>
      <c r="G156" s="499" t="s">
        <v>73</v>
      </c>
      <c r="H156" s="499" t="s">
        <v>72</v>
      </c>
      <c r="I156" s="499" t="s">
        <v>71</v>
      </c>
      <c r="J156" s="499" t="s">
        <v>70</v>
      </c>
      <c r="K156" s="499" t="s">
        <v>124</v>
      </c>
      <c r="L156" s="499" t="s">
        <v>68</v>
      </c>
      <c r="M156" s="499" t="s">
        <v>67</v>
      </c>
      <c r="N156" s="498" t="s">
        <v>66</v>
      </c>
    </row>
    <row r="157" spans="1:29" x14ac:dyDescent="0.6">
      <c r="A157" s="491" t="s">
        <v>268</v>
      </c>
      <c r="B157" s="490">
        <f t="shared" ref="B157:K157" si="51">B147*1000000/B124</f>
        <v>2565162.6729595214</v>
      </c>
      <c r="C157" s="490">
        <f t="shared" si="51"/>
        <v>2749518.2045775917</v>
      </c>
      <c r="D157" s="490">
        <f t="shared" si="51"/>
        <v>1998171.9548971939</v>
      </c>
      <c r="E157" s="490">
        <f t="shared" si="51"/>
        <v>1967776.9515991332</v>
      </c>
      <c r="F157" s="490">
        <f t="shared" si="51"/>
        <v>2959903.7586777797</v>
      </c>
      <c r="G157" s="490">
        <f t="shared" si="51"/>
        <v>3892529.5559879341</v>
      </c>
      <c r="H157" s="490">
        <f t="shared" si="51"/>
        <v>4215093.7924715923</v>
      </c>
      <c r="I157" s="490">
        <f t="shared" si="51"/>
        <v>4885290.335631921</v>
      </c>
      <c r="J157" s="490">
        <f t="shared" si="51"/>
        <v>5129161.0772882057</v>
      </c>
      <c r="K157" s="490">
        <f t="shared" si="51"/>
        <v>6738736.6663496979</v>
      </c>
      <c r="L157" s="490"/>
      <c r="M157" s="490">
        <f>B248</f>
        <v>6248000</v>
      </c>
      <c r="N157" s="492"/>
    </row>
    <row r="158" spans="1:29" x14ac:dyDescent="0.6">
      <c r="A158" s="495" t="s">
        <v>267</v>
      </c>
      <c r="B158" s="494">
        <f t="shared" ref="B158:K158" si="52">B148*1000000/B125</f>
        <v>10511019.99474079</v>
      </c>
      <c r="C158" s="494">
        <f t="shared" si="52"/>
        <v>11300936.939253839</v>
      </c>
      <c r="D158" s="494">
        <f t="shared" si="52"/>
        <v>7733763.4305448961</v>
      </c>
      <c r="E158" s="494">
        <f t="shared" si="52"/>
        <v>8074300.5919485176</v>
      </c>
      <c r="F158" s="494">
        <f t="shared" si="52"/>
        <v>10147085.287872063</v>
      </c>
      <c r="G158" s="494">
        <f t="shared" si="52"/>
        <v>14288884.457611669</v>
      </c>
      <c r="H158" s="494">
        <f t="shared" si="52"/>
        <v>17604872.03880164</v>
      </c>
      <c r="I158" s="494">
        <f t="shared" si="52"/>
        <v>21969401.306629539</v>
      </c>
      <c r="J158" s="494">
        <f t="shared" si="52"/>
        <v>19893708.189067665</v>
      </c>
      <c r="K158" s="494">
        <f t="shared" si="52"/>
        <v>30306478.813107055</v>
      </c>
      <c r="L158" s="494"/>
      <c r="M158" s="497">
        <f>M157*N167</f>
        <v>28099462.703424562</v>
      </c>
      <c r="N158" s="496"/>
    </row>
    <row r="159" spans="1:29" x14ac:dyDescent="0.6">
      <c r="A159" s="491" t="s">
        <v>266</v>
      </c>
      <c r="B159" s="490">
        <f t="shared" ref="B159:K159" si="53">B149*1000000/B126</f>
        <v>8172940.2393976478</v>
      </c>
      <c r="C159" s="490">
        <f t="shared" si="53"/>
        <v>7684811.0477708662</v>
      </c>
      <c r="D159" s="490">
        <f t="shared" si="53"/>
        <v>7050400.6081025554</v>
      </c>
      <c r="E159" s="490">
        <f t="shared" si="53"/>
        <v>7532804.536584462</v>
      </c>
      <c r="F159" s="490">
        <f t="shared" si="53"/>
        <v>9494762.7513163742</v>
      </c>
      <c r="G159" s="490">
        <f t="shared" si="53"/>
        <v>11086252.027812738</v>
      </c>
      <c r="H159" s="490">
        <f t="shared" si="53"/>
        <v>11529115.448611654</v>
      </c>
      <c r="I159" s="490">
        <f t="shared" si="53"/>
        <v>12945135.084073305</v>
      </c>
      <c r="J159" s="490">
        <f t="shared" si="53"/>
        <v>13312288.310245337</v>
      </c>
      <c r="K159" s="490">
        <f t="shared" si="53"/>
        <v>18277253.739388224</v>
      </c>
      <c r="L159" s="490"/>
      <c r="M159" s="493">
        <f>M157*N168</f>
        <v>16946244.825672425</v>
      </c>
      <c r="N159" s="492"/>
    </row>
    <row r="160" spans="1:29" x14ac:dyDescent="0.6">
      <c r="A160" s="495" t="s">
        <v>265</v>
      </c>
      <c r="B160" s="494">
        <v>0</v>
      </c>
      <c r="C160" s="494">
        <v>0</v>
      </c>
      <c r="D160" s="494">
        <f>D150*1000000/D127</f>
        <v>38900979.712309524</v>
      </c>
      <c r="E160" s="494">
        <f>E150*1000000/E127</f>
        <v>39846095.368417054</v>
      </c>
      <c r="F160" s="494">
        <v>0</v>
      </c>
      <c r="G160" s="494">
        <f>G150*1000000/G127</f>
        <v>26403157.060549594</v>
      </c>
      <c r="H160" s="494">
        <f>H150*1000000/H127</f>
        <v>27239762.432982069</v>
      </c>
      <c r="I160" s="494">
        <f>I150*1000000/I127</f>
        <v>33019315.994449168</v>
      </c>
      <c r="J160" s="494">
        <f>J150*1000000/J127</f>
        <v>33611542.466318175</v>
      </c>
      <c r="K160" s="494">
        <f>K150*1000000/K127</f>
        <v>124209670.21751611</v>
      </c>
      <c r="L160" s="494"/>
      <c r="M160" s="497">
        <f>M157*N169</f>
        <v>115164319.06211068</v>
      </c>
      <c r="N160" s="496"/>
    </row>
    <row r="161" spans="1:14" x14ac:dyDescent="0.6">
      <c r="A161" s="491" t="s">
        <v>264</v>
      </c>
      <c r="B161" s="490">
        <v>0</v>
      </c>
      <c r="C161" s="490">
        <v>0</v>
      </c>
      <c r="D161" s="490">
        <f>D151*1000000/D128</f>
        <v>5738842.6716911234</v>
      </c>
      <c r="E161" s="490">
        <f>E151*1000000/E128</f>
        <v>6228417.1341687199</v>
      </c>
      <c r="F161" s="490">
        <v>0</v>
      </c>
      <c r="G161" s="490">
        <v>0</v>
      </c>
      <c r="H161" s="490">
        <v>0</v>
      </c>
      <c r="I161" s="490">
        <v>0</v>
      </c>
      <c r="J161" s="490">
        <v>0</v>
      </c>
      <c r="K161" s="490">
        <f>K151*1000000/K128</f>
        <v>17422885.731695585</v>
      </c>
      <c r="L161" s="490"/>
      <c r="M161" s="493">
        <f>M157*N170</f>
        <v>16154094.668103619</v>
      </c>
      <c r="N161" s="492"/>
    </row>
    <row r="162" spans="1:14" ht="23.25" thickBot="1" x14ac:dyDescent="0.65">
      <c r="A162" s="487" t="s">
        <v>263</v>
      </c>
      <c r="B162" s="486"/>
      <c r="C162" s="486"/>
      <c r="D162" s="486"/>
      <c r="E162" s="486"/>
      <c r="F162" s="486">
        <v>0</v>
      </c>
      <c r="G162" s="486">
        <v>0</v>
      </c>
      <c r="H162" s="486">
        <f>H152*1000000/H129</f>
        <v>5949645.8087367183</v>
      </c>
      <c r="I162" s="486">
        <f>I152*1000000/I129</f>
        <v>6800547.3480458539</v>
      </c>
      <c r="J162" s="486">
        <f>J152*1000000/J129</f>
        <v>6658960.6893494856</v>
      </c>
      <c r="K162" s="486">
        <v>0</v>
      </c>
      <c r="L162" s="486"/>
      <c r="M162" s="489">
        <f>M157*N171</f>
        <v>8111499.2803174555</v>
      </c>
      <c r="N162" s="488"/>
    </row>
    <row r="163" spans="1:14" x14ac:dyDescent="0.6">
      <c r="M163" s="348"/>
    </row>
    <row r="164" spans="1:14" ht="23.25" thickBot="1" x14ac:dyDescent="0.65">
      <c r="M164" s="348"/>
    </row>
    <row r="165" spans="1:14" x14ac:dyDescent="0.6">
      <c r="A165" s="953" t="s">
        <v>125</v>
      </c>
      <c r="B165" s="954" t="s">
        <v>81</v>
      </c>
      <c r="C165" s="954" t="s">
        <v>80</v>
      </c>
      <c r="D165" s="954" t="s">
        <v>79</v>
      </c>
      <c r="E165" s="954" t="s">
        <v>78</v>
      </c>
      <c r="F165" s="954" t="s">
        <v>74</v>
      </c>
      <c r="G165" s="954" t="s">
        <v>73</v>
      </c>
      <c r="H165" s="954" t="s">
        <v>72</v>
      </c>
      <c r="I165" s="954" t="s">
        <v>71</v>
      </c>
      <c r="J165" s="954" t="s">
        <v>70</v>
      </c>
      <c r="K165" s="954" t="s">
        <v>124</v>
      </c>
      <c r="L165" s="954" t="s">
        <v>68</v>
      </c>
      <c r="M165" s="954" t="s">
        <v>67</v>
      </c>
      <c r="N165" s="955" t="s">
        <v>66</v>
      </c>
    </row>
    <row r="166" spans="1:14" x14ac:dyDescent="0.6">
      <c r="A166" s="956" t="s">
        <v>268</v>
      </c>
      <c r="B166" s="968">
        <f t="shared" ref="B166:K166" si="54">B157/B157</f>
        <v>1</v>
      </c>
      <c r="C166" s="968">
        <f t="shared" si="54"/>
        <v>1</v>
      </c>
      <c r="D166" s="968">
        <f t="shared" si="54"/>
        <v>1</v>
      </c>
      <c r="E166" s="968">
        <f t="shared" si="54"/>
        <v>1</v>
      </c>
      <c r="F166" s="968">
        <f t="shared" si="54"/>
        <v>1</v>
      </c>
      <c r="G166" s="968">
        <f t="shared" si="54"/>
        <v>1</v>
      </c>
      <c r="H166" s="968">
        <f t="shared" si="54"/>
        <v>1</v>
      </c>
      <c r="I166" s="968">
        <f t="shared" si="54"/>
        <v>1</v>
      </c>
      <c r="J166" s="968">
        <f t="shared" si="54"/>
        <v>1</v>
      </c>
      <c r="K166" s="968">
        <f t="shared" si="54"/>
        <v>1</v>
      </c>
      <c r="L166" s="958"/>
      <c r="M166" s="958"/>
      <c r="N166" s="969"/>
    </row>
    <row r="167" spans="1:14" x14ac:dyDescent="0.6">
      <c r="A167" s="960" t="s">
        <v>267</v>
      </c>
      <c r="B167" s="970">
        <f t="shared" ref="B167:K167" si="55">B158/B157</f>
        <v>4.0976036746292754</v>
      </c>
      <c r="C167" s="970">
        <f t="shared" si="55"/>
        <v>4.1101517060113446</v>
      </c>
      <c r="D167" s="970">
        <f t="shared" si="55"/>
        <v>3.8704193658562276</v>
      </c>
      <c r="E167" s="970">
        <f t="shared" si="55"/>
        <v>4.1032600698909789</v>
      </c>
      <c r="F167" s="970">
        <f t="shared" si="55"/>
        <v>3.4281808177455315</v>
      </c>
      <c r="G167" s="970">
        <f t="shared" si="55"/>
        <v>3.6708480313607055</v>
      </c>
      <c r="H167" s="970">
        <f t="shared" si="55"/>
        <v>4.1766264063316898</v>
      </c>
      <c r="I167" s="970">
        <f t="shared" si="55"/>
        <v>4.4970513106234362</v>
      </c>
      <c r="J167" s="970">
        <f t="shared" si="55"/>
        <v>3.8785500960686332</v>
      </c>
      <c r="K167" s="970">
        <f t="shared" si="55"/>
        <v>4.4973531855673112</v>
      </c>
      <c r="L167" s="962"/>
      <c r="M167" s="962"/>
      <c r="N167" s="971">
        <f>K167</f>
        <v>4.4973531855673112</v>
      </c>
    </row>
    <row r="168" spans="1:14" x14ac:dyDescent="0.6">
      <c r="A168" s="956" t="s">
        <v>266</v>
      </c>
      <c r="B168" s="968">
        <f t="shared" ref="B168:K168" si="56">B159/B157</f>
        <v>3.1861294122014607</v>
      </c>
      <c r="C168" s="968">
        <f t="shared" si="56"/>
        <v>2.7949664181079621</v>
      </c>
      <c r="D168" s="968">
        <f t="shared" si="56"/>
        <v>3.5284253644052868</v>
      </c>
      <c r="E168" s="968">
        <f t="shared" si="56"/>
        <v>3.8280784468294815</v>
      </c>
      <c r="F168" s="968">
        <f t="shared" si="56"/>
        <v>3.2077944167879919</v>
      </c>
      <c r="G168" s="968">
        <f t="shared" si="56"/>
        <v>2.8480842260423165</v>
      </c>
      <c r="H168" s="968">
        <f t="shared" si="56"/>
        <v>2.7351978428578123</v>
      </c>
      <c r="I168" s="968">
        <f t="shared" si="56"/>
        <v>2.6498189861214931</v>
      </c>
      <c r="J168" s="968">
        <f t="shared" si="56"/>
        <v>2.5954124094857947</v>
      </c>
      <c r="K168" s="968">
        <f t="shared" si="56"/>
        <v>2.7122670975788132</v>
      </c>
      <c r="L168" s="958"/>
      <c r="M168" s="958"/>
      <c r="N168" s="972">
        <f>K168</f>
        <v>2.7122670975788132</v>
      </c>
    </row>
    <row r="169" spans="1:14" x14ac:dyDescent="0.6">
      <c r="A169" s="960" t="s">
        <v>265</v>
      </c>
      <c r="B169" s="970">
        <f t="shared" ref="B169:K169" si="57">B160/B157</f>
        <v>0</v>
      </c>
      <c r="C169" s="970">
        <f t="shared" si="57"/>
        <v>0</v>
      </c>
      <c r="D169" s="970">
        <f t="shared" si="57"/>
        <v>19.468284307048531</v>
      </c>
      <c r="E169" s="970">
        <f t="shared" si="57"/>
        <v>20.249294685576906</v>
      </c>
      <c r="F169" s="970">
        <f t="shared" si="57"/>
        <v>0</v>
      </c>
      <c r="G169" s="970">
        <f t="shared" si="57"/>
        <v>6.7830331615422779</v>
      </c>
      <c r="H169" s="970">
        <f t="shared" si="57"/>
        <v>6.4624332871628862</v>
      </c>
      <c r="I169" s="970">
        <f t="shared" si="57"/>
        <v>6.7589260260778463</v>
      </c>
      <c r="J169" s="970">
        <f t="shared" si="57"/>
        <v>6.5530292302866497</v>
      </c>
      <c r="K169" s="970">
        <f t="shared" si="57"/>
        <v>18.432189350529878</v>
      </c>
      <c r="L169" s="962"/>
      <c r="M169" s="962"/>
      <c r="N169" s="971">
        <f>K169</f>
        <v>18.432189350529878</v>
      </c>
    </row>
    <row r="170" spans="1:14" x14ac:dyDescent="0.6">
      <c r="A170" s="956" t="s">
        <v>264</v>
      </c>
      <c r="B170" s="968">
        <f t="shared" ref="B170:K170" si="58">B161/B157</f>
        <v>0</v>
      </c>
      <c r="C170" s="968">
        <f t="shared" si="58"/>
        <v>0</v>
      </c>
      <c r="D170" s="968">
        <f t="shared" si="58"/>
        <v>2.872046451070517</v>
      </c>
      <c r="E170" s="968">
        <f t="shared" si="58"/>
        <v>3.1652048414873115</v>
      </c>
      <c r="F170" s="968">
        <f t="shared" si="58"/>
        <v>0</v>
      </c>
      <c r="G170" s="968">
        <f t="shared" si="58"/>
        <v>0</v>
      </c>
      <c r="H170" s="968">
        <f t="shared" si="58"/>
        <v>0</v>
      </c>
      <c r="I170" s="968">
        <f t="shared" si="58"/>
        <v>0</v>
      </c>
      <c r="J170" s="968">
        <f t="shared" si="58"/>
        <v>0</v>
      </c>
      <c r="K170" s="968">
        <f t="shared" si="58"/>
        <v>2.585482501296994</v>
      </c>
      <c r="L170" s="958"/>
      <c r="M170" s="958"/>
      <c r="N170" s="972">
        <f>K170</f>
        <v>2.585482501296994</v>
      </c>
    </row>
    <row r="171" spans="1:14" ht="23.25" thickBot="1" x14ac:dyDescent="0.65">
      <c r="A171" s="973" t="s">
        <v>263</v>
      </c>
      <c r="B171" s="974">
        <f t="shared" ref="B171:K171" si="59">B162/B157</f>
        <v>0</v>
      </c>
      <c r="C171" s="974">
        <f t="shared" si="59"/>
        <v>0</v>
      </c>
      <c r="D171" s="974">
        <f t="shared" si="59"/>
        <v>0</v>
      </c>
      <c r="E171" s="974">
        <f t="shared" si="59"/>
        <v>0</v>
      </c>
      <c r="F171" s="974">
        <f t="shared" si="59"/>
        <v>0</v>
      </c>
      <c r="G171" s="974">
        <f t="shared" si="59"/>
        <v>0</v>
      </c>
      <c r="H171" s="974">
        <f t="shared" si="59"/>
        <v>1.4115097081263384</v>
      </c>
      <c r="I171" s="974">
        <f t="shared" si="59"/>
        <v>1.392045688348263</v>
      </c>
      <c r="J171" s="974">
        <f t="shared" si="59"/>
        <v>1.2982553265552905</v>
      </c>
      <c r="K171" s="974">
        <f t="shared" si="59"/>
        <v>0</v>
      </c>
      <c r="L171" s="975"/>
      <c r="M171" s="975"/>
      <c r="N171" s="976">
        <f>J171</f>
        <v>1.2982553265552905</v>
      </c>
    </row>
    <row r="172" spans="1:14" x14ac:dyDescent="0.6">
      <c r="M172" s="348"/>
    </row>
    <row r="173" spans="1:14" ht="23.25" thickBot="1" x14ac:dyDescent="0.65"/>
    <row r="174" spans="1:14" x14ac:dyDescent="0.6">
      <c r="A174" s="468" t="s">
        <v>114</v>
      </c>
      <c r="B174" s="481" t="s">
        <v>74</v>
      </c>
      <c r="C174" s="481" t="s">
        <v>73</v>
      </c>
      <c r="D174" s="481" t="s">
        <v>72</v>
      </c>
      <c r="E174" s="481" t="s">
        <v>71</v>
      </c>
      <c r="F174" s="481" t="s">
        <v>70</v>
      </c>
      <c r="G174" s="481" t="s">
        <v>69</v>
      </c>
      <c r="H174" s="481" t="s">
        <v>111</v>
      </c>
      <c r="I174" s="481" t="s">
        <v>68</v>
      </c>
      <c r="J174" s="481" t="s">
        <v>67</v>
      </c>
      <c r="K174" s="480" t="s">
        <v>66</v>
      </c>
    </row>
    <row r="175" spans="1:14" x14ac:dyDescent="0.6">
      <c r="A175" s="463" t="s">
        <v>110</v>
      </c>
      <c r="B175" s="477">
        <v>4660153</v>
      </c>
      <c r="C175" s="485">
        <v>1339560</v>
      </c>
      <c r="D175" s="477">
        <v>2516002</v>
      </c>
      <c r="E175" s="477">
        <v>3786680</v>
      </c>
      <c r="F175" s="477">
        <v>5305101</v>
      </c>
      <c r="G175" s="477">
        <v>1724254</v>
      </c>
      <c r="H175" s="477">
        <v>5366336</v>
      </c>
      <c r="I175" s="477"/>
      <c r="J175" s="477">
        <f t="shared" ref="J175:J184" si="60">K175-G175</f>
        <v>5172377.3</v>
      </c>
      <c r="K175" s="476">
        <f t="shared" ref="K175:K184" si="61">F175*1.3</f>
        <v>6896631.2999999998</v>
      </c>
    </row>
    <row r="176" spans="1:14" x14ac:dyDescent="0.6">
      <c r="A176" s="460" t="s">
        <v>109</v>
      </c>
      <c r="B176" s="474">
        <v>1415198</v>
      </c>
      <c r="C176" s="484">
        <v>325195</v>
      </c>
      <c r="D176" s="474">
        <v>644392</v>
      </c>
      <c r="E176" s="474">
        <v>963399</v>
      </c>
      <c r="F176" s="474">
        <v>1354592</v>
      </c>
      <c r="G176" s="474">
        <v>327917</v>
      </c>
      <c r="H176" s="474">
        <v>1026675</v>
      </c>
      <c r="I176" s="474"/>
      <c r="J176" s="474">
        <f t="shared" si="60"/>
        <v>1433052.6</v>
      </c>
      <c r="K176" s="483">
        <f t="shared" si="61"/>
        <v>1760969.6</v>
      </c>
    </row>
    <row r="177" spans="1:19" x14ac:dyDescent="0.6">
      <c r="A177" s="463" t="s">
        <v>108</v>
      </c>
      <c r="B177" s="477">
        <v>5115975</v>
      </c>
      <c r="C177" s="485">
        <v>1304888</v>
      </c>
      <c r="D177" s="477">
        <v>2826616</v>
      </c>
      <c r="E177" s="477">
        <v>4216792</v>
      </c>
      <c r="F177" s="477">
        <v>6680711</v>
      </c>
      <c r="G177" s="477">
        <v>1946030</v>
      </c>
      <c r="H177" s="477">
        <v>6226973</v>
      </c>
      <c r="I177" s="477"/>
      <c r="J177" s="477">
        <f t="shared" si="60"/>
        <v>6738894.3000000007</v>
      </c>
      <c r="K177" s="476">
        <f t="shared" si="61"/>
        <v>8684924.3000000007</v>
      </c>
      <c r="L177" s="319"/>
      <c r="N177" s="319"/>
      <c r="O177" s="319"/>
      <c r="Q177" s="319"/>
      <c r="S177" s="319"/>
    </row>
    <row r="178" spans="1:19" x14ac:dyDescent="0.6">
      <c r="A178" s="460" t="s">
        <v>107</v>
      </c>
      <c r="B178" s="474">
        <v>4199845</v>
      </c>
      <c r="C178" s="484">
        <v>996397</v>
      </c>
      <c r="D178" s="474">
        <v>3512050</v>
      </c>
      <c r="E178" s="474">
        <v>6513143</v>
      </c>
      <c r="F178" s="474">
        <v>11990924</v>
      </c>
      <c r="G178" s="474">
        <v>5001964</v>
      </c>
      <c r="H178" s="474">
        <v>14491792</v>
      </c>
      <c r="I178" s="474"/>
      <c r="J178" s="474">
        <f t="shared" si="60"/>
        <v>10586237.200000001</v>
      </c>
      <c r="K178" s="483">
        <f t="shared" si="61"/>
        <v>15588201.200000001</v>
      </c>
      <c r="L178" s="319"/>
      <c r="N178" s="319"/>
      <c r="O178" s="319"/>
      <c r="Q178" s="319"/>
      <c r="S178" s="319"/>
    </row>
    <row r="179" spans="1:19" x14ac:dyDescent="0.6">
      <c r="A179" s="463" t="s">
        <v>106</v>
      </c>
      <c r="B179" s="479">
        <v>0</v>
      </c>
      <c r="C179" s="485">
        <v>0</v>
      </c>
      <c r="D179" s="479">
        <v>0</v>
      </c>
      <c r="E179" s="479">
        <v>0</v>
      </c>
      <c r="F179" s="479">
        <v>0</v>
      </c>
      <c r="G179" s="479">
        <v>0</v>
      </c>
      <c r="H179" s="479">
        <v>0</v>
      </c>
      <c r="I179" s="479"/>
      <c r="J179" s="477">
        <f t="shared" si="60"/>
        <v>0</v>
      </c>
      <c r="K179" s="476">
        <f t="shared" si="61"/>
        <v>0</v>
      </c>
      <c r="L179" s="319"/>
      <c r="N179" s="319"/>
      <c r="O179" s="319"/>
      <c r="Q179" s="319"/>
      <c r="S179" s="319"/>
    </row>
    <row r="180" spans="1:19" x14ac:dyDescent="0.6">
      <c r="A180" s="460" t="s">
        <v>105</v>
      </c>
      <c r="B180" s="473">
        <v>0</v>
      </c>
      <c r="C180" s="484">
        <v>0</v>
      </c>
      <c r="D180" s="473">
        <v>0</v>
      </c>
      <c r="E180" s="473">
        <v>0</v>
      </c>
      <c r="F180" s="473">
        <v>0</v>
      </c>
      <c r="G180" s="473">
        <v>0</v>
      </c>
      <c r="H180" s="473">
        <v>0</v>
      </c>
      <c r="I180" s="473"/>
      <c r="J180" s="474">
        <f t="shared" si="60"/>
        <v>0</v>
      </c>
      <c r="K180" s="483">
        <f t="shared" si="61"/>
        <v>0</v>
      </c>
      <c r="L180" s="319"/>
      <c r="N180" s="319"/>
      <c r="O180" s="319"/>
      <c r="Q180" s="320"/>
      <c r="S180" s="320"/>
    </row>
    <row r="181" spans="1:19" x14ac:dyDescent="0.6">
      <c r="A181" s="463" t="s">
        <v>104</v>
      </c>
      <c r="B181" s="479">
        <v>0</v>
      </c>
      <c r="C181" s="485">
        <v>0</v>
      </c>
      <c r="D181" s="479">
        <v>0</v>
      </c>
      <c r="E181" s="479">
        <v>0</v>
      </c>
      <c r="F181" s="479">
        <v>0</v>
      </c>
      <c r="G181" s="479">
        <v>0</v>
      </c>
      <c r="H181" s="479">
        <v>0</v>
      </c>
      <c r="I181" s="479"/>
      <c r="J181" s="477">
        <f t="shared" si="60"/>
        <v>0</v>
      </c>
      <c r="K181" s="476">
        <f t="shared" si="61"/>
        <v>0</v>
      </c>
      <c r="L181" s="320"/>
      <c r="N181" s="320"/>
      <c r="O181" s="320"/>
      <c r="Q181" s="320"/>
      <c r="S181" s="320"/>
    </row>
    <row r="182" spans="1:19" x14ac:dyDescent="0.6">
      <c r="A182" s="460" t="s">
        <v>103</v>
      </c>
      <c r="B182" s="473">
        <v>0</v>
      </c>
      <c r="C182" s="484">
        <v>0</v>
      </c>
      <c r="D182" s="473">
        <v>0</v>
      </c>
      <c r="E182" s="473">
        <v>0</v>
      </c>
      <c r="F182" s="473">
        <v>0</v>
      </c>
      <c r="G182" s="473">
        <v>0</v>
      </c>
      <c r="H182" s="473">
        <v>0</v>
      </c>
      <c r="I182" s="473"/>
      <c r="J182" s="474">
        <f t="shared" si="60"/>
        <v>0</v>
      </c>
      <c r="K182" s="483">
        <f t="shared" si="61"/>
        <v>0</v>
      </c>
      <c r="L182" s="320"/>
      <c r="N182" s="320"/>
      <c r="O182" s="320"/>
      <c r="Q182" s="320"/>
      <c r="S182" s="320"/>
    </row>
    <row r="183" spans="1:19" x14ac:dyDescent="0.6">
      <c r="A183" s="463" t="s">
        <v>102</v>
      </c>
      <c r="B183" s="477">
        <v>490255</v>
      </c>
      <c r="C183" s="485">
        <v>0</v>
      </c>
      <c r="D183" s="477">
        <v>231498</v>
      </c>
      <c r="E183" s="477">
        <v>323646</v>
      </c>
      <c r="F183" s="477">
        <v>557705</v>
      </c>
      <c r="G183" s="477">
        <v>189979</v>
      </c>
      <c r="H183" s="477">
        <v>551769</v>
      </c>
      <c r="I183" s="477"/>
      <c r="J183" s="477">
        <f t="shared" si="60"/>
        <v>535037.5</v>
      </c>
      <c r="K183" s="476">
        <f t="shared" si="61"/>
        <v>725016.5</v>
      </c>
      <c r="L183" s="320"/>
      <c r="N183" s="320"/>
      <c r="O183" s="320"/>
      <c r="Q183" s="320"/>
      <c r="S183" s="320"/>
    </row>
    <row r="184" spans="1:19" x14ac:dyDescent="0.6">
      <c r="A184" s="460" t="s">
        <v>101</v>
      </c>
      <c r="B184" s="474">
        <v>2591267</v>
      </c>
      <c r="C184" s="484">
        <v>787428</v>
      </c>
      <c r="D184" s="474">
        <v>1201052</v>
      </c>
      <c r="E184" s="474">
        <v>2246270</v>
      </c>
      <c r="F184" s="474">
        <v>3060346</v>
      </c>
      <c r="G184" s="474">
        <v>1007418</v>
      </c>
      <c r="H184" s="474">
        <v>3681208</v>
      </c>
      <c r="I184" s="474"/>
      <c r="J184" s="474">
        <f t="shared" si="60"/>
        <v>2971031.8000000003</v>
      </c>
      <c r="K184" s="483">
        <f t="shared" si="61"/>
        <v>3978449.8000000003</v>
      </c>
      <c r="L184" s="320"/>
      <c r="N184" s="320"/>
      <c r="O184" s="320"/>
      <c r="Q184" s="320"/>
      <c r="S184" s="320"/>
    </row>
    <row r="185" spans="1:19" ht="23.25" thickBot="1" x14ac:dyDescent="0.65">
      <c r="A185" s="457" t="s">
        <v>100</v>
      </c>
      <c r="B185" s="470">
        <v>18472693</v>
      </c>
      <c r="C185" s="482">
        <v>5344774</v>
      </c>
      <c r="D185" s="470">
        <v>10931610</v>
      </c>
      <c r="E185" s="470">
        <v>18049930</v>
      </c>
      <c r="F185" s="470">
        <v>28949379</v>
      </c>
      <c r="G185" s="470">
        <v>10197562</v>
      </c>
      <c r="H185" s="470">
        <v>31344753</v>
      </c>
      <c r="I185" s="470"/>
      <c r="J185" s="470">
        <f>SUM(J175:J184)</f>
        <v>27436630.700000003</v>
      </c>
      <c r="K185" s="469">
        <f>SUM(K175:K184)</f>
        <v>37634192.700000003</v>
      </c>
      <c r="L185" s="319"/>
      <c r="N185" s="319"/>
      <c r="O185" s="319"/>
      <c r="Q185" s="319"/>
      <c r="S185" s="319"/>
    </row>
    <row r="186" spans="1:19" x14ac:dyDescent="0.6">
      <c r="L186" s="319"/>
      <c r="N186" s="319"/>
      <c r="O186" s="319"/>
      <c r="Q186" s="319"/>
      <c r="S186" s="319"/>
    </row>
    <row r="187" spans="1:19" ht="23.25" thickBot="1" x14ac:dyDescent="0.65">
      <c r="L187" s="319"/>
      <c r="N187" s="319"/>
      <c r="O187" s="319"/>
      <c r="Q187" s="319"/>
      <c r="S187" s="319"/>
    </row>
    <row r="188" spans="1:19" x14ac:dyDescent="0.6">
      <c r="A188" s="468" t="s">
        <v>112</v>
      </c>
      <c r="B188" s="481" t="s">
        <v>74</v>
      </c>
      <c r="C188" s="481" t="s">
        <v>73</v>
      </c>
      <c r="D188" s="481" t="s">
        <v>72</v>
      </c>
      <c r="E188" s="481" t="s">
        <v>71</v>
      </c>
      <c r="F188" s="481" t="s">
        <v>70</v>
      </c>
      <c r="G188" s="481" t="s">
        <v>69</v>
      </c>
      <c r="H188" s="481" t="s">
        <v>111</v>
      </c>
      <c r="I188" s="481" t="s">
        <v>68</v>
      </c>
      <c r="J188" s="481" t="s">
        <v>67</v>
      </c>
      <c r="K188" s="480" t="s">
        <v>66</v>
      </c>
    </row>
    <row r="189" spans="1:19" x14ac:dyDescent="0.6">
      <c r="A189" s="463" t="s">
        <v>110</v>
      </c>
      <c r="B189" s="477">
        <v>1196821</v>
      </c>
      <c r="C189" s="478">
        <v>402224</v>
      </c>
      <c r="D189" s="477">
        <v>830370</v>
      </c>
      <c r="E189" s="477">
        <v>563308</v>
      </c>
      <c r="F189" s="477">
        <v>1651259</v>
      </c>
      <c r="G189" s="477">
        <v>483934</v>
      </c>
      <c r="H189" s="477">
        <v>1766568</v>
      </c>
      <c r="I189" s="477"/>
      <c r="J189" s="477">
        <f t="shared" ref="J189:J198" si="62">K189-G189</f>
        <v>1662702.7000000002</v>
      </c>
      <c r="K189" s="476">
        <f t="shared" ref="K189:K198" si="63">F189*1.3</f>
        <v>2146636.7000000002</v>
      </c>
    </row>
    <row r="190" spans="1:19" x14ac:dyDescent="0.6">
      <c r="A190" s="460" t="s">
        <v>109</v>
      </c>
      <c r="B190" s="474">
        <v>98272</v>
      </c>
      <c r="C190" s="475">
        <f>37787+29230</f>
        <v>67017</v>
      </c>
      <c r="D190" s="474">
        <v>73789</v>
      </c>
      <c r="E190" s="474">
        <v>33495</v>
      </c>
      <c r="F190" s="474">
        <v>147563</v>
      </c>
      <c r="G190" s="474">
        <v>40664</v>
      </c>
      <c r="H190" s="474">
        <v>120792</v>
      </c>
      <c r="I190" s="474"/>
      <c r="J190" s="473">
        <f t="shared" si="62"/>
        <v>151167.9</v>
      </c>
      <c r="K190" s="472">
        <f t="shared" si="63"/>
        <v>191831.9</v>
      </c>
    </row>
    <row r="191" spans="1:19" x14ac:dyDescent="0.6">
      <c r="A191" s="463" t="s">
        <v>108</v>
      </c>
      <c r="B191" s="477">
        <v>22431</v>
      </c>
      <c r="C191" s="478">
        <v>0</v>
      </c>
      <c r="D191" s="477">
        <v>13486</v>
      </c>
      <c r="E191" s="477">
        <v>10475</v>
      </c>
      <c r="F191" s="477">
        <v>35057</v>
      </c>
      <c r="G191" s="477">
        <v>7180</v>
      </c>
      <c r="H191" s="477">
        <v>32322</v>
      </c>
      <c r="I191" s="477"/>
      <c r="J191" s="477">
        <f t="shared" si="62"/>
        <v>38394.1</v>
      </c>
      <c r="K191" s="476">
        <f t="shared" si="63"/>
        <v>45574.1</v>
      </c>
    </row>
    <row r="192" spans="1:19" x14ac:dyDescent="0.6">
      <c r="A192" s="460" t="s">
        <v>107</v>
      </c>
      <c r="B192" s="473">
        <v>0</v>
      </c>
      <c r="C192" s="475">
        <v>0</v>
      </c>
      <c r="D192" s="473">
        <v>0</v>
      </c>
      <c r="E192" s="473">
        <v>0</v>
      </c>
      <c r="F192" s="473">
        <v>0</v>
      </c>
      <c r="G192" s="473">
        <v>0</v>
      </c>
      <c r="H192" s="473">
        <v>0</v>
      </c>
      <c r="I192" s="474"/>
      <c r="J192" s="473">
        <f t="shared" si="62"/>
        <v>0</v>
      </c>
      <c r="K192" s="472">
        <f t="shared" si="63"/>
        <v>0</v>
      </c>
    </row>
    <row r="193" spans="1:18" x14ac:dyDescent="0.6">
      <c r="A193" s="463" t="s">
        <v>106</v>
      </c>
      <c r="B193" s="479">
        <v>0</v>
      </c>
      <c r="C193" s="478">
        <v>0</v>
      </c>
      <c r="D193" s="479">
        <v>0</v>
      </c>
      <c r="E193" s="479">
        <v>0</v>
      </c>
      <c r="F193" s="479">
        <v>0</v>
      </c>
      <c r="G193" s="479">
        <v>0</v>
      </c>
      <c r="H193" s="479">
        <v>0</v>
      </c>
      <c r="I193" s="479"/>
      <c r="J193" s="477">
        <f t="shared" si="62"/>
        <v>0</v>
      </c>
      <c r="K193" s="476">
        <f t="shared" si="63"/>
        <v>0</v>
      </c>
    </row>
    <row r="194" spans="1:18" x14ac:dyDescent="0.6">
      <c r="A194" s="460" t="s">
        <v>105</v>
      </c>
      <c r="B194" s="473">
        <v>0</v>
      </c>
      <c r="C194" s="475">
        <v>0</v>
      </c>
      <c r="D194" s="473">
        <v>0</v>
      </c>
      <c r="E194" s="473">
        <v>0</v>
      </c>
      <c r="F194" s="473">
        <v>0</v>
      </c>
      <c r="G194" s="473">
        <v>0</v>
      </c>
      <c r="H194" s="473">
        <v>0</v>
      </c>
      <c r="I194" s="473"/>
      <c r="J194" s="473">
        <f t="shared" si="62"/>
        <v>0</v>
      </c>
      <c r="K194" s="472">
        <f t="shared" si="63"/>
        <v>0</v>
      </c>
    </row>
    <row r="195" spans="1:18" x14ac:dyDescent="0.6">
      <c r="A195" s="463" t="s">
        <v>104</v>
      </c>
      <c r="B195" s="479">
        <v>0</v>
      </c>
      <c r="C195" s="478">
        <v>0</v>
      </c>
      <c r="D195" s="479">
        <v>0</v>
      </c>
      <c r="E195" s="479">
        <v>0</v>
      </c>
      <c r="F195" s="479">
        <v>0</v>
      </c>
      <c r="G195" s="479">
        <v>0</v>
      </c>
      <c r="H195" s="479">
        <v>0</v>
      </c>
      <c r="I195" s="479"/>
      <c r="J195" s="477">
        <f t="shared" si="62"/>
        <v>0</v>
      </c>
      <c r="K195" s="476">
        <f t="shared" si="63"/>
        <v>0</v>
      </c>
    </row>
    <row r="196" spans="1:18" x14ac:dyDescent="0.6">
      <c r="A196" s="460" t="s">
        <v>103</v>
      </c>
      <c r="B196" s="473">
        <v>0</v>
      </c>
      <c r="C196" s="475">
        <v>0</v>
      </c>
      <c r="D196" s="473">
        <v>0</v>
      </c>
      <c r="E196" s="473">
        <v>0</v>
      </c>
      <c r="F196" s="473">
        <v>0</v>
      </c>
      <c r="G196" s="473">
        <v>0</v>
      </c>
      <c r="H196" s="473">
        <v>0</v>
      </c>
      <c r="I196" s="473"/>
      <c r="J196" s="473">
        <f t="shared" si="62"/>
        <v>0</v>
      </c>
      <c r="K196" s="472">
        <f t="shared" si="63"/>
        <v>0</v>
      </c>
    </row>
    <row r="197" spans="1:18" x14ac:dyDescent="0.6">
      <c r="A197" s="463" t="s">
        <v>102</v>
      </c>
      <c r="B197" s="477">
        <v>689186</v>
      </c>
      <c r="C197" s="478">
        <v>267390</v>
      </c>
      <c r="D197" s="477">
        <v>457055</v>
      </c>
      <c r="E197" s="477">
        <v>175758</v>
      </c>
      <c r="F197" s="477">
        <v>897040</v>
      </c>
      <c r="G197" s="477">
        <v>216426</v>
      </c>
      <c r="H197" s="477">
        <v>812274</v>
      </c>
      <c r="I197" s="477"/>
      <c r="J197" s="477">
        <f t="shared" si="62"/>
        <v>949726</v>
      </c>
      <c r="K197" s="476">
        <f t="shared" si="63"/>
        <v>1166152</v>
      </c>
    </row>
    <row r="198" spans="1:18" x14ac:dyDescent="0.6">
      <c r="A198" s="460" t="s">
        <v>101</v>
      </c>
      <c r="B198" s="474">
        <v>2355904</v>
      </c>
      <c r="C198" s="475">
        <f>167256+218695+52438</f>
        <v>438389</v>
      </c>
      <c r="D198" s="474">
        <v>1698490</v>
      </c>
      <c r="E198" s="474">
        <v>723149</v>
      </c>
      <c r="F198" s="474">
        <v>3380844</v>
      </c>
      <c r="G198" s="474">
        <v>860662</v>
      </c>
      <c r="H198" s="474">
        <v>2827912</v>
      </c>
      <c r="I198" s="474"/>
      <c r="J198" s="473">
        <f t="shared" si="62"/>
        <v>3534435.2</v>
      </c>
      <c r="K198" s="472">
        <f t="shared" si="63"/>
        <v>4395097.2</v>
      </c>
    </row>
    <row r="199" spans="1:18" ht="23.25" thickBot="1" x14ac:dyDescent="0.65">
      <c r="A199" s="457" t="s">
        <v>100</v>
      </c>
      <c r="B199" s="470">
        <v>4362614</v>
      </c>
      <c r="C199" s="471">
        <f>SUM(C189:C198)</f>
        <v>1175020</v>
      </c>
      <c r="D199" s="470">
        <v>3073190</v>
      </c>
      <c r="E199" s="470">
        <v>1506185</v>
      </c>
      <c r="F199" s="470">
        <v>6111763</v>
      </c>
      <c r="G199" s="470">
        <v>1608866</v>
      </c>
      <c r="H199" s="470">
        <v>5559868</v>
      </c>
      <c r="I199" s="470"/>
      <c r="J199" s="470">
        <f>SUM(J189:J198)</f>
        <v>6336425.9000000004</v>
      </c>
      <c r="K199" s="469">
        <f>J199+G199</f>
        <v>7945291.9000000004</v>
      </c>
    </row>
    <row r="201" spans="1:18" ht="23.25" thickBot="1" x14ac:dyDescent="0.65"/>
    <row r="202" spans="1:18" x14ac:dyDescent="0.6">
      <c r="A202" s="468" t="s">
        <v>99</v>
      </c>
      <c r="B202" s="466" t="s">
        <v>81</v>
      </c>
      <c r="C202" s="466" t="s">
        <v>80</v>
      </c>
      <c r="D202" s="466" t="s">
        <v>79</v>
      </c>
      <c r="E202" s="466" t="s">
        <v>78</v>
      </c>
      <c r="F202" s="466" t="s">
        <v>77</v>
      </c>
      <c r="G202" s="466" t="s">
        <v>76</v>
      </c>
      <c r="H202" s="466" t="s">
        <v>75</v>
      </c>
      <c r="I202" s="466" t="s">
        <v>74</v>
      </c>
      <c r="J202" s="466" t="s">
        <v>73</v>
      </c>
      <c r="K202" s="466" t="s">
        <v>72</v>
      </c>
      <c r="L202" s="466" t="s">
        <v>71</v>
      </c>
      <c r="M202" s="466" t="s">
        <v>70</v>
      </c>
      <c r="N202" s="467" t="s">
        <v>69</v>
      </c>
      <c r="O202" s="466" t="s">
        <v>68</v>
      </c>
      <c r="P202" s="466" t="s">
        <v>67</v>
      </c>
      <c r="Q202" s="465" t="s">
        <v>66</v>
      </c>
    </row>
    <row r="203" spans="1:18" x14ac:dyDescent="0.6">
      <c r="A203" s="463" t="s">
        <v>98</v>
      </c>
      <c r="B203" s="462">
        <v>55296567</v>
      </c>
      <c r="C203" s="462">
        <v>48152061</v>
      </c>
      <c r="D203" s="462">
        <v>41964174</v>
      </c>
      <c r="E203" s="462">
        <v>48071440</v>
      </c>
      <c r="F203" s="462">
        <v>16339136</v>
      </c>
      <c r="G203" s="462">
        <v>31024975</v>
      </c>
      <c r="H203" s="462">
        <v>47315565</v>
      </c>
      <c r="I203" s="462">
        <v>71792060</v>
      </c>
      <c r="J203" s="462">
        <v>21828142</v>
      </c>
      <c r="K203" s="462">
        <v>45612400</v>
      </c>
      <c r="L203" s="462">
        <v>76646985</v>
      </c>
      <c r="M203" s="462">
        <v>113131768</v>
      </c>
      <c r="N203" s="462">
        <v>38047347</v>
      </c>
      <c r="O203" s="462"/>
      <c r="P203" s="462">
        <f>P62</f>
        <v>110759198.61250818</v>
      </c>
      <c r="Q203" s="461">
        <f>P203+N203</f>
        <v>148806545.61250818</v>
      </c>
    </row>
    <row r="204" spans="1:18" x14ac:dyDescent="0.6">
      <c r="A204" s="460" t="s">
        <v>97</v>
      </c>
      <c r="B204" s="459">
        <v>-35237255</v>
      </c>
      <c r="C204" s="459">
        <v>-34785083</v>
      </c>
      <c r="D204" s="459">
        <v>-36131474</v>
      </c>
      <c r="E204" s="459">
        <v>-36454589</v>
      </c>
      <c r="F204" s="459">
        <v>-11361258</v>
      </c>
      <c r="G204" s="459">
        <v>-21831382</v>
      </c>
      <c r="H204" s="459">
        <v>-32826167</v>
      </c>
      <c r="I204" s="459">
        <v>-50078936</v>
      </c>
      <c r="J204" s="459">
        <v>-14849365</v>
      </c>
      <c r="K204" s="459">
        <v>-30615984</v>
      </c>
      <c r="L204" s="459">
        <v>-50065560</v>
      </c>
      <c r="M204" s="459">
        <v>-75646575</v>
      </c>
      <c r="N204" s="459">
        <v>-25115511</v>
      </c>
      <c r="O204" s="459"/>
      <c r="P204" s="459">
        <f>-M119</f>
        <v>-76687557.084279418</v>
      </c>
      <c r="Q204" s="458">
        <f>P204+N204</f>
        <v>-101803068.08427942</v>
      </c>
    </row>
    <row r="205" spans="1:18" x14ac:dyDescent="0.6">
      <c r="A205" s="463" t="s">
        <v>96</v>
      </c>
      <c r="B205" s="462">
        <v>20059312</v>
      </c>
      <c r="C205" s="462">
        <v>13366978</v>
      </c>
      <c r="D205" s="462">
        <v>5832700</v>
      </c>
      <c r="E205" s="462">
        <v>11616851</v>
      </c>
      <c r="F205" s="462">
        <v>4977878</v>
      </c>
      <c r="G205" s="462">
        <v>9193593</v>
      </c>
      <c r="H205" s="462">
        <v>14489398</v>
      </c>
      <c r="I205" s="462">
        <v>21713124</v>
      </c>
      <c r="J205" s="462">
        <v>6978777</v>
      </c>
      <c r="K205" s="462">
        <v>14996416</v>
      </c>
      <c r="L205" s="462">
        <v>26581425</v>
      </c>
      <c r="M205" s="462">
        <v>37485193</v>
      </c>
      <c r="N205" s="462">
        <v>12931836</v>
      </c>
      <c r="O205" s="462"/>
      <c r="P205" s="462">
        <f>SUM(P203:P204)</f>
        <v>34071641.52822876</v>
      </c>
      <c r="Q205" s="461">
        <f>SUM(Q203:Q204)</f>
        <v>47003477.52822876</v>
      </c>
    </row>
    <row r="206" spans="1:18" x14ac:dyDescent="0.6">
      <c r="A206" s="460" t="s">
        <v>95</v>
      </c>
      <c r="B206" s="459">
        <v>-2225852</v>
      </c>
      <c r="C206" s="459">
        <v>-2777349</v>
      </c>
      <c r="D206" s="459">
        <v>-3080948</v>
      </c>
      <c r="E206" s="459">
        <v>-3345777</v>
      </c>
      <c r="F206" s="459">
        <v>-1081360</v>
      </c>
      <c r="G206" s="459">
        <v>-2184383</v>
      </c>
      <c r="H206" s="459">
        <v>-3072299</v>
      </c>
      <c r="I206" s="459">
        <v>-4571710</v>
      </c>
      <c r="J206" s="459">
        <v>-1175018</v>
      </c>
      <c r="K206" s="459">
        <v>-3073191</v>
      </c>
      <c r="L206" s="459">
        <v>-4362614</v>
      </c>
      <c r="M206" s="459">
        <v>-6111763</v>
      </c>
      <c r="N206" s="459">
        <v>-1608867</v>
      </c>
      <c r="O206" s="459"/>
      <c r="P206" s="459">
        <f>-J199</f>
        <v>-6336425.9000000004</v>
      </c>
      <c r="Q206" s="458">
        <f>P206+N206</f>
        <v>-7945292.9000000004</v>
      </c>
    </row>
    <row r="207" spans="1:18" x14ac:dyDescent="0.6">
      <c r="A207" s="463" t="s">
        <v>94</v>
      </c>
      <c r="B207" s="462">
        <v>90192</v>
      </c>
      <c r="C207" s="462">
        <v>578031</v>
      </c>
      <c r="D207" s="462">
        <v>198711</v>
      </c>
      <c r="E207" s="462">
        <v>153714</v>
      </c>
      <c r="F207" s="462">
        <v>425224</v>
      </c>
      <c r="G207" s="462">
        <v>625079</v>
      </c>
      <c r="H207" s="462">
        <v>945016</v>
      </c>
      <c r="I207" s="462">
        <v>1352049</v>
      </c>
      <c r="J207" s="462">
        <v>77711</v>
      </c>
      <c r="K207" s="462">
        <v>1709573</v>
      </c>
      <c r="L207" s="462">
        <v>285452</v>
      </c>
      <c r="M207" s="462">
        <v>369633</v>
      </c>
      <c r="N207" s="462">
        <v>600647</v>
      </c>
      <c r="O207" s="462"/>
      <c r="P207" s="462">
        <f>N207</f>
        <v>600647</v>
      </c>
      <c r="Q207" s="461">
        <f>N207</f>
        <v>600647</v>
      </c>
      <c r="R207" s="464"/>
    </row>
    <row r="208" spans="1:18" x14ac:dyDescent="0.6">
      <c r="A208" s="460" t="s">
        <v>93</v>
      </c>
      <c r="B208" s="459"/>
      <c r="C208" s="459"/>
      <c r="D208" s="459"/>
      <c r="E208" s="459"/>
      <c r="F208" s="459">
        <v>-21578</v>
      </c>
      <c r="G208" s="459">
        <v>-68223</v>
      </c>
      <c r="H208" s="459">
        <v>-354610</v>
      </c>
      <c r="I208" s="459">
        <v>-240491</v>
      </c>
      <c r="J208" s="459">
        <v>-5589</v>
      </c>
      <c r="K208" s="459">
        <v>-3142</v>
      </c>
      <c r="L208" s="459">
        <v>-29398</v>
      </c>
      <c r="M208" s="459">
        <v>-44912</v>
      </c>
      <c r="N208" s="459">
        <v>-18697</v>
      </c>
      <c r="O208" s="459"/>
      <c r="P208" s="459">
        <f>Q208-N208</f>
        <v>-221794</v>
      </c>
      <c r="Q208" s="458">
        <f>I208</f>
        <v>-240491</v>
      </c>
    </row>
    <row r="209" spans="1:39" x14ac:dyDescent="0.6">
      <c r="A209" s="463" t="s">
        <v>92</v>
      </c>
      <c r="B209" s="462">
        <v>17923652</v>
      </c>
      <c r="C209" s="462">
        <v>11167660</v>
      </c>
      <c r="D209" s="462">
        <v>2950463</v>
      </c>
      <c r="E209" s="462">
        <v>8424788</v>
      </c>
      <c r="F209" s="462">
        <v>4300164</v>
      </c>
      <c r="G209" s="462">
        <v>7566066</v>
      </c>
      <c r="H209" s="462">
        <v>12007505</v>
      </c>
      <c r="I209" s="462">
        <v>18252972</v>
      </c>
      <c r="J209" s="462">
        <v>5875881</v>
      </c>
      <c r="K209" s="462">
        <v>13629656</v>
      </c>
      <c r="L209" s="462">
        <v>22474865</v>
      </c>
      <c r="M209" s="462">
        <v>31698151</v>
      </c>
      <c r="N209" s="462">
        <v>11904919</v>
      </c>
      <c r="O209" s="462"/>
      <c r="P209" s="462">
        <f>SUM(P205:P208)</f>
        <v>28114068.628228761</v>
      </c>
      <c r="Q209" s="461">
        <f>SUM(Q205:Q208)</f>
        <v>39418340.628228761</v>
      </c>
      <c r="R209" s="319"/>
      <c r="S209" s="320"/>
      <c r="T209" s="319"/>
    </row>
    <row r="210" spans="1:39" x14ac:dyDescent="0.6">
      <c r="A210" s="460" t="s">
        <v>91</v>
      </c>
      <c r="B210" s="459">
        <v>-465711</v>
      </c>
      <c r="C210" s="459">
        <v>-1934779</v>
      </c>
      <c r="D210" s="459">
        <v>-1906232</v>
      </c>
      <c r="E210" s="459">
        <v>-1987942</v>
      </c>
      <c r="F210" s="459">
        <v>-473012</v>
      </c>
      <c r="G210" s="459">
        <v>-978707</v>
      </c>
      <c r="H210" s="459">
        <v>-1270841</v>
      </c>
      <c r="I210" s="459">
        <v>-1892356</v>
      </c>
      <c r="J210" s="459">
        <v>-401680</v>
      </c>
      <c r="K210" s="459">
        <v>-1251215</v>
      </c>
      <c r="L210" s="459">
        <v>-1918815</v>
      </c>
      <c r="M210" s="459">
        <v>-2805131</v>
      </c>
      <c r="N210" s="459">
        <v>-766343</v>
      </c>
      <c r="O210" s="459"/>
      <c r="P210" s="459">
        <f>Q210-N210</f>
        <v>-2599814.1999999997</v>
      </c>
      <c r="Q210" s="458">
        <f>M210*1.2</f>
        <v>-3366157.1999999997</v>
      </c>
      <c r="R210" s="319"/>
      <c r="S210" s="320"/>
      <c r="T210" s="319"/>
    </row>
    <row r="211" spans="1:39" x14ac:dyDescent="0.6">
      <c r="A211" s="463" t="s">
        <v>89</v>
      </c>
      <c r="B211" s="462">
        <v>0</v>
      </c>
      <c r="C211" s="462">
        <v>1114042</v>
      </c>
      <c r="D211" s="462">
        <v>813135</v>
      </c>
      <c r="E211" s="462">
        <v>733590</v>
      </c>
      <c r="F211" s="462">
        <v>137349</v>
      </c>
      <c r="G211" s="462">
        <v>281364</v>
      </c>
      <c r="H211" s="462">
        <v>412313</v>
      </c>
      <c r="I211" s="462">
        <v>600171</v>
      </c>
      <c r="J211" s="462">
        <v>129119</v>
      </c>
      <c r="K211" s="462">
        <v>255732</v>
      </c>
      <c r="L211" s="462">
        <v>378075</v>
      </c>
      <c r="M211" s="462">
        <v>500416</v>
      </c>
      <c r="N211" s="462">
        <v>179799</v>
      </c>
      <c r="O211" s="462"/>
      <c r="P211" s="462">
        <f>Q211-N211</f>
        <v>320617</v>
      </c>
      <c r="Q211" s="461">
        <f>M211</f>
        <v>500416</v>
      </c>
      <c r="R211" s="319"/>
      <c r="S211" s="320"/>
      <c r="T211" s="319"/>
    </row>
    <row r="212" spans="1:39" x14ac:dyDescent="0.6">
      <c r="A212" s="460" t="s">
        <v>88</v>
      </c>
      <c r="B212" s="459">
        <v>1633074</v>
      </c>
      <c r="C212" s="459">
        <v>272950</v>
      </c>
      <c r="D212" s="459">
        <v>435321</v>
      </c>
      <c r="E212" s="459">
        <v>-116788</v>
      </c>
      <c r="F212" s="459">
        <v>107880</v>
      </c>
      <c r="G212" s="459">
        <v>143003</v>
      </c>
      <c r="H212" s="459">
        <v>167871</v>
      </c>
      <c r="I212" s="459">
        <v>145197</v>
      </c>
      <c r="J212" s="459">
        <v>16367</v>
      </c>
      <c r="K212" s="459">
        <v>2760886</v>
      </c>
      <c r="L212" s="459">
        <v>3528863</v>
      </c>
      <c r="M212" s="459">
        <v>3852062</v>
      </c>
      <c r="N212" s="459">
        <v>1241361</v>
      </c>
      <c r="O212" s="459"/>
      <c r="P212" s="459">
        <f>I212</f>
        <v>145197</v>
      </c>
      <c r="Q212" s="458">
        <f>P212+N212</f>
        <v>1386558</v>
      </c>
      <c r="R212" s="319"/>
      <c r="S212" s="320"/>
      <c r="T212" s="319"/>
    </row>
    <row r="213" spans="1:39" x14ac:dyDescent="0.6">
      <c r="A213" s="463" t="s">
        <v>87</v>
      </c>
      <c r="B213" s="462">
        <v>19091015</v>
      </c>
      <c r="C213" s="462">
        <v>10619873</v>
      </c>
      <c r="D213" s="462">
        <v>2292687</v>
      </c>
      <c r="E213" s="462">
        <v>7053648</v>
      </c>
      <c r="F213" s="462">
        <v>4072381</v>
      </c>
      <c r="G213" s="462">
        <v>7011726</v>
      </c>
      <c r="H213" s="462">
        <v>11316848</v>
      </c>
      <c r="I213" s="462">
        <v>17105984</v>
      </c>
      <c r="J213" s="462">
        <v>5619687</v>
      </c>
      <c r="K213" s="462">
        <v>15395059</v>
      </c>
      <c r="L213" s="462">
        <v>24462988</v>
      </c>
      <c r="M213" s="462">
        <v>33245498</v>
      </c>
      <c r="N213" s="462">
        <v>12559736</v>
      </c>
      <c r="O213" s="462"/>
      <c r="P213" s="462">
        <f>SUM(P209:P212)</f>
        <v>25980068.428228762</v>
      </c>
      <c r="Q213" s="461">
        <f>SUM(Q209:Q212)</f>
        <v>37939157.428228758</v>
      </c>
      <c r="R213" s="319"/>
      <c r="S213" s="320"/>
      <c r="T213" s="319"/>
    </row>
    <row r="214" spans="1:39" x14ac:dyDescent="0.6">
      <c r="A214" s="460" t="s">
        <v>83</v>
      </c>
      <c r="B214" s="459">
        <v>-2987002</v>
      </c>
      <c r="C214" s="459">
        <v>-1401881</v>
      </c>
      <c r="D214" s="459">
        <v>-173317</v>
      </c>
      <c r="E214" s="459">
        <v>-586519</v>
      </c>
      <c r="F214" s="459">
        <v>-202462</v>
      </c>
      <c r="G214" s="459">
        <v>-481622</v>
      </c>
      <c r="H214" s="459">
        <v>-673794</v>
      </c>
      <c r="I214" s="459">
        <v>-830795</v>
      </c>
      <c r="J214" s="459">
        <v>-239713</v>
      </c>
      <c r="K214" s="459">
        <v>-719510</v>
      </c>
      <c r="L214" s="459">
        <v>-1106118</v>
      </c>
      <c r="M214" s="459">
        <v>-1695129</v>
      </c>
      <c r="N214" s="459">
        <v>-800124</v>
      </c>
      <c r="O214" s="459"/>
      <c r="P214" s="459">
        <f>P213*N218</f>
        <v>-1655072.7078234854</v>
      </c>
      <c r="Q214" s="458">
        <f>Q213*N218</f>
        <v>-2416932.2028826168</v>
      </c>
      <c r="R214" s="319"/>
      <c r="S214" s="320"/>
      <c r="T214" s="319"/>
    </row>
    <row r="215" spans="1:39" x14ac:dyDescent="0.6">
      <c r="A215" s="463" t="s">
        <v>86</v>
      </c>
      <c r="B215" s="462">
        <v>16104013</v>
      </c>
      <c r="C215" s="462">
        <v>9217992</v>
      </c>
      <c r="D215" s="462">
        <v>2119370</v>
      </c>
      <c r="E215" s="462">
        <v>6467129</v>
      </c>
      <c r="F215" s="462">
        <v>3869919</v>
      </c>
      <c r="G215" s="462">
        <v>6530104</v>
      </c>
      <c r="H215" s="462">
        <v>10643054</v>
      </c>
      <c r="I215" s="462">
        <v>16275189</v>
      </c>
      <c r="J215" s="462">
        <v>5379974</v>
      </c>
      <c r="K215" s="462">
        <v>14675549</v>
      </c>
      <c r="L215" s="462">
        <v>23356870</v>
      </c>
      <c r="M215" s="462">
        <v>31550369</v>
      </c>
      <c r="N215" s="462">
        <v>11759612</v>
      </c>
      <c r="O215" s="462"/>
      <c r="P215" s="462">
        <f>SUM(P213:P214)</f>
        <v>24324995.720405277</v>
      </c>
      <c r="Q215" s="461">
        <f>SUM(Q213:Q214)</f>
        <v>35522225.225346141</v>
      </c>
      <c r="R215" s="319"/>
      <c r="S215" s="320"/>
      <c r="T215" s="319"/>
    </row>
    <row r="216" spans="1:39" x14ac:dyDescent="0.6">
      <c r="A216" s="460" t="s">
        <v>85</v>
      </c>
      <c r="B216" s="459">
        <v>2013.0016250000001</v>
      </c>
      <c r="C216" s="459">
        <v>1152.249</v>
      </c>
      <c r="D216" s="459">
        <v>264.92124999999999</v>
      </c>
      <c r="E216" s="459">
        <v>446.87182144831399</v>
      </c>
      <c r="F216" s="459">
        <v>267</v>
      </c>
      <c r="G216" s="459">
        <v>451</v>
      </c>
      <c r="H216" s="459">
        <v>735</v>
      </c>
      <c r="I216" s="459">
        <v>1125</v>
      </c>
      <c r="J216" s="459">
        <v>282</v>
      </c>
      <c r="K216" s="459">
        <v>1014</v>
      </c>
      <c r="L216" s="459">
        <v>1614</v>
      </c>
      <c r="M216" s="459">
        <v>1656</v>
      </c>
      <c r="N216" s="459">
        <v>617</v>
      </c>
      <c r="O216" s="459"/>
      <c r="P216" s="459">
        <f>P215*1000/P217</f>
        <v>1276.9900072642909</v>
      </c>
      <c r="Q216" s="458">
        <f>Q215*1000/Q217</f>
        <v>1864.811289997743</v>
      </c>
      <c r="R216" s="319"/>
      <c r="S216" s="320"/>
      <c r="T216" s="319"/>
    </row>
    <row r="217" spans="1:39" ht="23.25" thickBot="1" x14ac:dyDescent="0.65">
      <c r="A217" s="457" t="s">
        <v>84</v>
      </c>
      <c r="B217" s="456">
        <v>8000000</v>
      </c>
      <c r="C217" s="456">
        <v>8000000</v>
      </c>
      <c r="D217" s="456">
        <v>8000000</v>
      </c>
      <c r="E217" s="456">
        <v>14472000</v>
      </c>
      <c r="F217" s="456">
        <v>14472000</v>
      </c>
      <c r="G217" s="456">
        <v>14472000</v>
      </c>
      <c r="H217" s="456">
        <v>14472000</v>
      </c>
      <c r="I217" s="456">
        <v>14472000</v>
      </c>
      <c r="J217" s="456">
        <v>19048697</v>
      </c>
      <c r="K217" s="456">
        <v>14472000</v>
      </c>
      <c r="L217" s="456">
        <v>14472000</v>
      </c>
      <c r="M217" s="456">
        <v>19048697</v>
      </c>
      <c r="N217" s="456">
        <v>19048697</v>
      </c>
      <c r="O217" s="456"/>
      <c r="P217" s="456">
        <v>19048697</v>
      </c>
      <c r="Q217" s="455">
        <v>19048697</v>
      </c>
      <c r="R217" s="320"/>
      <c r="T217" s="320"/>
    </row>
    <row r="218" spans="1:39" x14ac:dyDescent="0.6">
      <c r="A218" s="453" t="s">
        <v>262</v>
      </c>
      <c r="B218" s="454">
        <f t="shared" ref="B218:N218" si="64">B214/B213</f>
        <v>-0.15646114153700053</v>
      </c>
      <c r="C218" s="454">
        <f t="shared" si="64"/>
        <v>-0.13200543923642025</v>
      </c>
      <c r="D218" s="454">
        <f t="shared" si="64"/>
        <v>-7.5595578463174426E-2</v>
      </c>
      <c r="E218" s="454">
        <f t="shared" si="64"/>
        <v>-8.3151158095782496E-2</v>
      </c>
      <c r="F218" s="454">
        <f t="shared" si="64"/>
        <v>-4.9715878745137061E-2</v>
      </c>
      <c r="G218" s="454">
        <f t="shared" si="64"/>
        <v>-6.8688080509706165E-2</v>
      </c>
      <c r="H218" s="454">
        <f t="shared" si="64"/>
        <v>-5.9539016517673474E-2</v>
      </c>
      <c r="I218" s="454">
        <f t="shared" si="64"/>
        <v>-4.8567507136683861E-2</v>
      </c>
      <c r="J218" s="454">
        <f t="shared" si="64"/>
        <v>-4.2655934396346275E-2</v>
      </c>
      <c r="K218" s="454">
        <f t="shared" si="64"/>
        <v>-4.6736423679831302E-2</v>
      </c>
      <c r="L218" s="454">
        <f t="shared" si="64"/>
        <v>-4.5215980975014169E-2</v>
      </c>
      <c r="M218" s="454">
        <f t="shared" si="64"/>
        <v>-5.0988227037537533E-2</v>
      </c>
      <c r="N218" s="454">
        <f t="shared" si="64"/>
        <v>-6.370547915975304E-2</v>
      </c>
      <c r="O218" s="453"/>
      <c r="P218" s="453"/>
      <c r="Q218" s="452"/>
      <c r="R218" s="319"/>
      <c r="S218" s="320"/>
      <c r="T218" s="319"/>
    </row>
    <row r="219" spans="1:39" ht="40.5" x14ac:dyDescent="1.05">
      <c r="A219" s="95" t="s">
        <v>82</v>
      </c>
      <c r="B219" s="91" t="s">
        <v>81</v>
      </c>
      <c r="C219" s="91" t="s">
        <v>80</v>
      </c>
      <c r="D219" s="91" t="s">
        <v>79</v>
      </c>
      <c r="E219" s="91" t="s">
        <v>78</v>
      </c>
      <c r="F219" s="91" t="s">
        <v>77</v>
      </c>
      <c r="G219" s="91" t="s">
        <v>76</v>
      </c>
      <c r="H219" s="91" t="s">
        <v>75</v>
      </c>
      <c r="I219" s="91" t="s">
        <v>74</v>
      </c>
      <c r="J219" s="91" t="s">
        <v>73</v>
      </c>
      <c r="K219" s="91" t="s">
        <v>72</v>
      </c>
      <c r="L219" s="91" t="s">
        <v>71</v>
      </c>
      <c r="M219" s="91" t="s">
        <v>70</v>
      </c>
      <c r="N219" s="91" t="s">
        <v>69</v>
      </c>
      <c r="O219" s="91" t="s">
        <v>68</v>
      </c>
      <c r="P219" s="91" t="s">
        <v>67</v>
      </c>
      <c r="Q219" s="451" t="s">
        <v>66</v>
      </c>
      <c r="R219" s="320"/>
      <c r="T219" s="319"/>
    </row>
    <row r="220" spans="1:39" x14ac:dyDescent="0.6">
      <c r="A220" s="93" t="s">
        <v>65</v>
      </c>
      <c r="B220" s="450">
        <f t="shared" ref="B220:N220" si="65">B205/B203</f>
        <v>0.3627587224356984</v>
      </c>
      <c r="C220" s="450">
        <f t="shared" si="65"/>
        <v>0.2775992911289924</v>
      </c>
      <c r="D220" s="450">
        <f t="shared" si="65"/>
        <v>0.13899237001543269</v>
      </c>
      <c r="E220" s="450">
        <f t="shared" si="65"/>
        <v>0.24165806141858867</v>
      </c>
      <c r="F220" s="450">
        <f t="shared" si="65"/>
        <v>0.304659805757171</v>
      </c>
      <c r="G220" s="450">
        <f t="shared" si="65"/>
        <v>0.29632878028104775</v>
      </c>
      <c r="H220" s="450">
        <f t="shared" si="65"/>
        <v>0.30622899673712023</v>
      </c>
      <c r="I220" s="450">
        <f t="shared" si="65"/>
        <v>0.30244464359986328</v>
      </c>
      <c r="J220" s="450">
        <f t="shared" si="65"/>
        <v>0.31971466009337851</v>
      </c>
      <c r="K220" s="450">
        <f t="shared" si="65"/>
        <v>0.32877936701423299</v>
      </c>
      <c r="L220" s="450">
        <f t="shared" si="65"/>
        <v>0.34680326956109231</v>
      </c>
      <c r="M220" s="450">
        <f t="shared" si="65"/>
        <v>0.33134099875465572</v>
      </c>
      <c r="N220" s="450">
        <f t="shared" si="65"/>
        <v>0.33988798220280642</v>
      </c>
      <c r="O220" s="450"/>
      <c r="P220" s="450">
        <f>P205/P203</f>
        <v>0.30761906870984712</v>
      </c>
      <c r="Q220" s="450">
        <f>Q205/Q203</f>
        <v>0.31586969064267967</v>
      </c>
      <c r="R220" s="320"/>
      <c r="T220" s="320"/>
    </row>
    <row r="221" spans="1:39" x14ac:dyDescent="0.6">
      <c r="A221" s="91" t="s">
        <v>64</v>
      </c>
      <c r="B221" s="449">
        <f t="shared" ref="B221:N221" si="66">B209/B203</f>
        <v>0.32413679496595149</v>
      </c>
      <c r="C221" s="449">
        <f t="shared" si="66"/>
        <v>0.23192485987256081</v>
      </c>
      <c r="D221" s="449">
        <f t="shared" si="66"/>
        <v>7.03090927036953E-2</v>
      </c>
      <c r="E221" s="449">
        <f t="shared" si="66"/>
        <v>0.17525557794815383</v>
      </c>
      <c r="F221" s="449">
        <f t="shared" si="66"/>
        <v>0.26318184755913654</v>
      </c>
      <c r="G221" s="449">
        <f t="shared" si="66"/>
        <v>0.24387017233696401</v>
      </c>
      <c r="H221" s="449">
        <f t="shared" si="66"/>
        <v>0.25377494699682862</v>
      </c>
      <c r="I221" s="449">
        <f t="shared" si="66"/>
        <v>0.25424778171847973</v>
      </c>
      <c r="J221" s="449">
        <f t="shared" si="66"/>
        <v>0.26918832578604263</v>
      </c>
      <c r="K221" s="449">
        <f t="shared" si="66"/>
        <v>0.29881470828108148</v>
      </c>
      <c r="L221" s="449">
        <f t="shared" si="66"/>
        <v>0.29322568917746733</v>
      </c>
      <c r="M221" s="449">
        <f t="shared" si="66"/>
        <v>0.2801878867481325</v>
      </c>
      <c r="N221" s="449">
        <f t="shared" si="66"/>
        <v>0.31289748007922863</v>
      </c>
      <c r="O221" s="449"/>
      <c r="P221" s="449">
        <f>P209/P203</f>
        <v>0.25383055295105578</v>
      </c>
      <c r="Q221" s="449">
        <f>Q209/Q203</f>
        <v>0.26489655052455829</v>
      </c>
      <c r="R221" s="319"/>
      <c r="S221" s="320"/>
      <c r="T221" s="319"/>
      <c r="U221" s="319"/>
      <c r="V221" s="319"/>
      <c r="W221" s="319"/>
      <c r="X221" s="319"/>
      <c r="Y221" s="320"/>
      <c r="Z221" s="320"/>
      <c r="AA221" s="320"/>
      <c r="AB221" s="319"/>
      <c r="AC221" s="319"/>
      <c r="AD221" s="319"/>
      <c r="AE221" s="319"/>
      <c r="AF221" s="319"/>
      <c r="AG221" s="319"/>
      <c r="AH221" s="319"/>
      <c r="AI221" s="319"/>
      <c r="AJ221" s="319"/>
      <c r="AK221" s="319"/>
      <c r="AL221" s="319"/>
      <c r="AM221" s="319"/>
    </row>
    <row r="222" spans="1:39" x14ac:dyDescent="0.6">
      <c r="A222" s="89" t="s">
        <v>63</v>
      </c>
      <c r="B222" s="448">
        <f t="shared" ref="B222:N222" si="67">B215/B203</f>
        <v>0.29122988774330238</v>
      </c>
      <c r="C222" s="448">
        <f t="shared" si="67"/>
        <v>0.1914350457397867</v>
      </c>
      <c r="D222" s="448">
        <f t="shared" si="67"/>
        <v>5.0504270619028506E-2</v>
      </c>
      <c r="E222" s="448">
        <f t="shared" si="67"/>
        <v>0.13453162626291204</v>
      </c>
      <c r="F222" s="448">
        <f t="shared" si="67"/>
        <v>0.23684967185535391</v>
      </c>
      <c r="G222" s="448">
        <f t="shared" si="67"/>
        <v>0.21047894478561224</v>
      </c>
      <c r="H222" s="448">
        <f t="shared" si="67"/>
        <v>0.22493769227948562</v>
      </c>
      <c r="I222" s="448">
        <f t="shared" si="67"/>
        <v>0.22669901100483814</v>
      </c>
      <c r="J222" s="448">
        <f t="shared" si="67"/>
        <v>0.24646962622837987</v>
      </c>
      <c r="K222" s="448">
        <f t="shared" si="67"/>
        <v>0.3217447229262218</v>
      </c>
      <c r="L222" s="448">
        <f t="shared" si="67"/>
        <v>0.30473305636223003</v>
      </c>
      <c r="M222" s="448">
        <f t="shared" si="67"/>
        <v>0.27888160467889089</v>
      </c>
      <c r="N222" s="448">
        <f t="shared" si="67"/>
        <v>0.30907837016862172</v>
      </c>
      <c r="O222" s="448"/>
      <c r="P222" s="448">
        <f>P215/P203</f>
        <v>0.21962054642076675</v>
      </c>
      <c r="Q222" s="448">
        <f>Q215/Q203</f>
        <v>0.23871413101575462</v>
      </c>
      <c r="R222" s="320"/>
      <c r="S222" s="320"/>
      <c r="T222" s="319"/>
      <c r="U222" s="319"/>
      <c r="V222" s="319"/>
      <c r="W222" s="319"/>
      <c r="X222" s="319"/>
      <c r="Y222" s="320"/>
      <c r="Z222" s="320"/>
      <c r="AA222" s="320"/>
      <c r="AB222" s="319"/>
      <c r="AC222" s="319"/>
      <c r="AD222" s="319"/>
      <c r="AE222" s="319"/>
      <c r="AF222" s="319"/>
      <c r="AG222" s="319"/>
      <c r="AH222" s="319"/>
      <c r="AI222" s="319"/>
      <c r="AJ222" s="319"/>
      <c r="AK222" s="319"/>
      <c r="AL222" s="319"/>
      <c r="AM222" s="319"/>
    </row>
    <row r="223" spans="1:39" x14ac:dyDescent="0.6">
      <c r="Q223" s="319"/>
      <c r="R223" s="319"/>
      <c r="S223" s="320"/>
      <c r="T223" s="319"/>
      <c r="U223" s="320"/>
      <c r="V223" s="319"/>
      <c r="W223" s="319"/>
      <c r="X223" s="319"/>
      <c r="Y223" s="320"/>
      <c r="Z223" s="320"/>
      <c r="AA223" s="320"/>
      <c r="AB223" s="320"/>
      <c r="AC223" s="319"/>
      <c r="AD223" s="319"/>
      <c r="AE223" s="319"/>
      <c r="AF223" s="320"/>
      <c r="AG223" s="319"/>
      <c r="AH223" s="319"/>
      <c r="AI223" s="319"/>
      <c r="AJ223" s="320"/>
      <c r="AK223" s="319"/>
      <c r="AL223" s="319"/>
      <c r="AM223" s="319"/>
    </row>
    <row r="224" spans="1:39" x14ac:dyDescent="0.6">
      <c r="A224" s="81"/>
      <c r="B224" s="81" t="s">
        <v>81</v>
      </c>
      <c r="C224" s="81" t="s">
        <v>80</v>
      </c>
      <c r="D224" s="81" t="s">
        <v>79</v>
      </c>
      <c r="E224" s="81" t="s">
        <v>78</v>
      </c>
      <c r="F224" s="81" t="s">
        <v>74</v>
      </c>
      <c r="G224" s="81" t="s">
        <v>70</v>
      </c>
      <c r="H224" s="81" t="s">
        <v>69</v>
      </c>
      <c r="I224" s="81" t="s">
        <v>66</v>
      </c>
      <c r="Q224" s="319"/>
      <c r="R224" s="319"/>
      <c r="S224" s="320"/>
      <c r="T224" s="319"/>
      <c r="U224" s="320"/>
      <c r="V224" s="319"/>
      <c r="W224" s="319"/>
      <c r="X224" s="319"/>
      <c r="Y224" s="320"/>
      <c r="Z224" s="320"/>
      <c r="AA224" s="320"/>
      <c r="AB224" s="320"/>
      <c r="AC224" s="319"/>
      <c r="AD224" s="319"/>
      <c r="AE224" s="319"/>
      <c r="AF224" s="320"/>
      <c r="AG224" s="319"/>
      <c r="AH224" s="319"/>
      <c r="AI224" s="319"/>
      <c r="AJ224" s="320"/>
      <c r="AK224" s="319"/>
      <c r="AL224" s="319"/>
      <c r="AM224" s="319"/>
    </row>
    <row r="225" spans="1:39" ht="25.5" x14ac:dyDescent="0.7">
      <c r="A225" s="637" t="s">
        <v>441</v>
      </c>
      <c r="B225" s="639">
        <f>B203*1000/B217</f>
        <v>6912.0708750000003</v>
      </c>
      <c r="C225" s="639">
        <f>C203*1000/C217</f>
        <v>6019.0076250000002</v>
      </c>
      <c r="D225" s="639">
        <f>D203*1000/D217</f>
        <v>5245.5217499999999</v>
      </c>
      <c r="E225" s="639">
        <f>E203*1000/E217</f>
        <v>3321.6860143725817</v>
      </c>
      <c r="F225" s="639">
        <f>I203*1000/I217</f>
        <v>4960.7559425096742</v>
      </c>
      <c r="G225" s="639">
        <f>M203*1000/M217</f>
        <v>5939.0817125181848</v>
      </c>
      <c r="H225" s="639">
        <f>N203*1000/N217</f>
        <v>1997.3726811865399</v>
      </c>
      <c r="I225" s="639">
        <f>Q203*1000/Q217</f>
        <v>7811.9015496182328</v>
      </c>
      <c r="Q225" s="319"/>
      <c r="R225" s="319"/>
      <c r="S225" s="320"/>
      <c r="T225" s="319"/>
      <c r="U225" s="320"/>
      <c r="V225" s="319"/>
      <c r="W225" s="319"/>
      <c r="X225" s="319"/>
      <c r="Y225" s="320"/>
      <c r="Z225" s="320"/>
      <c r="AA225" s="320"/>
      <c r="AB225" s="320"/>
      <c r="AC225" s="319"/>
      <c r="AD225" s="319"/>
      <c r="AE225" s="319"/>
      <c r="AF225" s="320"/>
      <c r="AG225" s="319"/>
      <c r="AH225" s="319"/>
      <c r="AI225" s="319"/>
      <c r="AJ225" s="320"/>
      <c r="AK225" s="319"/>
      <c r="AL225" s="319"/>
      <c r="AM225" s="319"/>
    </row>
    <row r="226" spans="1:39" ht="25.5" x14ac:dyDescent="0.7">
      <c r="A226" s="638" t="s">
        <v>442</v>
      </c>
      <c r="B226" s="647">
        <f>B319*1000/B217</f>
        <v>3115.5608750000001</v>
      </c>
      <c r="C226" s="647">
        <f>C319*1000/C217</f>
        <v>2598.9989999999998</v>
      </c>
      <c r="D226" s="647">
        <f>D319*1000/D217</f>
        <v>1664.008875</v>
      </c>
      <c r="E226" s="647">
        <f>E319*1000/E217</f>
        <v>1651.4088584853509</v>
      </c>
      <c r="F226" s="647">
        <f>F319*1000/I217</f>
        <v>2283.2189054726368</v>
      </c>
      <c r="G226" s="647">
        <f>G319*1000/M217</f>
        <v>2821.1437769208046</v>
      </c>
      <c r="H226" s="647">
        <f>H319*1000/N217</f>
        <v>2438.4884698412707</v>
      </c>
      <c r="I226" s="647"/>
      <c r="Q226" s="319"/>
      <c r="R226" s="319"/>
      <c r="S226" s="320"/>
      <c r="T226" s="319"/>
      <c r="U226" s="320"/>
      <c r="V226" s="319"/>
      <c r="W226" s="319"/>
      <c r="X226" s="319"/>
      <c r="Y226" s="320"/>
      <c r="Z226" s="320"/>
      <c r="AA226" s="320"/>
      <c r="AB226" s="320"/>
      <c r="AC226" s="319"/>
      <c r="AD226" s="319"/>
      <c r="AE226" s="319"/>
      <c r="AF226" s="320"/>
      <c r="AG226" s="319"/>
      <c r="AH226" s="319"/>
      <c r="AI226" s="319"/>
      <c r="AJ226" s="320"/>
      <c r="AK226" s="319"/>
      <c r="AL226" s="319"/>
      <c r="AM226" s="319"/>
    </row>
    <row r="227" spans="1:39" x14ac:dyDescent="0.6">
      <c r="U227" s="320"/>
      <c r="V227" s="319"/>
      <c r="W227" s="319"/>
      <c r="X227" s="319"/>
      <c r="Y227" s="320"/>
      <c r="Z227" s="320"/>
      <c r="AA227" s="320"/>
      <c r="AB227" s="320"/>
      <c r="AC227" s="319"/>
      <c r="AD227" s="319"/>
      <c r="AE227" s="319"/>
      <c r="AF227" s="320"/>
      <c r="AG227" s="319"/>
      <c r="AH227" s="319"/>
      <c r="AI227" s="319"/>
      <c r="AJ227" s="320"/>
      <c r="AK227" s="319"/>
      <c r="AL227" s="319"/>
      <c r="AM227" s="319"/>
    </row>
    <row r="228" spans="1:39" x14ac:dyDescent="0.6">
      <c r="U228" s="319"/>
      <c r="V228" s="319"/>
      <c r="W228" s="319"/>
      <c r="X228" s="319"/>
      <c r="Y228" s="320"/>
      <c r="Z228" s="320"/>
      <c r="AA228" s="320"/>
      <c r="AB228" s="319"/>
      <c r="AC228" s="319"/>
      <c r="AD228" s="319"/>
      <c r="AE228" s="319"/>
      <c r="AF228" s="319"/>
      <c r="AG228" s="319"/>
      <c r="AH228" s="319"/>
      <c r="AI228" s="319"/>
      <c r="AJ228" s="319"/>
      <c r="AK228" s="319"/>
      <c r="AL228" s="319"/>
      <c r="AM228" s="319"/>
    </row>
    <row r="229" spans="1:39" x14ac:dyDescent="0.6">
      <c r="A229" s="87" t="s">
        <v>60</v>
      </c>
      <c r="V229" s="320"/>
      <c r="W229" s="320"/>
      <c r="X229" s="320"/>
      <c r="Y229" s="320"/>
      <c r="Z229" s="320"/>
      <c r="AA229" s="320"/>
      <c r="AB229" s="320"/>
      <c r="AC229" s="320"/>
      <c r="AD229" s="320"/>
      <c r="AE229" s="320"/>
      <c r="AF229" s="320"/>
      <c r="AG229" s="319"/>
      <c r="AH229" s="319"/>
      <c r="AI229" s="319"/>
      <c r="AJ229" s="320"/>
      <c r="AK229" s="319"/>
      <c r="AL229" s="319"/>
      <c r="AM229" s="319"/>
    </row>
    <row r="230" spans="1:39" x14ac:dyDescent="0.6">
      <c r="A230" s="322" t="s">
        <v>59</v>
      </c>
      <c r="B230" s="322"/>
      <c r="C230" s="322" t="s">
        <v>57</v>
      </c>
      <c r="D230" s="322"/>
      <c r="E230" s="322"/>
      <c r="F230" s="322"/>
      <c r="G230" s="322" t="s">
        <v>58</v>
      </c>
      <c r="H230" s="322"/>
      <c r="I230" s="322"/>
      <c r="J230" s="322" t="s">
        <v>467</v>
      </c>
      <c r="K230" s="322"/>
      <c r="L230" s="322"/>
      <c r="M230" s="322"/>
      <c r="N230" s="322" t="s">
        <v>468</v>
      </c>
      <c r="O230" s="322"/>
      <c r="P230" s="322"/>
      <c r="Q230" s="322"/>
      <c r="R230" s="322" t="s">
        <v>469</v>
      </c>
      <c r="S230" s="322"/>
      <c r="T230" s="322"/>
      <c r="U230" s="322"/>
      <c r="X230" s="319"/>
      <c r="AA230" s="320"/>
      <c r="AE230" s="319"/>
      <c r="AI230" s="319"/>
      <c r="AM230" s="319"/>
    </row>
    <row r="231" spans="1:39" x14ac:dyDescent="0.6">
      <c r="A231" s="322" t="s">
        <v>51</v>
      </c>
      <c r="B231" s="322" t="s">
        <v>56</v>
      </c>
      <c r="C231" s="322" t="s">
        <v>55</v>
      </c>
      <c r="D231" s="322" t="s">
        <v>54</v>
      </c>
      <c r="E231" s="322" t="s">
        <v>53</v>
      </c>
      <c r="F231" s="322" t="s">
        <v>52</v>
      </c>
      <c r="G231" s="322" t="s">
        <v>55</v>
      </c>
      <c r="H231" s="322" t="s">
        <v>54</v>
      </c>
      <c r="I231" s="322" t="s">
        <v>52</v>
      </c>
      <c r="J231" s="322" t="s">
        <v>55</v>
      </c>
      <c r="K231" s="322" t="s">
        <v>54</v>
      </c>
      <c r="L231" s="322" t="s">
        <v>53</v>
      </c>
      <c r="M231" s="322" t="s">
        <v>52</v>
      </c>
      <c r="N231" s="322" t="s">
        <v>55</v>
      </c>
      <c r="O231" s="322" t="s">
        <v>54</v>
      </c>
      <c r="P231" s="322" t="s">
        <v>53</v>
      </c>
      <c r="Q231" s="322" t="s">
        <v>52</v>
      </c>
      <c r="R231" s="322" t="s">
        <v>55</v>
      </c>
      <c r="S231" s="322" t="s">
        <v>54</v>
      </c>
      <c r="T231" s="322" t="s">
        <v>53</v>
      </c>
      <c r="U231" s="322" t="s">
        <v>52</v>
      </c>
    </row>
    <row r="232" spans="1:39" x14ac:dyDescent="0.6">
      <c r="A232" s="322" t="s">
        <v>259</v>
      </c>
      <c r="B232" s="322" t="s">
        <v>188</v>
      </c>
      <c r="C232" s="321">
        <v>1096806</v>
      </c>
      <c r="D232" s="321">
        <v>466424</v>
      </c>
      <c r="E232" s="321">
        <v>38587403</v>
      </c>
      <c r="F232" s="321">
        <v>17998091</v>
      </c>
      <c r="G232" s="323">
        <v>0</v>
      </c>
      <c r="H232" s="323">
        <v>0</v>
      </c>
      <c r="I232" s="323">
        <v>0</v>
      </c>
      <c r="J232" s="321">
        <v>1096806</v>
      </c>
      <c r="K232" s="321">
        <v>466424</v>
      </c>
      <c r="L232" s="321">
        <v>38587403</v>
      </c>
      <c r="M232" s="321">
        <v>17998091</v>
      </c>
      <c r="N232" s="321">
        <v>166702</v>
      </c>
      <c r="O232" s="321">
        <v>111195</v>
      </c>
      <c r="P232" s="321">
        <v>34411313</v>
      </c>
      <c r="Q232" s="321">
        <v>3826366</v>
      </c>
      <c r="R232" s="321">
        <v>1263508</v>
      </c>
      <c r="S232" s="321">
        <v>577619</v>
      </c>
      <c r="T232" s="321">
        <v>37783482</v>
      </c>
      <c r="U232" s="321">
        <v>21824457</v>
      </c>
    </row>
    <row r="233" spans="1:39" x14ac:dyDescent="0.6">
      <c r="A233" s="322" t="s">
        <v>258</v>
      </c>
      <c r="B233" s="322" t="s">
        <v>188</v>
      </c>
      <c r="C233" s="321">
        <v>511263</v>
      </c>
      <c r="D233" s="321">
        <v>324330</v>
      </c>
      <c r="E233" s="321">
        <v>39128419</v>
      </c>
      <c r="F233" s="321">
        <v>12690520</v>
      </c>
      <c r="G233" s="323">
        <v>0</v>
      </c>
      <c r="H233" s="323">
        <v>0</v>
      </c>
      <c r="I233" s="323">
        <v>0</v>
      </c>
      <c r="J233" s="321">
        <v>511263</v>
      </c>
      <c r="K233" s="321">
        <v>324330</v>
      </c>
      <c r="L233" s="321">
        <v>39128419</v>
      </c>
      <c r="M233" s="321">
        <v>12690520</v>
      </c>
      <c r="N233" s="321">
        <v>126036</v>
      </c>
      <c r="O233" s="321">
        <v>70603</v>
      </c>
      <c r="P233" s="321">
        <v>38694446</v>
      </c>
      <c r="Q233" s="321">
        <v>2731944</v>
      </c>
      <c r="R233" s="321">
        <v>637299</v>
      </c>
      <c r="S233" s="321">
        <v>394933</v>
      </c>
      <c r="T233" s="321">
        <v>39050836</v>
      </c>
      <c r="U233" s="321">
        <v>15422464</v>
      </c>
    </row>
    <row r="234" spans="1:39" x14ac:dyDescent="0.6">
      <c r="A234" s="322" t="s">
        <v>257</v>
      </c>
      <c r="B234" s="322" t="s">
        <v>188</v>
      </c>
      <c r="C234" s="323">
        <v>0</v>
      </c>
      <c r="D234" s="321">
        <v>685735</v>
      </c>
      <c r="E234" s="321">
        <v>40680273</v>
      </c>
      <c r="F234" s="321">
        <v>27895887</v>
      </c>
      <c r="G234" s="323">
        <v>0</v>
      </c>
      <c r="H234" s="323">
        <v>0</v>
      </c>
      <c r="I234" s="323">
        <v>0</v>
      </c>
      <c r="J234" s="323">
        <v>0</v>
      </c>
      <c r="K234" s="321">
        <v>685735</v>
      </c>
      <c r="L234" s="321">
        <v>40680273</v>
      </c>
      <c r="M234" s="321">
        <v>27895887</v>
      </c>
      <c r="N234" s="323">
        <v>0</v>
      </c>
      <c r="O234" s="321">
        <v>72394</v>
      </c>
      <c r="P234" s="321">
        <v>42144197</v>
      </c>
      <c r="Q234" s="321">
        <v>3050987</v>
      </c>
      <c r="R234" s="323">
        <v>0</v>
      </c>
      <c r="S234" s="321">
        <v>758129</v>
      </c>
      <c r="T234" s="321">
        <v>40820064</v>
      </c>
      <c r="U234" s="321">
        <v>30946874</v>
      </c>
    </row>
    <row r="235" spans="1:39" x14ac:dyDescent="0.6">
      <c r="A235" s="322" t="s">
        <v>256</v>
      </c>
      <c r="B235" s="322" t="s">
        <v>188</v>
      </c>
      <c r="C235" s="323">
        <v>0</v>
      </c>
      <c r="D235" s="321">
        <v>201809</v>
      </c>
      <c r="E235" s="321">
        <v>37873068</v>
      </c>
      <c r="F235" s="321">
        <v>7643126</v>
      </c>
      <c r="G235" s="323">
        <v>0</v>
      </c>
      <c r="H235" s="323">
        <v>0</v>
      </c>
      <c r="I235" s="323">
        <v>0</v>
      </c>
      <c r="J235" s="323">
        <v>0</v>
      </c>
      <c r="K235" s="321">
        <v>201809</v>
      </c>
      <c r="L235" s="321">
        <v>37873068</v>
      </c>
      <c r="M235" s="321">
        <v>7643126</v>
      </c>
      <c r="N235" s="323">
        <v>0</v>
      </c>
      <c r="O235" s="321">
        <v>41441</v>
      </c>
      <c r="P235" s="321">
        <v>41891653</v>
      </c>
      <c r="Q235" s="321">
        <v>1736032</v>
      </c>
      <c r="R235" s="323">
        <v>0</v>
      </c>
      <c r="S235" s="321">
        <v>243250</v>
      </c>
      <c r="T235" s="321">
        <v>38557690</v>
      </c>
      <c r="U235" s="321">
        <v>9379158</v>
      </c>
    </row>
    <row r="236" spans="1:39" x14ac:dyDescent="0.6">
      <c r="A236" s="322" t="s">
        <v>225</v>
      </c>
      <c r="B236" s="322" t="s">
        <v>188</v>
      </c>
      <c r="C236" s="321">
        <v>2695994</v>
      </c>
      <c r="D236" s="321">
        <v>63712</v>
      </c>
      <c r="E236" s="321">
        <v>9278205</v>
      </c>
      <c r="F236" s="321">
        <v>591133</v>
      </c>
      <c r="G236" s="323">
        <v>0</v>
      </c>
      <c r="H236" s="323">
        <v>0</v>
      </c>
      <c r="I236" s="323">
        <v>0</v>
      </c>
      <c r="J236" s="321">
        <v>2695994</v>
      </c>
      <c r="K236" s="321">
        <v>63712</v>
      </c>
      <c r="L236" s="321">
        <v>9278205</v>
      </c>
      <c r="M236" s="321">
        <v>591133</v>
      </c>
      <c r="N236" s="321">
        <v>509808</v>
      </c>
      <c r="O236" s="321">
        <v>29486</v>
      </c>
      <c r="P236" s="321">
        <v>9017873</v>
      </c>
      <c r="Q236" s="321">
        <v>265901</v>
      </c>
      <c r="R236" s="321">
        <v>3205802</v>
      </c>
      <c r="S236" s="321">
        <v>93198</v>
      </c>
      <c r="T236" s="321">
        <v>9195841</v>
      </c>
      <c r="U236" s="321">
        <v>857034</v>
      </c>
    </row>
    <row r="237" spans="1:39" x14ac:dyDescent="0.6">
      <c r="A237" s="322" t="s">
        <v>335</v>
      </c>
      <c r="B237" s="322" t="s">
        <v>188</v>
      </c>
      <c r="C237" s="323">
        <v>0</v>
      </c>
      <c r="D237" s="323">
        <v>0</v>
      </c>
      <c r="E237" s="323">
        <v>0</v>
      </c>
      <c r="F237" s="321">
        <v>0</v>
      </c>
      <c r="G237" s="323">
        <v>0</v>
      </c>
      <c r="H237" s="323">
        <v>0</v>
      </c>
      <c r="I237" s="323">
        <v>0</v>
      </c>
      <c r="J237" s="323">
        <v>0</v>
      </c>
      <c r="K237" s="323">
        <v>0</v>
      </c>
      <c r="L237" s="323">
        <v>0</v>
      </c>
      <c r="M237" s="321">
        <v>0</v>
      </c>
      <c r="N237" s="323">
        <v>0</v>
      </c>
      <c r="O237" s="321">
        <v>18248</v>
      </c>
      <c r="P237" s="321">
        <v>56999014</v>
      </c>
      <c r="Q237" s="321">
        <v>1040118</v>
      </c>
      <c r="R237" s="321">
        <v>0</v>
      </c>
      <c r="S237" s="321">
        <v>18248</v>
      </c>
      <c r="T237" s="321">
        <v>56999014</v>
      </c>
      <c r="U237" s="321">
        <v>1040118</v>
      </c>
    </row>
    <row r="238" spans="1:39" x14ac:dyDescent="0.6">
      <c r="A238" s="322" t="s">
        <v>45</v>
      </c>
      <c r="B238" s="322"/>
      <c r="C238" s="322"/>
      <c r="D238" s="322"/>
      <c r="E238" s="322"/>
      <c r="F238" s="321">
        <v>66818757</v>
      </c>
      <c r="G238" s="322"/>
      <c r="H238" s="322"/>
      <c r="I238" s="323">
        <v>0</v>
      </c>
      <c r="J238" s="322"/>
      <c r="K238" s="322"/>
      <c r="L238" s="322"/>
      <c r="M238" s="321">
        <v>66818757</v>
      </c>
      <c r="N238" s="322"/>
      <c r="O238" s="322"/>
      <c r="P238" s="322"/>
      <c r="Q238" s="321">
        <v>12651348</v>
      </c>
      <c r="R238" s="774"/>
      <c r="S238" s="774"/>
      <c r="T238" s="322"/>
      <c r="U238" s="321">
        <v>79470105</v>
      </c>
    </row>
    <row r="239" spans="1:39" ht="23.25" thickBot="1" x14ac:dyDescent="0.65">
      <c r="N239" s="319">
        <f>SUM(N232:N233)</f>
        <v>292738</v>
      </c>
      <c r="O239" s="319">
        <f>SUM(O232:O238)</f>
        <v>343367</v>
      </c>
      <c r="R239" s="319">
        <f>SUM(R232:R233)</f>
        <v>1900807</v>
      </c>
      <c r="S239" s="319">
        <f>SUM(S232:S238)</f>
        <v>2085377</v>
      </c>
    </row>
    <row r="240" spans="1:39" x14ac:dyDescent="0.6">
      <c r="A240" s="1049" t="s">
        <v>44</v>
      </c>
      <c r="B240" s="288"/>
      <c r="C240" s="833"/>
      <c r="D240" s="288"/>
      <c r="E240" s="288"/>
      <c r="F240" s="288"/>
      <c r="G240" s="288"/>
      <c r="H240" s="288"/>
      <c r="I240" s="288"/>
      <c r="J240" s="288"/>
      <c r="K240" s="288"/>
      <c r="L240" s="288"/>
    </row>
    <row r="241" spans="1:22" x14ac:dyDescent="0.6">
      <c r="A241" s="1050"/>
      <c r="B241" s="288"/>
      <c r="C241" s="288"/>
      <c r="D241" s="288"/>
      <c r="E241" s="288"/>
      <c r="F241" s="288"/>
      <c r="G241" s="288"/>
      <c r="H241" s="288"/>
      <c r="I241" s="288"/>
      <c r="J241" s="288"/>
      <c r="K241" s="288"/>
      <c r="L241" s="288"/>
    </row>
    <row r="242" spans="1:22" x14ac:dyDescent="0.6">
      <c r="A242" s="1050"/>
      <c r="B242" s="288"/>
      <c r="C242" s="288"/>
      <c r="D242" s="288"/>
      <c r="E242" s="288"/>
      <c r="F242" s="288"/>
      <c r="G242" s="288"/>
      <c r="H242" s="288"/>
      <c r="I242" s="288"/>
      <c r="J242" s="288"/>
      <c r="K242" s="288"/>
      <c r="L242" s="288"/>
    </row>
    <row r="243" spans="1:22" ht="29.25" thickBot="1" x14ac:dyDescent="0.8">
      <c r="A243" s="1051"/>
      <c r="B243" s="447"/>
      <c r="C243" s="274" t="s">
        <v>43</v>
      </c>
      <c r="D243" s="790" t="s">
        <v>42</v>
      </c>
      <c r="E243" s="274" t="s">
        <v>41</v>
      </c>
      <c r="F243" s="274" t="s">
        <v>223</v>
      </c>
      <c r="G243" s="274" t="s">
        <v>499</v>
      </c>
      <c r="H243" s="790" t="s">
        <v>38</v>
      </c>
      <c r="I243" s="790" t="s">
        <v>37</v>
      </c>
      <c r="J243" s="790" t="s">
        <v>36</v>
      </c>
      <c r="K243" s="790" t="s">
        <v>35</v>
      </c>
      <c r="L243" s="790" t="s">
        <v>34</v>
      </c>
    </row>
    <row r="244" spans="1:22" ht="41.25" customHeight="1" thickTop="1" thickBot="1" x14ac:dyDescent="1">
      <c r="A244" s="778" t="s">
        <v>261</v>
      </c>
      <c r="B244" s="781">
        <f>D244</f>
        <v>3606122</v>
      </c>
      <c r="C244" s="793"/>
      <c r="D244" s="786">
        <f>AVERAGE(M6,I6,B6:E6)</f>
        <v>3606122</v>
      </c>
      <c r="E244" s="793">
        <f>N239</f>
        <v>292738</v>
      </c>
      <c r="F244" s="786">
        <f>R239</f>
        <v>1900807</v>
      </c>
      <c r="G244" s="786">
        <f>N6</f>
        <v>980123</v>
      </c>
      <c r="H244" s="786">
        <f>MAX(M6,I6,B6:E6)</f>
        <v>3822467</v>
      </c>
      <c r="I244" s="786">
        <f>MIN(M6,I6,B6:E6)</f>
        <v>3438496</v>
      </c>
      <c r="J244" s="786">
        <f>AVERAGE(D244:I244)</f>
        <v>2340125.5</v>
      </c>
      <c r="K244" s="786">
        <v>3700000</v>
      </c>
      <c r="L244" s="793"/>
      <c r="M244" s="776"/>
    </row>
    <row r="245" spans="1:22" ht="41.25" customHeight="1" thickTop="1" thickBot="1" x14ac:dyDescent="1">
      <c r="A245" s="777" t="s">
        <v>193</v>
      </c>
      <c r="B245" s="782">
        <f>C245+15</f>
        <v>370</v>
      </c>
      <c r="C245" s="791">
        <f>پنل!B2</f>
        <v>355</v>
      </c>
      <c r="D245" s="787"/>
      <c r="E245" s="791"/>
      <c r="F245" s="787"/>
      <c r="G245" s="787"/>
      <c r="H245" s="787"/>
      <c r="I245" s="787"/>
      <c r="J245" s="787"/>
      <c r="K245" s="787"/>
      <c r="L245" s="791"/>
    </row>
    <row r="246" spans="1:22" ht="41.25" customHeight="1" thickTop="1" thickBot="1" x14ac:dyDescent="1">
      <c r="A246" s="446" t="s">
        <v>192</v>
      </c>
      <c r="B246" s="783">
        <f>B245*B247</f>
        <v>40700000</v>
      </c>
      <c r="C246" s="792">
        <f>C245*B247</f>
        <v>39050000</v>
      </c>
      <c r="D246" s="794"/>
      <c r="E246" s="792">
        <f>P234</f>
        <v>42144197</v>
      </c>
      <c r="F246" s="788">
        <f>T234</f>
        <v>40820064</v>
      </c>
      <c r="G246" s="788">
        <f>N84</f>
        <v>40104786.531443797</v>
      </c>
      <c r="H246" s="794"/>
      <c r="I246" s="794"/>
      <c r="J246" s="794"/>
      <c r="K246" s="794"/>
      <c r="L246" s="792"/>
      <c r="M246" s="841"/>
      <c r="S246" s="297"/>
      <c r="T246" s="297"/>
      <c r="U246" s="297"/>
      <c r="V246" s="297"/>
    </row>
    <row r="247" spans="1:22" ht="41.25" customHeight="1" thickTop="1" thickBot="1" x14ac:dyDescent="1">
      <c r="A247" s="779" t="s">
        <v>26</v>
      </c>
      <c r="B247" s="784">
        <f>C247</f>
        <v>110000</v>
      </c>
      <c r="C247" s="795">
        <f>پنل!B1</f>
        <v>110000</v>
      </c>
      <c r="D247" s="789"/>
      <c r="E247" s="795"/>
      <c r="F247" s="789"/>
      <c r="G247" s="789"/>
      <c r="H247" s="789"/>
      <c r="I247" s="789"/>
      <c r="J247" s="789"/>
      <c r="K247" s="789"/>
      <c r="L247" s="795"/>
      <c r="S247" s="297"/>
      <c r="T247" s="775"/>
      <c r="U247" s="775"/>
      <c r="V247" s="775"/>
    </row>
    <row r="248" spans="1:22" ht="41.25" customHeight="1" thickTop="1" thickBot="1" x14ac:dyDescent="1">
      <c r="A248" s="780" t="s">
        <v>30</v>
      </c>
      <c r="B248" s="785">
        <f>C248</f>
        <v>6248000</v>
      </c>
      <c r="C248" s="796">
        <f>پنل!B7</f>
        <v>6248000</v>
      </c>
      <c r="D248" s="797"/>
      <c r="E248" s="796"/>
      <c r="F248" s="796"/>
      <c r="G248" s="797">
        <f>K157</f>
        <v>6738736.6663496979</v>
      </c>
      <c r="H248" s="797"/>
      <c r="I248" s="797"/>
      <c r="J248" s="797"/>
      <c r="K248" s="797"/>
      <c r="L248" s="796"/>
      <c r="S248" s="297"/>
      <c r="T248" s="775"/>
      <c r="U248" s="775"/>
      <c r="V248" s="775"/>
    </row>
    <row r="249" spans="1:22" ht="41.25" customHeight="1" thickTop="1" thickBot="1" x14ac:dyDescent="1">
      <c r="A249" s="798" t="s">
        <v>501</v>
      </c>
      <c r="B249" s="799">
        <f>C249+10</f>
        <v>375</v>
      </c>
      <c r="C249" s="800">
        <f>پنل!B3</f>
        <v>365</v>
      </c>
      <c r="D249" s="801"/>
      <c r="E249" s="800"/>
      <c r="F249" s="800"/>
      <c r="G249" s="801"/>
      <c r="H249" s="801"/>
      <c r="I249" s="801"/>
      <c r="J249" s="801"/>
      <c r="K249" s="801"/>
      <c r="L249" s="800"/>
      <c r="S249" s="297"/>
      <c r="T249" s="775"/>
      <c r="U249" s="775"/>
      <c r="V249" s="775"/>
    </row>
    <row r="250" spans="1:22" ht="41.25" customHeight="1" thickTop="1" thickBot="1" x14ac:dyDescent="1">
      <c r="A250" s="802" t="s">
        <v>238</v>
      </c>
      <c r="B250" s="803">
        <f>B249*B247</f>
        <v>41250000</v>
      </c>
      <c r="C250" s="804">
        <f>C249*B247</f>
        <v>40150000</v>
      </c>
      <c r="D250" s="805"/>
      <c r="E250" s="804">
        <f>P235</f>
        <v>41891653</v>
      </c>
      <c r="F250" s="804">
        <f>T235</f>
        <v>38557690</v>
      </c>
      <c r="G250" s="805">
        <f>N88</f>
        <v>35595490.603053652</v>
      </c>
      <c r="H250" s="805"/>
      <c r="I250" s="805"/>
      <c r="J250" s="805"/>
      <c r="K250" s="805"/>
      <c r="L250" s="804"/>
      <c r="S250" s="297"/>
      <c r="T250" s="775"/>
      <c r="U250" s="775"/>
      <c r="V250" s="775"/>
    </row>
    <row r="251" spans="1:22" ht="41.25" customHeight="1" thickTop="1" thickBot="1" x14ac:dyDescent="1">
      <c r="A251" s="806" t="s">
        <v>505</v>
      </c>
      <c r="B251" s="807">
        <f>E251</f>
        <v>34411313</v>
      </c>
      <c r="C251" s="808"/>
      <c r="D251" s="809"/>
      <c r="E251" s="808">
        <f>P232</f>
        <v>34411313</v>
      </c>
      <c r="F251" s="808">
        <f>T232</f>
        <v>37783482</v>
      </c>
      <c r="G251" s="809">
        <f>N84</f>
        <v>40104786.531443797</v>
      </c>
      <c r="H251" s="809"/>
      <c r="I251" s="809"/>
      <c r="J251" s="809"/>
      <c r="K251" s="809"/>
      <c r="L251" s="808">
        <v>34576300</v>
      </c>
      <c r="S251" s="297"/>
      <c r="T251" s="775"/>
      <c r="U251" s="775"/>
      <c r="V251" s="775"/>
    </row>
    <row r="252" spans="1:22" ht="41.25" customHeight="1" thickTop="1" thickBot="1" x14ac:dyDescent="1">
      <c r="A252" s="844" t="s">
        <v>506</v>
      </c>
      <c r="B252" s="845">
        <f>E252</f>
        <v>38694446</v>
      </c>
      <c r="C252" s="846"/>
      <c r="D252" s="847"/>
      <c r="E252" s="846">
        <f>P233</f>
        <v>38694446</v>
      </c>
      <c r="F252" s="846">
        <f>T233</f>
        <v>39050836</v>
      </c>
      <c r="G252" s="847">
        <f>N83</f>
        <v>38848061.745132565</v>
      </c>
      <c r="H252" s="847"/>
      <c r="I252" s="847"/>
      <c r="J252" s="847"/>
      <c r="K252" s="847"/>
      <c r="L252" s="846"/>
      <c r="S252" s="297"/>
      <c r="T252" s="775"/>
      <c r="U252" s="775"/>
      <c r="V252" s="775"/>
    </row>
    <row r="253" spans="1:22" ht="41.25" customHeight="1" thickTop="1" thickBot="1" x14ac:dyDescent="1">
      <c r="A253" s="842" t="s">
        <v>508</v>
      </c>
      <c r="B253" s="845">
        <f>E253</f>
        <v>56999014</v>
      </c>
      <c r="C253" s="843"/>
      <c r="D253" s="793"/>
      <c r="E253" s="843">
        <f>P237</f>
        <v>56999014</v>
      </c>
      <c r="F253" s="843">
        <f>T237</f>
        <v>56999014</v>
      </c>
      <c r="G253" s="793"/>
      <c r="H253" s="793"/>
      <c r="I253" s="793"/>
      <c r="J253" s="793"/>
      <c r="K253" s="793"/>
      <c r="L253" s="843"/>
      <c r="S253" s="297"/>
      <c r="T253" s="775"/>
      <c r="U253" s="775"/>
      <c r="V253" s="775"/>
    </row>
    <row r="254" spans="1:22" ht="41.25" customHeight="1" thickTop="1" thickBot="1" x14ac:dyDescent="1.1000000000000001">
      <c r="C254" s="445"/>
      <c r="D254" s="1055" t="s">
        <v>260</v>
      </c>
      <c r="E254" s="1052" t="s">
        <v>218</v>
      </c>
      <c r="F254" s="1053"/>
      <c r="G254" s="1053"/>
      <c r="H254" s="1053"/>
      <c r="I254" s="1053"/>
      <c r="J254" s="1053"/>
      <c r="K254" s="1053"/>
      <c r="L254" s="1053"/>
      <c r="M254" s="1053"/>
      <c r="N254" s="1053"/>
      <c r="O254" s="1053"/>
      <c r="P254" s="1053"/>
      <c r="Q254" s="1054"/>
      <c r="S254" s="297"/>
      <c r="T254" s="775"/>
      <c r="U254" s="775"/>
      <c r="V254" s="775"/>
    </row>
    <row r="255" spans="1:22" ht="41.25" customHeight="1" thickBot="1" x14ac:dyDescent="1">
      <c r="A255" s="444"/>
      <c r="B255" s="443"/>
      <c r="D255" s="1056"/>
      <c r="E255" s="442">
        <f>B257</f>
        <v>1864.811289997743</v>
      </c>
      <c r="F255" s="441">
        <v>320</v>
      </c>
      <c r="G255" s="440">
        <v>330</v>
      </c>
      <c r="H255" s="440">
        <v>340</v>
      </c>
      <c r="I255" s="440">
        <v>350</v>
      </c>
      <c r="J255" s="440">
        <v>360</v>
      </c>
      <c r="K255" s="440">
        <v>370</v>
      </c>
      <c r="L255" s="440">
        <v>380</v>
      </c>
      <c r="M255" s="440">
        <v>390</v>
      </c>
      <c r="N255" s="440">
        <v>400</v>
      </c>
      <c r="O255" s="440">
        <v>410</v>
      </c>
      <c r="P255" s="440">
        <v>420</v>
      </c>
      <c r="Q255" s="439">
        <v>430</v>
      </c>
      <c r="S255" s="288"/>
      <c r="T255" s="288"/>
      <c r="U255" s="288"/>
      <c r="V255" s="288"/>
    </row>
    <row r="256" spans="1:22" ht="45" customHeight="1" thickBot="1" x14ac:dyDescent="0.8">
      <c r="D256" s="1056"/>
      <c r="E256" s="433">
        <v>90000</v>
      </c>
      <c r="F256" s="438">
        <f t="dataTable" ref="F256:Q263" dt2D="1" dtr="1" r1="C245" r2="B247"/>
        <v>1130.2254547983871</v>
      </c>
      <c r="G256" s="437">
        <v>1178.1345598131393</v>
      </c>
      <c r="H256" s="437">
        <v>1226.0436648278901</v>
      </c>
      <c r="I256" s="437">
        <v>1273.9527698426421</v>
      </c>
      <c r="J256" s="437">
        <v>1321.8618748573929</v>
      </c>
      <c r="K256" s="437">
        <v>1369.7709798721453</v>
      </c>
      <c r="L256" s="437">
        <v>1417.6800848868975</v>
      </c>
      <c r="M256" s="437">
        <v>1465.5891899016483</v>
      </c>
      <c r="N256" s="437">
        <v>1513.4982949163989</v>
      </c>
      <c r="O256" s="437">
        <v>1561.4073999311511</v>
      </c>
      <c r="P256" s="437">
        <v>1609.3165049459033</v>
      </c>
      <c r="Q256" s="436">
        <v>1657.2256099606545</v>
      </c>
      <c r="S256" s="297"/>
      <c r="T256" s="297"/>
      <c r="U256" s="297"/>
      <c r="V256" s="297"/>
    </row>
    <row r="257" spans="1:29" ht="45" customHeight="1" thickTop="1" thickBot="1" x14ac:dyDescent="1">
      <c r="A257" s="857" t="s">
        <v>22</v>
      </c>
      <c r="B257" s="863">
        <f>Q216</f>
        <v>1864.811289997743</v>
      </c>
      <c r="D257" s="1056"/>
      <c r="E257" s="433">
        <v>100000</v>
      </c>
      <c r="F257" s="432">
        <v>1395.0461200054021</v>
      </c>
      <c r="G257" s="304">
        <v>1448.2784589106809</v>
      </c>
      <c r="H257" s="304">
        <v>1501.510797815961</v>
      </c>
      <c r="I257" s="304">
        <v>1554.74313672124</v>
      </c>
      <c r="J257" s="304">
        <v>1607.9754756265204</v>
      </c>
      <c r="K257" s="304">
        <v>1661.2078145317994</v>
      </c>
      <c r="L257" s="304">
        <v>1714.4401534370795</v>
      </c>
      <c r="M257" s="304">
        <v>1767.6724923423581</v>
      </c>
      <c r="N257" s="304">
        <v>1820.9048312476382</v>
      </c>
      <c r="O257" s="304">
        <v>1874.1371701529185</v>
      </c>
      <c r="P257" s="304">
        <v>1927.3695090581973</v>
      </c>
      <c r="Q257" s="303">
        <v>1980.6018479634761</v>
      </c>
      <c r="S257" s="297"/>
      <c r="T257" s="295"/>
      <c r="U257" s="295"/>
      <c r="V257" s="295"/>
    </row>
    <row r="258" spans="1:29" ht="45" customHeight="1" thickBot="1" x14ac:dyDescent="1">
      <c r="A258" s="858" t="s">
        <v>436</v>
      </c>
      <c r="B258" s="862">
        <f>F314*1000/F304</f>
        <v>1336.1891892133094</v>
      </c>
      <c r="C258" s="1028" t="s">
        <v>344</v>
      </c>
      <c r="D258" s="1056"/>
      <c r="E258" s="433">
        <v>110000</v>
      </c>
      <c r="F258" s="432">
        <v>1659.8667852124177</v>
      </c>
      <c r="G258" s="304">
        <v>1718.4223580082244</v>
      </c>
      <c r="H258" s="304">
        <v>1776.9779308040308</v>
      </c>
      <c r="I258" s="304">
        <v>1835.5335035998392</v>
      </c>
      <c r="J258" s="304">
        <v>1894.0890763956461</v>
      </c>
      <c r="K258" s="304">
        <v>1952.6446491914539</v>
      </c>
      <c r="L258" s="304">
        <v>2011.2002219872609</v>
      </c>
      <c r="M258" s="304">
        <v>2069.7557947830696</v>
      </c>
      <c r="N258" s="304">
        <v>2128.3113675788763</v>
      </c>
      <c r="O258" s="304">
        <v>2186.8669403746826</v>
      </c>
      <c r="P258" s="304">
        <v>2245.4225131704911</v>
      </c>
      <c r="Q258" s="303">
        <v>2303.9780859662997</v>
      </c>
      <c r="S258" s="297"/>
      <c r="T258" s="295"/>
      <c r="U258" s="295"/>
      <c r="V258" s="295"/>
    </row>
    <row r="259" spans="1:29" ht="45" customHeight="1" thickBot="1" x14ac:dyDescent="1.2">
      <c r="A259" s="674" t="s">
        <v>21</v>
      </c>
      <c r="B259" s="864">
        <f>VLOOKUP(C258,'دیده بان بازار'!A:W,8,0)</f>
        <v>8870</v>
      </c>
      <c r="C259" s="206">
        <v>8490.19762547141</v>
      </c>
      <c r="D259" s="1056"/>
      <c r="E259" s="433">
        <v>120000</v>
      </c>
      <c r="F259" s="432">
        <v>1924.6874504194325</v>
      </c>
      <c r="G259" s="304">
        <v>1988.5662571057658</v>
      </c>
      <c r="H259" s="304">
        <v>2052.4450637921022</v>
      </c>
      <c r="I259" s="304">
        <v>2116.323870478438</v>
      </c>
      <c r="J259" s="304">
        <v>2180.2026771647729</v>
      </c>
      <c r="K259" s="304">
        <v>2244.0814838511078</v>
      </c>
      <c r="L259" s="304">
        <v>2307.9602905374445</v>
      </c>
      <c r="M259" s="304">
        <v>2371.8390972237789</v>
      </c>
      <c r="N259" s="304">
        <v>2435.7179039101138</v>
      </c>
      <c r="O259" s="304">
        <v>2499.5967105964505</v>
      </c>
      <c r="P259" s="304">
        <v>2563.4755172827854</v>
      </c>
      <c r="Q259" s="303">
        <v>2627.3543239691198</v>
      </c>
      <c r="S259" s="297"/>
      <c r="T259" s="295"/>
      <c r="U259" s="295"/>
      <c r="V259" s="295"/>
    </row>
    <row r="260" spans="1:29" ht="45" customHeight="1" x14ac:dyDescent="0.85">
      <c r="A260" s="856" t="s">
        <v>478</v>
      </c>
      <c r="B260" s="865">
        <f>B259-B258</f>
        <v>7533.8108107866901</v>
      </c>
      <c r="D260" s="1056"/>
      <c r="E260" s="433">
        <v>130000</v>
      </c>
      <c r="F260" s="432">
        <v>2189.5081156264446</v>
      </c>
      <c r="G260" s="304">
        <v>2258.710156203309</v>
      </c>
      <c r="H260" s="304">
        <v>2327.9121967801734</v>
      </c>
      <c r="I260" s="304">
        <v>2397.114237357036</v>
      </c>
      <c r="J260" s="304">
        <v>2466.3162779338986</v>
      </c>
      <c r="K260" s="304">
        <v>2535.5183185107617</v>
      </c>
      <c r="L260" s="304">
        <v>2604.7203590876247</v>
      </c>
      <c r="M260" s="304">
        <v>2673.9223996644891</v>
      </c>
      <c r="N260" s="304">
        <v>2743.1244402413536</v>
      </c>
      <c r="O260" s="304">
        <v>2812.3264808182162</v>
      </c>
      <c r="P260" s="304">
        <v>2881.5285213950792</v>
      </c>
      <c r="Q260" s="303">
        <v>2950.7305619719432</v>
      </c>
      <c r="S260" s="297"/>
      <c r="T260" s="295"/>
      <c r="U260" s="295"/>
      <c r="V260" s="295"/>
    </row>
    <row r="261" spans="1:29" ht="45" customHeight="1" x14ac:dyDescent="0.75">
      <c r="A261" s="47">
        <v>3</v>
      </c>
      <c r="B261" s="860">
        <f>$B$260/A261</f>
        <v>2511.27027026223</v>
      </c>
      <c r="D261" s="1056"/>
      <c r="E261" s="433">
        <v>140000</v>
      </c>
      <c r="F261" s="432">
        <v>2454.3287808334599</v>
      </c>
      <c r="G261" s="304">
        <v>2528.8540553008525</v>
      </c>
      <c r="H261" s="304">
        <v>2603.3793297682428</v>
      </c>
      <c r="I261" s="304">
        <v>2677.904604235634</v>
      </c>
      <c r="J261" s="304">
        <v>2752.4298787030266</v>
      </c>
      <c r="K261" s="304">
        <v>2826.9551531704169</v>
      </c>
      <c r="L261" s="304">
        <v>2901.4804276378081</v>
      </c>
      <c r="M261" s="304">
        <v>2976.0057021052003</v>
      </c>
      <c r="N261" s="304">
        <v>3050.5309765725915</v>
      </c>
      <c r="O261" s="304">
        <v>3125.0562510399823</v>
      </c>
      <c r="P261" s="304">
        <v>3199.581525507373</v>
      </c>
      <c r="Q261" s="303">
        <v>3274.1067999747652</v>
      </c>
      <c r="S261" s="297"/>
      <c r="T261" s="295"/>
      <c r="U261" s="295"/>
      <c r="V261" s="295"/>
      <c r="AC261" s="319"/>
    </row>
    <row r="262" spans="1:29" ht="45" customHeight="1" x14ac:dyDescent="0.7">
      <c r="A262" s="47">
        <v>4</v>
      </c>
      <c r="B262" s="860">
        <f t="shared" ref="B262:B263" si="68">$B$260/A262</f>
        <v>1883.4527026966725</v>
      </c>
      <c r="D262" s="1056"/>
      <c r="E262" s="433">
        <v>150000</v>
      </c>
      <c r="F262" s="432">
        <v>2719.1494460404751</v>
      </c>
      <c r="G262" s="304">
        <v>2798.9979543983941</v>
      </c>
      <c r="H262" s="304">
        <v>2878.8464627563144</v>
      </c>
      <c r="I262" s="304">
        <v>2958.6949711142333</v>
      </c>
      <c r="J262" s="304">
        <v>3038.5434794721536</v>
      </c>
      <c r="K262" s="304">
        <v>3118.3919878300726</v>
      </c>
      <c r="L262" s="304">
        <v>3198.2404961879915</v>
      </c>
      <c r="M262" s="304">
        <v>3278.0890045459096</v>
      </c>
      <c r="N262" s="304">
        <v>3357.937512903829</v>
      </c>
      <c r="O262" s="304">
        <v>3437.7860212617475</v>
      </c>
      <c r="P262" s="304">
        <v>3517.6345296196669</v>
      </c>
      <c r="Q262" s="303">
        <v>3597.4830379775872</v>
      </c>
      <c r="AC262" s="319"/>
    </row>
    <row r="263" spans="1:29" ht="45" customHeight="1" thickBot="1" x14ac:dyDescent="0.75">
      <c r="A263" s="42">
        <v>5</v>
      </c>
      <c r="B263" s="861">
        <f t="shared" si="68"/>
        <v>1506.762162157338</v>
      </c>
      <c r="D263" s="1057"/>
      <c r="E263" s="431">
        <v>160000</v>
      </c>
      <c r="F263" s="430">
        <v>2983.97011124749</v>
      </c>
      <c r="G263" s="300">
        <v>3069.1418534959371</v>
      </c>
      <c r="H263" s="300">
        <v>3154.3135957443842</v>
      </c>
      <c r="I263" s="300">
        <v>3239.4853379928309</v>
      </c>
      <c r="J263" s="300">
        <v>3324.6570802412775</v>
      </c>
      <c r="K263" s="300">
        <v>3409.828822489726</v>
      </c>
      <c r="L263" s="300">
        <v>3495.0005647381727</v>
      </c>
      <c r="M263" s="300">
        <v>3580.1723069866198</v>
      </c>
      <c r="N263" s="300">
        <v>3665.3440492350683</v>
      </c>
      <c r="O263" s="300">
        <v>3750.5157914835136</v>
      </c>
      <c r="P263" s="300">
        <v>3835.687533731962</v>
      </c>
      <c r="Q263" s="299">
        <v>3920.8592759804092</v>
      </c>
    </row>
    <row r="264" spans="1:29" ht="23.25" thickBot="1" x14ac:dyDescent="0.65">
      <c r="E264" s="291"/>
    </row>
    <row r="265" spans="1:29" ht="28.5" x14ac:dyDescent="0.6">
      <c r="A265" s="21" t="s">
        <v>20</v>
      </c>
      <c r="B265" s="37">
        <v>0.6</v>
      </c>
    </row>
    <row r="266" spans="1:29" ht="29.25" thickBot="1" x14ac:dyDescent="0.65">
      <c r="A266" s="34" t="s">
        <v>19</v>
      </c>
      <c r="B266" s="859">
        <f>B257*B265</f>
        <v>1118.8867739986458</v>
      </c>
    </row>
    <row r="267" spans="1:29" ht="29.25" thickBot="1" x14ac:dyDescent="0.8">
      <c r="A267" s="216"/>
      <c r="B267" s="216"/>
    </row>
    <row r="268" spans="1:29" ht="28.5" x14ac:dyDescent="0.6">
      <c r="A268" s="21" t="s">
        <v>18</v>
      </c>
      <c r="B268" s="20" t="s">
        <v>255</v>
      </c>
    </row>
    <row r="269" spans="1:29" ht="29.25" thickBot="1" x14ac:dyDescent="0.65">
      <c r="A269" s="34" t="s">
        <v>16</v>
      </c>
      <c r="B269" s="33" t="s">
        <v>254</v>
      </c>
    </row>
    <row r="270" spans="1:29" ht="29.25" thickBot="1" x14ac:dyDescent="0.8">
      <c r="A270" s="216"/>
      <c r="B270" s="216"/>
    </row>
    <row r="271" spans="1:29" ht="28.5" x14ac:dyDescent="0.6">
      <c r="A271" s="21" t="s">
        <v>14</v>
      </c>
      <c r="B271" s="20">
        <v>9</v>
      </c>
    </row>
    <row r="272" spans="1:29" ht="29.25" thickBot="1" x14ac:dyDescent="0.65">
      <c r="A272" s="34" t="s">
        <v>13</v>
      </c>
      <c r="B272" s="33">
        <v>10</v>
      </c>
    </row>
    <row r="273" spans="1:8" ht="29.25" thickBot="1" x14ac:dyDescent="0.8">
      <c r="A273" s="216"/>
      <c r="B273" s="216"/>
    </row>
    <row r="274" spans="1:8" ht="29.25" thickBot="1" x14ac:dyDescent="0.8">
      <c r="A274" s="215">
        <v>0.2</v>
      </c>
      <c r="B274" s="214" t="s">
        <v>7</v>
      </c>
    </row>
    <row r="275" spans="1:8" ht="28.5" x14ac:dyDescent="0.6">
      <c r="A275" s="21" t="s">
        <v>6</v>
      </c>
      <c r="B275" s="20" t="s">
        <v>5</v>
      </c>
    </row>
    <row r="276" spans="1:8" ht="29.25" thickBot="1" x14ac:dyDescent="0.8">
      <c r="A276" s="19">
        <f>A274/12</f>
        <v>1.6666666666666666E-2</v>
      </c>
      <c r="B276" s="18">
        <v>5</v>
      </c>
    </row>
    <row r="277" spans="1:8" ht="28.5" x14ac:dyDescent="0.75">
      <c r="A277" s="213" t="s">
        <v>4</v>
      </c>
      <c r="B277" s="212">
        <f>B257*B276</f>
        <v>9324.056449988715</v>
      </c>
    </row>
    <row r="278" spans="1:8" ht="28.5" x14ac:dyDescent="0.75">
      <c r="A278" s="211" t="s">
        <v>3</v>
      </c>
      <c r="B278" s="210">
        <f>B277/(1+A276)^B271</f>
        <v>8035.2174193723085</v>
      </c>
    </row>
    <row r="279" spans="1:8" ht="29.25" thickBot="1" x14ac:dyDescent="0.8">
      <c r="A279" s="209" t="s">
        <v>2</v>
      </c>
      <c r="B279" s="208">
        <f>B266/(1+A276)^B272</f>
        <v>948.41910523738727</v>
      </c>
    </row>
    <row r="280" spans="1:8" ht="29.25" thickBot="1" x14ac:dyDescent="0.8">
      <c r="A280" s="207" t="s">
        <v>1</v>
      </c>
      <c r="B280" s="206">
        <f>SUM(B278:B279)</f>
        <v>8983.6365246096957</v>
      </c>
    </row>
    <row r="282" spans="1:8" x14ac:dyDescent="0.6">
      <c r="A282" s="82" t="s">
        <v>440</v>
      </c>
    </row>
    <row r="283" spans="1:8" x14ac:dyDescent="0.6">
      <c r="A283" s="322" t="s">
        <v>59</v>
      </c>
      <c r="B283" s="322" t="s">
        <v>384</v>
      </c>
      <c r="C283" s="322" t="s">
        <v>386</v>
      </c>
      <c r="D283" s="322" t="s">
        <v>159</v>
      </c>
      <c r="E283" s="322" t="s">
        <v>59</v>
      </c>
      <c r="F283" s="322" t="s">
        <v>384</v>
      </c>
      <c r="G283" s="322" t="s">
        <v>386</v>
      </c>
      <c r="H283" s="322" t="s">
        <v>159</v>
      </c>
    </row>
    <row r="284" spans="1:8" x14ac:dyDescent="0.6">
      <c r="A284" s="322"/>
      <c r="B284" s="322" t="s">
        <v>385</v>
      </c>
      <c r="C284" s="322" t="s">
        <v>387</v>
      </c>
      <c r="D284" s="322" t="s">
        <v>388</v>
      </c>
      <c r="E284" s="322"/>
      <c r="F284" s="322" t="s">
        <v>385</v>
      </c>
      <c r="G284" s="322" t="s">
        <v>387</v>
      </c>
      <c r="H284" s="322" t="s">
        <v>388</v>
      </c>
    </row>
    <row r="285" spans="1:8" x14ac:dyDescent="0.6">
      <c r="A285" s="322" t="s">
        <v>389</v>
      </c>
      <c r="B285" s="322"/>
      <c r="C285" s="322"/>
      <c r="D285" s="322"/>
      <c r="E285" s="322" t="s">
        <v>390</v>
      </c>
      <c r="F285" s="322"/>
      <c r="G285" s="322"/>
      <c r="H285" s="322"/>
    </row>
    <row r="286" spans="1:8" x14ac:dyDescent="0.6">
      <c r="A286" s="322" t="s">
        <v>391</v>
      </c>
      <c r="B286" s="322"/>
      <c r="C286" s="322"/>
      <c r="D286" s="322"/>
      <c r="E286" s="322" t="s">
        <v>392</v>
      </c>
      <c r="F286" s="322"/>
      <c r="G286" s="322"/>
      <c r="H286" s="322"/>
    </row>
    <row r="287" spans="1:8" x14ac:dyDescent="0.6">
      <c r="A287" s="322" t="s">
        <v>393</v>
      </c>
      <c r="B287" s="321">
        <v>5727517</v>
      </c>
      <c r="C287" s="321">
        <v>4693944</v>
      </c>
      <c r="D287" s="323">
        <v>22</v>
      </c>
      <c r="E287" s="322" t="s">
        <v>394</v>
      </c>
      <c r="F287" s="321">
        <v>16167777</v>
      </c>
      <c r="G287" s="321">
        <v>15768841</v>
      </c>
      <c r="H287" s="323">
        <v>3</v>
      </c>
    </row>
    <row r="288" spans="1:8" x14ac:dyDescent="0.6">
      <c r="A288" s="322" t="s">
        <v>395</v>
      </c>
      <c r="B288" s="321">
        <v>1500000</v>
      </c>
      <c r="C288" s="321">
        <v>1500000</v>
      </c>
      <c r="D288" s="323">
        <v>0</v>
      </c>
      <c r="E288" s="322" t="s">
        <v>396</v>
      </c>
      <c r="F288" s="321">
        <v>21060943</v>
      </c>
      <c r="G288" s="321">
        <v>15168774</v>
      </c>
      <c r="H288" s="323">
        <v>39</v>
      </c>
    </row>
    <row r="289" spans="1:8" x14ac:dyDescent="0.6">
      <c r="A289" s="322" t="s">
        <v>397</v>
      </c>
      <c r="B289" s="321">
        <v>18721514</v>
      </c>
      <c r="C289" s="321">
        <v>12584183</v>
      </c>
      <c r="D289" s="323">
        <v>49</v>
      </c>
      <c r="E289" s="322" t="s">
        <v>398</v>
      </c>
      <c r="F289" s="321">
        <v>2495253</v>
      </c>
      <c r="G289" s="321">
        <v>1695129</v>
      </c>
      <c r="H289" s="323">
        <v>47</v>
      </c>
    </row>
    <row r="290" spans="1:8" x14ac:dyDescent="0.6">
      <c r="A290" s="322" t="s">
        <v>399</v>
      </c>
      <c r="B290" s="321">
        <v>3348819</v>
      </c>
      <c r="C290" s="321">
        <v>3232630</v>
      </c>
      <c r="D290" s="323">
        <v>4</v>
      </c>
      <c r="E290" s="322" t="s">
        <v>400</v>
      </c>
      <c r="F290" s="321">
        <v>20023250</v>
      </c>
      <c r="G290" s="321">
        <v>3019277</v>
      </c>
      <c r="H290" s="323">
        <v>563</v>
      </c>
    </row>
    <row r="291" spans="1:8" x14ac:dyDescent="0.6">
      <c r="A291" s="322" t="s">
        <v>401</v>
      </c>
      <c r="B291" s="321">
        <v>41729762</v>
      </c>
      <c r="C291" s="321">
        <v>31424662</v>
      </c>
      <c r="D291" s="323">
        <v>33</v>
      </c>
      <c r="E291" s="322" t="s">
        <v>402</v>
      </c>
      <c r="F291" s="321">
        <v>10365665</v>
      </c>
      <c r="G291" s="321">
        <v>10391784</v>
      </c>
      <c r="H291" s="323">
        <v>0</v>
      </c>
    </row>
    <row r="292" spans="1:8" x14ac:dyDescent="0.6">
      <c r="A292" s="322" t="s">
        <v>403</v>
      </c>
      <c r="B292" s="321">
        <v>12644284</v>
      </c>
      <c r="C292" s="321">
        <v>13312826</v>
      </c>
      <c r="D292" s="323">
        <v>-5</v>
      </c>
      <c r="E292" s="322" t="s">
        <v>404</v>
      </c>
      <c r="F292" s="323">
        <v>0</v>
      </c>
      <c r="G292" s="323">
        <v>0</v>
      </c>
      <c r="H292" s="322" t="s">
        <v>405</v>
      </c>
    </row>
    <row r="293" spans="1:8" x14ac:dyDescent="0.6">
      <c r="A293" s="322" t="s">
        <v>406</v>
      </c>
      <c r="B293" s="323">
        <v>0</v>
      </c>
      <c r="C293" s="323">
        <v>0</v>
      </c>
      <c r="D293" s="322" t="s">
        <v>405</v>
      </c>
      <c r="E293" s="322" t="s">
        <v>407</v>
      </c>
      <c r="F293" s="321">
        <v>5142201</v>
      </c>
      <c r="G293" s="321">
        <v>4340785</v>
      </c>
      <c r="H293" s="323">
        <v>18</v>
      </c>
    </row>
    <row r="294" spans="1:8" x14ac:dyDescent="0.6">
      <c r="A294" s="322" t="s">
        <v>408</v>
      </c>
      <c r="B294" s="321">
        <v>83671896</v>
      </c>
      <c r="C294" s="321">
        <v>66748245</v>
      </c>
      <c r="D294" s="323">
        <v>25</v>
      </c>
      <c r="E294" s="322" t="s">
        <v>409</v>
      </c>
      <c r="F294" s="323">
        <v>0</v>
      </c>
      <c r="G294" s="323">
        <v>0</v>
      </c>
      <c r="H294" s="322" t="s">
        <v>405</v>
      </c>
    </row>
    <row r="295" spans="1:8" x14ac:dyDescent="0.6">
      <c r="A295" s="322" t="s">
        <v>410</v>
      </c>
      <c r="B295" s="322"/>
      <c r="C295" s="322"/>
      <c r="D295" s="322"/>
      <c r="E295" s="322" t="s">
        <v>411</v>
      </c>
      <c r="F295" s="321">
        <v>75255089</v>
      </c>
      <c r="G295" s="321">
        <v>50384590</v>
      </c>
      <c r="H295" s="323">
        <v>49</v>
      </c>
    </row>
    <row r="296" spans="1:8" x14ac:dyDescent="0.6">
      <c r="A296" s="322" t="s">
        <v>412</v>
      </c>
      <c r="B296" s="321">
        <v>4217452</v>
      </c>
      <c r="C296" s="321">
        <v>3647297</v>
      </c>
      <c r="D296" s="323">
        <v>16</v>
      </c>
      <c r="E296" s="322" t="s">
        <v>413</v>
      </c>
      <c r="F296" s="322"/>
      <c r="G296" s="322"/>
      <c r="H296" s="322"/>
    </row>
    <row r="297" spans="1:8" x14ac:dyDescent="0.6">
      <c r="A297" s="322" t="s">
        <v>414</v>
      </c>
      <c r="B297" s="321">
        <v>10051893</v>
      </c>
      <c r="C297" s="321">
        <v>10051893</v>
      </c>
      <c r="D297" s="323">
        <v>0</v>
      </c>
      <c r="E297" s="322" t="s">
        <v>415</v>
      </c>
      <c r="F297" s="323">
        <v>0</v>
      </c>
      <c r="G297" s="323">
        <v>0</v>
      </c>
      <c r="H297" s="322" t="s">
        <v>405</v>
      </c>
    </row>
    <row r="298" spans="1:8" x14ac:dyDescent="0.6">
      <c r="A298" s="322" t="s">
        <v>416</v>
      </c>
      <c r="B298" s="323">
        <v>0</v>
      </c>
      <c r="C298" s="323">
        <v>0</v>
      </c>
      <c r="D298" s="322" t="s">
        <v>405</v>
      </c>
      <c r="E298" s="322" t="s">
        <v>417</v>
      </c>
      <c r="F298" s="323">
        <v>0</v>
      </c>
      <c r="G298" s="323">
        <v>0</v>
      </c>
      <c r="H298" s="322" t="s">
        <v>405</v>
      </c>
    </row>
    <row r="299" spans="1:8" x14ac:dyDescent="0.6">
      <c r="A299" s="322" t="s">
        <v>418</v>
      </c>
      <c r="B299" s="321">
        <v>695882</v>
      </c>
      <c r="C299" s="321">
        <v>683954</v>
      </c>
      <c r="D299" s="323">
        <v>2</v>
      </c>
      <c r="E299" s="322" t="s">
        <v>419</v>
      </c>
      <c r="F299" s="323">
        <v>0</v>
      </c>
      <c r="G299" s="323">
        <v>0</v>
      </c>
      <c r="H299" s="322" t="s">
        <v>405</v>
      </c>
    </row>
    <row r="300" spans="1:8" x14ac:dyDescent="0.6">
      <c r="A300" s="322" t="s">
        <v>420</v>
      </c>
      <c r="B300" s="321">
        <v>22300518</v>
      </c>
      <c r="C300" s="321">
        <v>21650916</v>
      </c>
      <c r="D300" s="323">
        <v>3</v>
      </c>
      <c r="E300" s="322" t="s">
        <v>421</v>
      </c>
      <c r="F300" s="321">
        <v>1932697</v>
      </c>
      <c r="G300" s="321">
        <v>1706789</v>
      </c>
      <c r="H300" s="323">
        <v>13</v>
      </c>
    </row>
    <row r="301" spans="1:8" x14ac:dyDescent="0.6">
      <c r="A301" s="322" t="s">
        <v>422</v>
      </c>
      <c r="B301" s="321">
        <v>2700173</v>
      </c>
      <c r="C301" s="321">
        <v>3048187</v>
      </c>
      <c r="D301" s="323">
        <v>-11</v>
      </c>
      <c r="E301" s="322" t="s">
        <v>423</v>
      </c>
      <c r="F301" s="321">
        <v>1932697</v>
      </c>
      <c r="G301" s="321">
        <v>1706789</v>
      </c>
      <c r="H301" s="323">
        <v>13</v>
      </c>
    </row>
    <row r="302" spans="1:8" x14ac:dyDescent="0.6">
      <c r="A302" s="322" t="s">
        <v>424</v>
      </c>
      <c r="B302" s="321">
        <v>39965918</v>
      </c>
      <c r="C302" s="321">
        <v>39082247</v>
      </c>
      <c r="D302" s="323">
        <v>2</v>
      </c>
      <c r="E302" s="322" t="s">
        <v>425</v>
      </c>
      <c r="F302" s="321">
        <v>77187786</v>
      </c>
      <c r="G302" s="321">
        <v>52091379</v>
      </c>
      <c r="H302" s="323">
        <v>48</v>
      </c>
    </row>
    <row r="303" spans="1:8" x14ac:dyDescent="0.6">
      <c r="A303" s="322"/>
      <c r="B303" s="322"/>
      <c r="C303" s="322"/>
      <c r="D303" s="322"/>
      <c r="E303" s="322" t="s">
        <v>426</v>
      </c>
      <c r="F303" s="322"/>
      <c r="G303" s="322"/>
      <c r="H303" s="322"/>
    </row>
    <row r="304" spans="1:8" x14ac:dyDescent="0.6">
      <c r="A304" s="322"/>
      <c r="B304" s="322"/>
      <c r="C304" s="322"/>
      <c r="D304" s="322"/>
      <c r="E304" s="322" t="s">
        <v>84</v>
      </c>
      <c r="F304" s="321">
        <v>19048697</v>
      </c>
      <c r="G304" s="321">
        <v>19048697</v>
      </c>
      <c r="H304" s="323">
        <v>0</v>
      </c>
    </row>
    <row r="305" spans="1:8" x14ac:dyDescent="0.6">
      <c r="A305" s="322"/>
      <c r="B305" s="322"/>
      <c r="C305" s="322"/>
      <c r="D305" s="322"/>
      <c r="E305" s="322" t="s">
        <v>427</v>
      </c>
      <c r="F305" s="323">
        <v>0</v>
      </c>
      <c r="G305" s="323">
        <v>0</v>
      </c>
      <c r="H305" s="322" t="s">
        <v>405</v>
      </c>
    </row>
    <row r="306" spans="1:8" x14ac:dyDescent="0.6">
      <c r="A306" s="322"/>
      <c r="B306" s="322"/>
      <c r="C306" s="322"/>
      <c r="D306" s="322"/>
      <c r="E306" s="322" t="s">
        <v>428</v>
      </c>
      <c r="F306" s="323">
        <v>0</v>
      </c>
      <c r="G306" s="323">
        <v>0</v>
      </c>
      <c r="H306" s="322" t="s">
        <v>405</v>
      </c>
    </row>
    <row r="307" spans="1:8" x14ac:dyDescent="0.6">
      <c r="A307" s="322"/>
      <c r="B307" s="322"/>
      <c r="C307" s="322"/>
      <c r="D307" s="322"/>
      <c r="E307" s="322" t="s">
        <v>429</v>
      </c>
      <c r="F307" s="323">
        <v>0</v>
      </c>
      <c r="G307" s="323">
        <v>0</v>
      </c>
      <c r="H307" s="322" t="s">
        <v>405</v>
      </c>
    </row>
    <row r="308" spans="1:8" x14ac:dyDescent="0.6">
      <c r="A308" s="322"/>
      <c r="B308" s="322"/>
      <c r="C308" s="322"/>
      <c r="D308" s="322"/>
      <c r="E308" s="322" t="s">
        <v>430</v>
      </c>
      <c r="F308" s="321">
        <v>1904870</v>
      </c>
      <c r="G308" s="321">
        <v>1904870</v>
      </c>
      <c r="H308" s="323">
        <v>0</v>
      </c>
    </row>
    <row r="309" spans="1:8" x14ac:dyDescent="0.6">
      <c r="A309" s="322"/>
      <c r="B309" s="322"/>
      <c r="C309" s="322"/>
      <c r="D309" s="322"/>
      <c r="E309" s="322" t="s">
        <v>431</v>
      </c>
      <c r="F309" s="321">
        <v>43798</v>
      </c>
      <c r="G309" s="321">
        <v>43798</v>
      </c>
      <c r="H309" s="323">
        <v>0</v>
      </c>
    </row>
    <row r="310" spans="1:8" x14ac:dyDescent="0.6">
      <c r="A310" s="322"/>
      <c r="B310" s="322"/>
      <c r="C310" s="322"/>
      <c r="D310" s="322"/>
      <c r="E310" s="322" t="s">
        <v>432</v>
      </c>
      <c r="F310" s="323">
        <v>0</v>
      </c>
      <c r="G310" s="323">
        <v>0</v>
      </c>
      <c r="H310" s="322" t="s">
        <v>405</v>
      </c>
    </row>
    <row r="311" spans="1:8" x14ac:dyDescent="0.6">
      <c r="A311" s="322"/>
      <c r="B311" s="322"/>
      <c r="C311" s="322"/>
      <c r="D311" s="322"/>
      <c r="E311" s="322" t="s">
        <v>433</v>
      </c>
      <c r="F311" s="323">
        <v>0</v>
      </c>
      <c r="G311" s="323">
        <v>0</v>
      </c>
      <c r="H311" s="322" t="s">
        <v>405</v>
      </c>
    </row>
    <row r="312" spans="1:8" x14ac:dyDescent="0.6">
      <c r="A312" s="322"/>
      <c r="B312" s="322"/>
      <c r="C312" s="322"/>
      <c r="D312" s="322"/>
      <c r="E312" s="322" t="s">
        <v>434</v>
      </c>
      <c r="F312" s="323">
        <v>0</v>
      </c>
      <c r="G312" s="323">
        <v>0</v>
      </c>
      <c r="H312" s="322" t="s">
        <v>405</v>
      </c>
    </row>
    <row r="313" spans="1:8" x14ac:dyDescent="0.6">
      <c r="A313" s="322"/>
      <c r="B313" s="322"/>
      <c r="C313" s="322"/>
      <c r="D313" s="322"/>
      <c r="E313" s="322" t="s">
        <v>435</v>
      </c>
      <c r="F313" s="323">
        <v>0</v>
      </c>
      <c r="G313" s="323">
        <v>0</v>
      </c>
      <c r="H313" s="322" t="s">
        <v>405</v>
      </c>
    </row>
    <row r="314" spans="1:8" x14ac:dyDescent="0.6">
      <c r="A314" s="322"/>
      <c r="B314" s="322"/>
      <c r="C314" s="322"/>
      <c r="D314" s="322"/>
      <c r="E314" s="322" t="s">
        <v>436</v>
      </c>
      <c r="F314" s="321">
        <v>25452663</v>
      </c>
      <c r="G314" s="321">
        <v>32741748</v>
      </c>
      <c r="H314" s="323">
        <v>-22</v>
      </c>
    </row>
    <row r="315" spans="1:8" x14ac:dyDescent="0.6">
      <c r="A315" s="322"/>
      <c r="B315" s="322"/>
      <c r="C315" s="322"/>
      <c r="D315" s="322"/>
      <c r="E315" s="322" t="s">
        <v>437</v>
      </c>
      <c r="F315" s="321">
        <v>46450028</v>
      </c>
      <c r="G315" s="321">
        <v>53739113</v>
      </c>
      <c r="H315" s="323">
        <v>-14</v>
      </c>
    </row>
    <row r="316" spans="1:8" x14ac:dyDescent="0.6">
      <c r="A316" s="322" t="s">
        <v>438</v>
      </c>
      <c r="B316" s="321">
        <v>123637814</v>
      </c>
      <c r="C316" s="321">
        <v>105830492</v>
      </c>
      <c r="D316" s="323">
        <v>17</v>
      </c>
      <c r="E316" s="322" t="s">
        <v>439</v>
      </c>
      <c r="F316" s="321">
        <v>123637814</v>
      </c>
      <c r="G316" s="321">
        <v>105830492</v>
      </c>
      <c r="H316" s="323">
        <v>17</v>
      </c>
    </row>
    <row r="317" spans="1:8" ht="23.25" thickBot="1" x14ac:dyDescent="0.65"/>
    <row r="318" spans="1:8" ht="25.5" x14ac:dyDescent="0.7">
      <c r="A318" s="640" t="s">
        <v>59</v>
      </c>
      <c r="B318" s="641" t="s">
        <v>81</v>
      </c>
      <c r="C318" s="641" t="s">
        <v>80</v>
      </c>
      <c r="D318" s="641" t="s">
        <v>79</v>
      </c>
      <c r="E318" s="641" t="s">
        <v>78</v>
      </c>
      <c r="F318" s="641" t="s">
        <v>74</v>
      </c>
      <c r="G318" s="641" t="s">
        <v>70</v>
      </c>
      <c r="H318" s="642" t="s">
        <v>69</v>
      </c>
    </row>
    <row r="319" spans="1:8" ht="26.25" thickBot="1" x14ac:dyDescent="0.75">
      <c r="A319" s="643" t="s">
        <v>437</v>
      </c>
      <c r="B319" s="644">
        <v>24924487</v>
      </c>
      <c r="C319" s="644">
        <v>20791992</v>
      </c>
      <c r="D319" s="645">
        <v>13312071</v>
      </c>
      <c r="E319" s="645">
        <v>23899189</v>
      </c>
      <c r="F319" s="645">
        <v>33042744</v>
      </c>
      <c r="G319" s="645">
        <v>53739113</v>
      </c>
      <c r="H319" s="646">
        <v>46450028</v>
      </c>
    </row>
    <row r="324" spans="1:30" x14ac:dyDescent="0.6">
      <c r="A324" s="629" t="s">
        <v>349</v>
      </c>
      <c r="B324" s="629" t="s">
        <v>350</v>
      </c>
      <c r="C324" s="629" t="s">
        <v>351</v>
      </c>
      <c r="D324" s="629" t="s">
        <v>473</v>
      </c>
      <c r="E324" s="629" t="s">
        <v>352</v>
      </c>
      <c r="F324" s="629" t="s">
        <v>353</v>
      </c>
      <c r="G324" s="629" t="s">
        <v>354</v>
      </c>
      <c r="H324" s="629" t="s">
        <v>355</v>
      </c>
      <c r="I324" s="629" t="s">
        <v>356</v>
      </c>
      <c r="J324" s="629" t="s">
        <v>357</v>
      </c>
      <c r="K324" s="629" t="s">
        <v>358</v>
      </c>
      <c r="L324" s="629" t="s">
        <v>359</v>
      </c>
      <c r="M324" s="629" t="s">
        <v>360</v>
      </c>
      <c r="N324" s="629" t="s">
        <v>361</v>
      </c>
      <c r="O324" s="635" t="s">
        <v>453</v>
      </c>
      <c r="Q324" s="629" t="s">
        <v>368</v>
      </c>
      <c r="R324" s="629" t="s">
        <v>369</v>
      </c>
      <c r="S324" s="629" t="s">
        <v>370</v>
      </c>
      <c r="T324" s="629" t="s">
        <v>371</v>
      </c>
      <c r="U324" s="629" t="s">
        <v>372</v>
      </c>
      <c r="V324" s="629" t="s">
        <v>373</v>
      </c>
      <c r="W324" s="629" t="s">
        <v>374</v>
      </c>
      <c r="X324" s="629" t="s">
        <v>375</v>
      </c>
      <c r="Y324" s="629" t="s">
        <v>376</v>
      </c>
      <c r="Z324" s="629" t="s">
        <v>377</v>
      </c>
      <c r="AA324" s="629" t="s">
        <v>378</v>
      </c>
      <c r="AB324" s="629" t="s">
        <v>379</v>
      </c>
      <c r="AC324" s="629" t="s">
        <v>380</v>
      </c>
      <c r="AD324" s="629" t="s">
        <v>361</v>
      </c>
    </row>
    <row r="325" spans="1:30" s="235" customFormat="1" x14ac:dyDescent="0.6">
      <c r="A325" s="629" t="s">
        <v>259</v>
      </c>
      <c r="B325" s="630">
        <v>225629</v>
      </c>
      <c r="C325" s="630">
        <v>227711</v>
      </c>
      <c r="D325" s="630">
        <v>218577</v>
      </c>
      <c r="E325" s="630">
        <v>207499</v>
      </c>
      <c r="F325" s="630">
        <v>217390</v>
      </c>
      <c r="G325" s="630">
        <v>166702</v>
      </c>
      <c r="H325" s="630">
        <v>0</v>
      </c>
      <c r="I325" s="630">
        <v>0</v>
      </c>
      <c r="J325" s="630">
        <v>0</v>
      </c>
      <c r="K325" s="630">
        <v>0</v>
      </c>
      <c r="L325" s="630">
        <v>0</v>
      </c>
      <c r="M325" s="630">
        <v>0</v>
      </c>
      <c r="N325" s="630">
        <f>SUM(B325:M325)</f>
        <v>1263508</v>
      </c>
      <c r="O325" s="718">
        <f>SUM(R325:W325)</f>
        <v>1103839</v>
      </c>
      <c r="Q325" s="629" t="s">
        <v>259</v>
      </c>
      <c r="R325" s="630">
        <v>174508</v>
      </c>
      <c r="S325" s="630">
        <v>173326</v>
      </c>
      <c r="T325" s="630">
        <v>185048</v>
      </c>
      <c r="U325" s="630">
        <v>172745</v>
      </c>
      <c r="V325" s="630">
        <v>169258</v>
      </c>
      <c r="W325" s="630">
        <v>228954</v>
      </c>
      <c r="X325" s="630">
        <v>211117</v>
      </c>
      <c r="Y325" s="630">
        <v>204136</v>
      </c>
      <c r="Z325" s="630">
        <v>234946</v>
      </c>
      <c r="AA325" s="630">
        <v>241329</v>
      </c>
      <c r="AB325" s="630">
        <v>231479</v>
      </c>
      <c r="AC325" s="630">
        <v>226884</v>
      </c>
      <c r="AD325" s="630">
        <v>2453730</v>
      </c>
    </row>
    <row r="326" spans="1:30" s="235" customFormat="1" x14ac:dyDescent="0.6">
      <c r="A326" s="629" t="s">
        <v>258</v>
      </c>
      <c r="B326" s="630">
        <v>100273</v>
      </c>
      <c r="C326" s="630">
        <v>92200</v>
      </c>
      <c r="D326" s="630">
        <v>115733</v>
      </c>
      <c r="E326" s="630">
        <v>115328</v>
      </c>
      <c r="F326" s="630">
        <v>87729</v>
      </c>
      <c r="G326" s="630">
        <v>126036</v>
      </c>
      <c r="H326" s="630">
        <v>0</v>
      </c>
      <c r="I326" s="630">
        <v>0</v>
      </c>
      <c r="J326" s="630">
        <v>0</v>
      </c>
      <c r="K326" s="630">
        <v>0</v>
      </c>
      <c r="L326" s="630">
        <v>0</v>
      </c>
      <c r="M326" s="630">
        <v>0</v>
      </c>
      <c r="N326" s="630">
        <f t="shared" ref="N326:N328" si="69">SUM(B326:M326)</f>
        <v>637299</v>
      </c>
      <c r="O326" s="718">
        <f t="shared" ref="O326:O328" si="70">SUM(R326:W326)</f>
        <v>805872</v>
      </c>
      <c r="Q326" s="629" t="s">
        <v>258</v>
      </c>
      <c r="R326" s="630">
        <v>168353</v>
      </c>
      <c r="S326" s="630">
        <v>142586</v>
      </c>
      <c r="T326" s="630">
        <v>132612</v>
      </c>
      <c r="U326" s="630">
        <v>131233</v>
      </c>
      <c r="V326" s="630">
        <v>143032</v>
      </c>
      <c r="W326" s="630">
        <v>88056</v>
      </c>
      <c r="X326" s="630">
        <v>84544</v>
      </c>
      <c r="Y326" s="630">
        <v>101790</v>
      </c>
      <c r="Z326" s="630">
        <v>93605</v>
      </c>
      <c r="AA326" s="630">
        <v>86266</v>
      </c>
      <c r="AB326" s="630">
        <v>107235</v>
      </c>
      <c r="AC326" s="630">
        <v>89557</v>
      </c>
      <c r="AD326" s="630">
        <v>1368869</v>
      </c>
    </row>
    <row r="327" spans="1:30" s="235" customFormat="1" x14ac:dyDescent="0.6">
      <c r="A327" s="629" t="s">
        <v>225</v>
      </c>
      <c r="B327" s="630">
        <v>0</v>
      </c>
      <c r="C327" s="630">
        <v>0</v>
      </c>
      <c r="D327" s="630">
        <v>0</v>
      </c>
      <c r="E327" s="630">
        <v>537712</v>
      </c>
      <c r="F327" s="630">
        <v>538739</v>
      </c>
      <c r="G327" s="630">
        <v>509808</v>
      </c>
      <c r="H327" s="630">
        <v>0</v>
      </c>
      <c r="I327" s="630">
        <v>0</v>
      </c>
      <c r="J327" s="630">
        <v>0</v>
      </c>
      <c r="K327" s="630">
        <v>0</v>
      </c>
      <c r="L327" s="630">
        <v>0</v>
      </c>
      <c r="M327" s="630">
        <v>0</v>
      </c>
      <c r="N327" s="630">
        <f t="shared" si="69"/>
        <v>1586259</v>
      </c>
      <c r="O327" s="718">
        <f t="shared" si="70"/>
        <v>3435913</v>
      </c>
      <c r="Q327" s="629" t="s">
        <v>225</v>
      </c>
      <c r="R327" s="630">
        <v>611534</v>
      </c>
      <c r="S327" s="630">
        <v>575632</v>
      </c>
      <c r="T327" s="630">
        <v>555925</v>
      </c>
      <c r="U327" s="630">
        <v>563378</v>
      </c>
      <c r="V327" s="630">
        <v>564943</v>
      </c>
      <c r="W327" s="630">
        <v>564501</v>
      </c>
      <c r="X327" s="630">
        <v>332481</v>
      </c>
      <c r="Y327" s="630">
        <v>366569</v>
      </c>
      <c r="Z327" s="630">
        <v>568056</v>
      </c>
      <c r="AA327" s="630">
        <v>561948</v>
      </c>
      <c r="AB327" s="630">
        <v>522858</v>
      </c>
      <c r="AC327" s="630">
        <v>527129</v>
      </c>
      <c r="AD327" s="630">
        <v>6314954</v>
      </c>
    </row>
    <row r="328" spans="1:30" s="235" customFormat="1" x14ac:dyDescent="0.6">
      <c r="A328" s="629" t="s">
        <v>335</v>
      </c>
      <c r="B328" s="630">
        <v>0</v>
      </c>
      <c r="C328" s="630">
        <v>0</v>
      </c>
      <c r="D328" s="630">
        <v>0</v>
      </c>
      <c r="E328" s="630">
        <v>0</v>
      </c>
      <c r="F328" s="630">
        <v>0</v>
      </c>
      <c r="G328" s="630">
        <v>0</v>
      </c>
      <c r="H328" s="630">
        <v>0</v>
      </c>
      <c r="I328" s="630">
        <v>0</v>
      </c>
      <c r="J328" s="630">
        <v>0</v>
      </c>
      <c r="K328" s="630">
        <v>0</v>
      </c>
      <c r="L328" s="630">
        <v>0</v>
      </c>
      <c r="M328" s="630">
        <v>0</v>
      </c>
      <c r="N328" s="630">
        <f t="shared" si="69"/>
        <v>0</v>
      </c>
      <c r="O328" s="718">
        <f t="shared" si="70"/>
        <v>1909711</v>
      </c>
      <c r="R328" s="235">
        <f>R326+R325</f>
        <v>342861</v>
      </c>
      <c r="S328" s="235">
        <f t="shared" ref="S328:AC328" si="71">S326+S325</f>
        <v>315912</v>
      </c>
      <c r="T328" s="235">
        <f t="shared" si="71"/>
        <v>317660</v>
      </c>
      <c r="U328" s="235">
        <f t="shared" si="71"/>
        <v>303978</v>
      </c>
      <c r="V328" s="235">
        <f t="shared" si="71"/>
        <v>312290</v>
      </c>
      <c r="W328" s="235">
        <f t="shared" si="71"/>
        <v>317010</v>
      </c>
      <c r="X328" s="235">
        <f t="shared" si="71"/>
        <v>295661</v>
      </c>
      <c r="Y328" s="235">
        <f t="shared" si="71"/>
        <v>305926</v>
      </c>
      <c r="Z328" s="235">
        <f t="shared" si="71"/>
        <v>328551</v>
      </c>
      <c r="AA328" s="235">
        <f t="shared" si="71"/>
        <v>327595</v>
      </c>
      <c r="AB328" s="235">
        <f t="shared" si="71"/>
        <v>338714</v>
      </c>
      <c r="AC328" s="235">
        <f t="shared" si="71"/>
        <v>316441</v>
      </c>
    </row>
    <row r="329" spans="1:30" s="235" customFormat="1" x14ac:dyDescent="0.6">
      <c r="B329" s="235">
        <f>B326+B325</f>
        <v>325902</v>
      </c>
      <c r="C329" s="235">
        <f t="shared" ref="C329:G329" si="72">C326+C325</f>
        <v>319911</v>
      </c>
      <c r="D329" s="235">
        <f t="shared" si="72"/>
        <v>334310</v>
      </c>
      <c r="E329" s="235">
        <f t="shared" si="72"/>
        <v>322827</v>
      </c>
      <c r="F329" s="235">
        <f t="shared" si="72"/>
        <v>305119</v>
      </c>
      <c r="G329" s="235">
        <f t="shared" si="72"/>
        <v>292738</v>
      </c>
      <c r="N329" s="235">
        <f>N326+N325</f>
        <v>1900807</v>
      </c>
      <c r="O329" s="718">
        <f>O326+O325</f>
        <v>1909711</v>
      </c>
    </row>
    <row r="331" spans="1:30" x14ac:dyDescent="0.6">
      <c r="A331" s="628" t="s">
        <v>362</v>
      </c>
      <c r="B331" s="628" t="s">
        <v>350</v>
      </c>
      <c r="C331" s="628" t="s">
        <v>351</v>
      </c>
      <c r="D331" s="628" t="s">
        <v>473</v>
      </c>
      <c r="E331" s="628" t="s">
        <v>352</v>
      </c>
      <c r="F331" s="628" t="s">
        <v>353</v>
      </c>
      <c r="G331" s="628" t="s">
        <v>354</v>
      </c>
      <c r="H331" s="628" t="s">
        <v>355</v>
      </c>
      <c r="I331" s="628" t="s">
        <v>356</v>
      </c>
      <c r="J331" s="628" t="s">
        <v>357</v>
      </c>
      <c r="K331" s="628" t="s">
        <v>358</v>
      </c>
      <c r="L331" s="628" t="s">
        <v>359</v>
      </c>
      <c r="M331" s="628" t="s">
        <v>360</v>
      </c>
      <c r="N331" s="628" t="s">
        <v>361</v>
      </c>
      <c r="O331" s="635" t="s">
        <v>453</v>
      </c>
      <c r="Q331" s="628" t="s">
        <v>381</v>
      </c>
      <c r="R331" s="628" t="s">
        <v>369</v>
      </c>
      <c r="S331" s="628" t="s">
        <v>370</v>
      </c>
      <c r="T331" s="628" t="s">
        <v>371</v>
      </c>
      <c r="U331" s="628" t="s">
        <v>372</v>
      </c>
      <c r="V331" s="628" t="s">
        <v>373</v>
      </c>
      <c r="W331" s="628" t="s">
        <v>374</v>
      </c>
      <c r="X331" s="628" t="s">
        <v>375</v>
      </c>
      <c r="Y331" s="628" t="s">
        <v>376</v>
      </c>
      <c r="Z331" s="628" t="s">
        <v>377</v>
      </c>
      <c r="AA331" s="628" t="s">
        <v>378</v>
      </c>
      <c r="AB331" s="628" t="s">
        <v>379</v>
      </c>
      <c r="AC331" s="628" t="s">
        <v>380</v>
      </c>
      <c r="AD331" s="628" t="s">
        <v>361</v>
      </c>
    </row>
    <row r="332" spans="1:30" s="349" customFormat="1" x14ac:dyDescent="0.6">
      <c r="A332" s="628" t="s">
        <v>259</v>
      </c>
      <c r="B332" s="631">
        <v>52235</v>
      </c>
      <c r="C332" s="631">
        <v>123910</v>
      </c>
      <c r="D332" s="631">
        <v>91857</v>
      </c>
      <c r="E332" s="631">
        <v>89138</v>
      </c>
      <c r="F332" s="631">
        <v>109284</v>
      </c>
      <c r="G332" s="631">
        <v>111195</v>
      </c>
      <c r="H332" s="631">
        <v>0</v>
      </c>
      <c r="I332" s="631">
        <v>0</v>
      </c>
      <c r="J332" s="631">
        <v>0</v>
      </c>
      <c r="K332" s="631">
        <v>0</v>
      </c>
      <c r="L332" s="631">
        <v>0</v>
      </c>
      <c r="M332" s="631">
        <v>0</v>
      </c>
      <c r="N332" s="631">
        <v>577619</v>
      </c>
      <c r="O332" s="712">
        <f>SUM(R332:W332)</f>
        <v>409845</v>
      </c>
      <c r="Q332" s="628" t="s">
        <v>259</v>
      </c>
      <c r="R332" s="631">
        <v>17170</v>
      </c>
      <c r="S332" s="631">
        <v>50210</v>
      </c>
      <c r="T332" s="631">
        <v>54284</v>
      </c>
      <c r="U332" s="631">
        <v>73153</v>
      </c>
      <c r="V332" s="631">
        <v>93429</v>
      </c>
      <c r="W332" s="631">
        <v>121599</v>
      </c>
      <c r="X332" s="631">
        <v>37174</v>
      </c>
      <c r="Y332" s="631">
        <v>98535</v>
      </c>
      <c r="Z332" s="631">
        <v>77079</v>
      </c>
      <c r="AA332" s="631">
        <v>59564</v>
      </c>
      <c r="AB332" s="631">
        <v>112485</v>
      </c>
      <c r="AC332" s="631">
        <v>134999</v>
      </c>
      <c r="AD332" s="631">
        <v>929681</v>
      </c>
    </row>
    <row r="333" spans="1:30" s="349" customFormat="1" x14ac:dyDescent="0.6">
      <c r="A333" s="628" t="s">
        <v>258</v>
      </c>
      <c r="B333" s="631">
        <v>28565</v>
      </c>
      <c r="C333" s="631">
        <v>78150</v>
      </c>
      <c r="D333" s="631">
        <v>71048</v>
      </c>
      <c r="E333" s="631">
        <v>83665</v>
      </c>
      <c r="F333" s="631">
        <v>62902</v>
      </c>
      <c r="G333" s="631">
        <v>70603</v>
      </c>
      <c r="H333" s="631">
        <v>0</v>
      </c>
      <c r="I333" s="631">
        <v>0</v>
      </c>
      <c r="J333" s="631">
        <v>0</v>
      </c>
      <c r="K333" s="631">
        <v>0</v>
      </c>
      <c r="L333" s="631">
        <v>0</v>
      </c>
      <c r="M333" s="631">
        <v>0</v>
      </c>
      <c r="N333" s="631">
        <v>394933</v>
      </c>
      <c r="O333" s="712">
        <f t="shared" ref="O333:O337" si="73">SUM(R333:W333)</f>
        <v>273399</v>
      </c>
      <c r="Q333" s="628" t="s">
        <v>258</v>
      </c>
      <c r="R333" s="631">
        <v>25134</v>
      </c>
      <c r="S333" s="631">
        <v>38352</v>
      </c>
      <c r="T333" s="631">
        <v>31472</v>
      </c>
      <c r="U333" s="631">
        <v>44097</v>
      </c>
      <c r="V333" s="631">
        <v>69756</v>
      </c>
      <c r="W333" s="631">
        <v>64588</v>
      </c>
      <c r="X333" s="631">
        <v>43542</v>
      </c>
      <c r="Y333" s="631">
        <v>58014</v>
      </c>
      <c r="Z333" s="631">
        <v>26895</v>
      </c>
      <c r="AA333" s="631">
        <v>78289</v>
      </c>
      <c r="AB333" s="631">
        <v>120624</v>
      </c>
      <c r="AC333" s="631">
        <v>58634</v>
      </c>
      <c r="AD333" s="631">
        <v>659397</v>
      </c>
    </row>
    <row r="334" spans="1:30" s="349" customFormat="1" x14ac:dyDescent="0.6">
      <c r="A334" s="628" t="s">
        <v>257</v>
      </c>
      <c r="B334" s="631">
        <v>174416</v>
      </c>
      <c r="C334" s="631">
        <v>140279</v>
      </c>
      <c r="D334" s="631">
        <v>93928</v>
      </c>
      <c r="E334" s="631">
        <v>163465</v>
      </c>
      <c r="F334" s="631">
        <v>113647</v>
      </c>
      <c r="G334" s="631">
        <v>72394</v>
      </c>
      <c r="H334" s="631">
        <v>0</v>
      </c>
      <c r="I334" s="631">
        <v>0</v>
      </c>
      <c r="J334" s="631">
        <v>0</v>
      </c>
      <c r="K334" s="631">
        <v>0</v>
      </c>
      <c r="L334" s="631">
        <v>0</v>
      </c>
      <c r="M334" s="631">
        <v>0</v>
      </c>
      <c r="N334" s="631">
        <v>758129</v>
      </c>
      <c r="O334" s="712">
        <f t="shared" si="73"/>
        <v>637806</v>
      </c>
      <c r="Q334" s="628" t="s">
        <v>257</v>
      </c>
      <c r="R334" s="631">
        <v>128818</v>
      </c>
      <c r="S334" s="631">
        <v>152690</v>
      </c>
      <c r="T334" s="631">
        <v>130376</v>
      </c>
      <c r="U334" s="631">
        <v>141665</v>
      </c>
      <c r="V334" s="631">
        <v>26820</v>
      </c>
      <c r="W334" s="631">
        <v>57437</v>
      </c>
      <c r="X334" s="631">
        <v>111579</v>
      </c>
      <c r="Y334" s="631">
        <v>160646</v>
      </c>
      <c r="Z334" s="631">
        <v>138994</v>
      </c>
      <c r="AA334" s="631">
        <v>123405</v>
      </c>
      <c r="AB334" s="631">
        <v>130050</v>
      </c>
      <c r="AC334" s="631">
        <v>153024</v>
      </c>
      <c r="AD334" s="631">
        <v>1455504</v>
      </c>
    </row>
    <row r="335" spans="1:30" s="349" customFormat="1" x14ac:dyDescent="0.6">
      <c r="A335" s="628" t="s">
        <v>256</v>
      </c>
      <c r="B335" s="631">
        <v>84044</v>
      </c>
      <c r="C335" s="631">
        <v>0</v>
      </c>
      <c r="D335" s="631">
        <v>56640</v>
      </c>
      <c r="E335" s="631">
        <v>0</v>
      </c>
      <c r="F335" s="631">
        <v>61125</v>
      </c>
      <c r="G335" s="631">
        <v>41441</v>
      </c>
      <c r="H335" s="631">
        <v>0</v>
      </c>
      <c r="I335" s="631">
        <v>0</v>
      </c>
      <c r="J335" s="631">
        <v>0</v>
      </c>
      <c r="K335" s="631">
        <v>0</v>
      </c>
      <c r="L335" s="631">
        <v>0</v>
      </c>
      <c r="M335" s="631">
        <v>0</v>
      </c>
      <c r="N335" s="631">
        <v>243250</v>
      </c>
      <c r="O335" s="712">
        <f t="shared" si="73"/>
        <v>559923</v>
      </c>
      <c r="Q335" s="628" t="s">
        <v>256</v>
      </c>
      <c r="R335" s="631">
        <v>2994</v>
      </c>
      <c r="S335" s="631">
        <v>206780</v>
      </c>
      <c r="T335" s="631">
        <v>142638</v>
      </c>
      <c r="U335" s="631">
        <v>53046</v>
      </c>
      <c r="V335" s="631">
        <v>124638</v>
      </c>
      <c r="W335" s="631">
        <v>29827</v>
      </c>
      <c r="X335" s="631">
        <v>31425</v>
      </c>
      <c r="Y335" s="631">
        <v>23796</v>
      </c>
      <c r="Z335" s="631">
        <v>0</v>
      </c>
      <c r="AA335" s="631">
        <v>52566</v>
      </c>
      <c r="AB335" s="631">
        <v>29337</v>
      </c>
      <c r="AC335" s="631">
        <v>30500</v>
      </c>
      <c r="AD335" s="631">
        <v>727547</v>
      </c>
    </row>
    <row r="336" spans="1:30" s="349" customFormat="1" x14ac:dyDescent="0.6">
      <c r="A336" s="628" t="s">
        <v>225</v>
      </c>
      <c r="B336" s="631">
        <v>0</v>
      </c>
      <c r="C336" s="631">
        <v>0</v>
      </c>
      <c r="D336" s="631">
        <v>0</v>
      </c>
      <c r="E336" s="631">
        <v>31652</v>
      </c>
      <c r="F336" s="631">
        <v>32060</v>
      </c>
      <c r="G336" s="631">
        <v>29486</v>
      </c>
      <c r="H336" s="631">
        <v>0</v>
      </c>
      <c r="I336" s="631">
        <v>0</v>
      </c>
      <c r="J336" s="631">
        <v>0</v>
      </c>
      <c r="K336" s="631">
        <v>0</v>
      </c>
      <c r="L336" s="631">
        <v>0</v>
      </c>
      <c r="M336" s="631">
        <v>0</v>
      </c>
      <c r="N336" s="631">
        <v>93198</v>
      </c>
      <c r="O336" s="712">
        <f t="shared" si="73"/>
        <v>289946</v>
      </c>
      <c r="Q336" s="628" t="s">
        <v>225</v>
      </c>
      <c r="R336" s="631">
        <v>26020</v>
      </c>
      <c r="S336" s="631">
        <v>29917</v>
      </c>
      <c r="T336" s="631">
        <v>45082</v>
      </c>
      <c r="U336" s="631">
        <v>72686</v>
      </c>
      <c r="V336" s="631">
        <v>51952</v>
      </c>
      <c r="W336" s="631">
        <v>64289</v>
      </c>
      <c r="X336" s="631">
        <v>56428</v>
      </c>
      <c r="Y336" s="631">
        <v>70796</v>
      </c>
      <c r="Z336" s="631">
        <v>28742</v>
      </c>
      <c r="AA336" s="631">
        <v>30601</v>
      </c>
      <c r="AB336" s="631">
        <v>30741</v>
      </c>
      <c r="AC336" s="631">
        <v>15927</v>
      </c>
      <c r="AD336" s="631">
        <v>523181</v>
      </c>
    </row>
    <row r="337" spans="1:30" s="349" customFormat="1" x14ac:dyDescent="0.6">
      <c r="A337" s="628" t="s">
        <v>335</v>
      </c>
      <c r="B337" s="631">
        <v>0</v>
      </c>
      <c r="C337" s="631">
        <v>0</v>
      </c>
      <c r="D337" s="631">
        <v>0</v>
      </c>
      <c r="E337" s="631">
        <v>0</v>
      </c>
      <c r="F337" s="631">
        <v>0</v>
      </c>
      <c r="G337" s="631">
        <v>18248</v>
      </c>
      <c r="H337" s="631">
        <v>0</v>
      </c>
      <c r="I337" s="631">
        <v>0</v>
      </c>
      <c r="J337" s="631">
        <v>0</v>
      </c>
      <c r="K337" s="631">
        <v>0</v>
      </c>
      <c r="L337" s="631">
        <v>0</v>
      </c>
      <c r="M337" s="631">
        <v>0</v>
      </c>
      <c r="N337" s="631">
        <v>18248</v>
      </c>
      <c r="O337" s="712">
        <f t="shared" si="73"/>
        <v>2170919</v>
      </c>
      <c r="R337" s="349">
        <f>SUM(R332:R336)</f>
        <v>200136</v>
      </c>
      <c r="S337" s="349">
        <f t="shared" ref="S337:AC337" si="74">SUM(S332:S336)</f>
        <v>477949</v>
      </c>
      <c r="T337" s="349">
        <f t="shared" si="74"/>
        <v>403852</v>
      </c>
      <c r="U337" s="349">
        <f t="shared" si="74"/>
        <v>384647</v>
      </c>
      <c r="V337" s="349">
        <f t="shared" si="74"/>
        <v>366595</v>
      </c>
      <c r="W337" s="349">
        <f t="shared" si="74"/>
        <v>337740</v>
      </c>
      <c r="X337" s="349">
        <f t="shared" si="74"/>
        <v>280148</v>
      </c>
      <c r="Y337" s="349">
        <f t="shared" si="74"/>
        <v>411787</v>
      </c>
      <c r="Z337" s="349">
        <f t="shared" si="74"/>
        <v>271710</v>
      </c>
      <c r="AA337" s="349">
        <f t="shared" si="74"/>
        <v>344425</v>
      </c>
      <c r="AB337" s="349">
        <f t="shared" si="74"/>
        <v>423237</v>
      </c>
      <c r="AC337" s="349">
        <f t="shared" si="74"/>
        <v>393084</v>
      </c>
    </row>
    <row r="338" spans="1:30" s="349" customFormat="1" x14ac:dyDescent="0.6">
      <c r="B338" s="349">
        <f>SUM(B332:B337)</f>
        <v>339260</v>
      </c>
      <c r="C338" s="349">
        <f t="shared" ref="C338:G338" si="75">SUM(C332:C337)</f>
        <v>342339</v>
      </c>
      <c r="D338" s="349">
        <f t="shared" si="75"/>
        <v>313473</v>
      </c>
      <c r="E338" s="349">
        <f t="shared" si="75"/>
        <v>367920</v>
      </c>
      <c r="F338" s="349">
        <f t="shared" si="75"/>
        <v>379018</v>
      </c>
      <c r="G338" s="349">
        <f t="shared" si="75"/>
        <v>343367</v>
      </c>
      <c r="N338" s="349">
        <f>SUM(N332:N335)</f>
        <v>1973931</v>
      </c>
      <c r="O338" s="712">
        <f>SUM(O332:O335)</f>
        <v>1880973</v>
      </c>
    </row>
    <row r="339" spans="1:30" s="349" customFormat="1" x14ac:dyDescent="0.6"/>
    <row r="340" spans="1:30" x14ac:dyDescent="0.6">
      <c r="A340" s="627" t="s">
        <v>363</v>
      </c>
      <c r="B340" s="627" t="s">
        <v>350</v>
      </c>
      <c r="C340" s="627" t="s">
        <v>351</v>
      </c>
      <c r="D340" s="627" t="s">
        <v>473</v>
      </c>
      <c r="E340" s="627" t="s">
        <v>352</v>
      </c>
      <c r="F340" s="627" t="s">
        <v>353</v>
      </c>
      <c r="G340" s="627" t="s">
        <v>354</v>
      </c>
      <c r="H340" s="627" t="s">
        <v>355</v>
      </c>
      <c r="I340" s="627" t="s">
        <v>356</v>
      </c>
      <c r="J340" s="627" t="s">
        <v>357</v>
      </c>
      <c r="K340" s="627" t="s">
        <v>358</v>
      </c>
      <c r="L340" s="627" t="s">
        <v>359</v>
      </c>
      <c r="M340" s="627" t="s">
        <v>360</v>
      </c>
      <c r="N340" s="627" t="s">
        <v>361</v>
      </c>
      <c r="O340" s="635" t="s">
        <v>453</v>
      </c>
      <c r="Q340" s="627" t="s">
        <v>382</v>
      </c>
      <c r="R340" s="627" t="s">
        <v>369</v>
      </c>
      <c r="S340" s="627" t="s">
        <v>370</v>
      </c>
      <c r="T340" s="627" t="s">
        <v>371</v>
      </c>
      <c r="U340" s="627" t="s">
        <v>372</v>
      </c>
      <c r="V340" s="627" t="s">
        <v>373</v>
      </c>
      <c r="W340" s="627" t="s">
        <v>374</v>
      </c>
      <c r="X340" s="627" t="s">
        <v>375</v>
      </c>
      <c r="Y340" s="627" t="s">
        <v>376</v>
      </c>
      <c r="Z340" s="627" t="s">
        <v>377</v>
      </c>
      <c r="AA340" s="627" t="s">
        <v>378</v>
      </c>
      <c r="AB340" s="627" t="s">
        <v>379</v>
      </c>
      <c r="AC340" s="627" t="s">
        <v>380</v>
      </c>
      <c r="AD340" s="627" t="s">
        <v>361</v>
      </c>
    </row>
    <row r="341" spans="1:30" s="349" customFormat="1" x14ac:dyDescent="0.6">
      <c r="A341" s="627" t="s">
        <v>259</v>
      </c>
      <c r="B341" s="632">
        <v>37961980</v>
      </c>
      <c r="C341" s="632">
        <v>40188330</v>
      </c>
      <c r="D341" s="632">
        <v>41210610</v>
      </c>
      <c r="E341" s="632">
        <v>37723799</v>
      </c>
      <c r="F341" s="632">
        <v>35570660</v>
      </c>
      <c r="G341" s="632">
        <v>34411313</v>
      </c>
      <c r="H341" s="632"/>
      <c r="I341" s="632"/>
      <c r="J341" s="632"/>
      <c r="K341" s="632"/>
      <c r="L341" s="632"/>
      <c r="M341" s="632"/>
      <c r="N341" s="632">
        <f>AVERAGE(B341:M341)</f>
        <v>37844448.666666664</v>
      </c>
      <c r="O341" s="712">
        <f>AVERAGE(R341:W341)</f>
        <v>23446515.833333332</v>
      </c>
      <c r="Q341" s="627" t="s">
        <v>259</v>
      </c>
      <c r="R341" s="632">
        <v>20985556</v>
      </c>
      <c r="S341" s="632">
        <v>22251703</v>
      </c>
      <c r="T341" s="632">
        <v>22962733</v>
      </c>
      <c r="U341" s="632">
        <v>24456017</v>
      </c>
      <c r="V341" s="632">
        <v>25346156</v>
      </c>
      <c r="W341" s="632">
        <v>24676930</v>
      </c>
      <c r="X341" s="632">
        <v>31431511</v>
      </c>
      <c r="Y341" s="632">
        <v>30649282</v>
      </c>
      <c r="Z341" s="632">
        <v>32316480</v>
      </c>
      <c r="AA341" s="632">
        <v>28854056</v>
      </c>
      <c r="AB341" s="632">
        <v>29864826</v>
      </c>
      <c r="AC341" s="632">
        <v>35085164</v>
      </c>
      <c r="AD341" s="632">
        <v>23446515.833333332</v>
      </c>
    </row>
    <row r="342" spans="1:30" s="349" customFormat="1" x14ac:dyDescent="0.6">
      <c r="A342" s="627" t="s">
        <v>258</v>
      </c>
      <c r="B342" s="632">
        <v>37541607</v>
      </c>
      <c r="C342" s="632">
        <v>38444990</v>
      </c>
      <c r="D342" s="632">
        <v>39816687</v>
      </c>
      <c r="E342" s="632">
        <v>39521664</v>
      </c>
      <c r="F342" s="632">
        <v>39397666</v>
      </c>
      <c r="G342" s="632">
        <v>38694446</v>
      </c>
      <c r="H342" s="632"/>
      <c r="I342" s="632"/>
      <c r="J342" s="632"/>
      <c r="K342" s="632"/>
      <c r="L342" s="632"/>
      <c r="M342" s="632"/>
      <c r="N342" s="632">
        <f t="shared" ref="N342:N346" si="76">AVERAGE(B342:M342)</f>
        <v>38902843.333333336</v>
      </c>
      <c r="O342" s="712">
        <f t="shared" ref="O342:O345" si="77">AVERAGE(R342:W342)</f>
        <v>23927968.166666668</v>
      </c>
      <c r="Q342" s="627" t="s">
        <v>258</v>
      </c>
      <c r="R342" s="632">
        <v>23604798</v>
      </c>
      <c r="S342" s="632">
        <v>22864205</v>
      </c>
      <c r="T342" s="632">
        <v>23722897</v>
      </c>
      <c r="U342" s="632">
        <v>24535524</v>
      </c>
      <c r="V342" s="632">
        <v>25205344</v>
      </c>
      <c r="W342" s="632">
        <v>23635041</v>
      </c>
      <c r="X342" s="632">
        <v>33555556</v>
      </c>
      <c r="Y342" s="632">
        <v>35289654</v>
      </c>
      <c r="Z342" s="632">
        <v>34087600</v>
      </c>
      <c r="AA342" s="632">
        <v>31155922</v>
      </c>
      <c r="AB342" s="632">
        <v>29938138</v>
      </c>
      <c r="AC342" s="632">
        <v>32268598</v>
      </c>
      <c r="AD342" s="632">
        <v>23927968.166666668</v>
      </c>
    </row>
    <row r="343" spans="1:30" s="349" customFormat="1" x14ac:dyDescent="0.6">
      <c r="A343" s="627" t="s">
        <v>257</v>
      </c>
      <c r="B343" s="632">
        <v>33097222</v>
      </c>
      <c r="C343" s="632">
        <v>38194270</v>
      </c>
      <c r="D343" s="632">
        <v>45302583</v>
      </c>
      <c r="E343" s="632">
        <v>45424605</v>
      </c>
      <c r="F343" s="632">
        <v>44742351</v>
      </c>
      <c r="G343" s="632">
        <v>42144197</v>
      </c>
      <c r="H343" s="632"/>
      <c r="I343" s="632"/>
      <c r="J343" s="632"/>
      <c r="K343" s="632"/>
      <c r="L343" s="632"/>
      <c r="M343" s="632"/>
      <c r="N343" s="632">
        <f t="shared" si="76"/>
        <v>41484204.666666664</v>
      </c>
      <c r="O343" s="712">
        <f t="shared" si="77"/>
        <v>25464905.833333332</v>
      </c>
      <c r="Q343" s="627" t="s">
        <v>257</v>
      </c>
      <c r="R343" s="632">
        <v>23365764</v>
      </c>
      <c r="S343" s="632">
        <v>21276004</v>
      </c>
      <c r="T343" s="632">
        <v>21515394</v>
      </c>
      <c r="U343" s="632">
        <v>21446186</v>
      </c>
      <c r="V343" s="632">
        <v>22145190</v>
      </c>
      <c r="W343" s="632">
        <v>43040897</v>
      </c>
      <c r="X343" s="632">
        <v>40387277</v>
      </c>
      <c r="Y343" s="632">
        <v>41204717</v>
      </c>
      <c r="Z343" s="632">
        <v>39433601</v>
      </c>
      <c r="AA343" s="632">
        <v>37853831</v>
      </c>
      <c r="AB343" s="632">
        <v>35446259</v>
      </c>
      <c r="AC343" s="632">
        <v>32428416</v>
      </c>
      <c r="AD343" s="632">
        <v>25464905.833333332</v>
      </c>
    </row>
    <row r="344" spans="1:30" s="349" customFormat="1" x14ac:dyDescent="0.6">
      <c r="A344" s="627" t="s">
        <v>256</v>
      </c>
      <c r="B344" s="632">
        <v>30003843</v>
      </c>
      <c r="C344" s="632"/>
      <c r="D344" s="632">
        <v>43892532</v>
      </c>
      <c r="E344" s="632"/>
      <c r="F344" s="632">
        <v>43115092</v>
      </c>
      <c r="G344" s="632">
        <v>41891653</v>
      </c>
      <c r="H344" s="632"/>
      <c r="I344" s="632"/>
      <c r="J344" s="632"/>
      <c r="K344" s="632"/>
      <c r="L344" s="632"/>
      <c r="M344" s="632"/>
      <c r="N344" s="632">
        <f t="shared" si="76"/>
        <v>39725780</v>
      </c>
      <c r="O344" s="712">
        <f t="shared" si="77"/>
        <v>25210403.166666668</v>
      </c>
      <c r="Q344" s="627" t="s">
        <v>256</v>
      </c>
      <c r="R344" s="632">
        <v>20873747</v>
      </c>
      <c r="S344" s="632">
        <v>20241348</v>
      </c>
      <c r="T344" s="632">
        <v>21913298</v>
      </c>
      <c r="U344" s="632">
        <v>21510519</v>
      </c>
      <c r="V344" s="632">
        <v>21355149</v>
      </c>
      <c r="W344" s="632">
        <v>45368358</v>
      </c>
      <c r="X344" s="632">
        <v>38879173</v>
      </c>
      <c r="Y344" s="632">
        <v>37554043</v>
      </c>
      <c r="Z344" s="632"/>
      <c r="AA344" s="632">
        <v>36409733</v>
      </c>
      <c r="AB344" s="632">
        <v>33113543</v>
      </c>
      <c r="AC344" s="632">
        <v>31865016</v>
      </c>
      <c r="AD344" s="632">
        <v>25210403.166666668</v>
      </c>
    </row>
    <row r="345" spans="1:30" s="349" customFormat="1" x14ac:dyDescent="0.6">
      <c r="A345" s="627" t="s">
        <v>225</v>
      </c>
      <c r="B345" s="632"/>
      <c r="C345" s="632"/>
      <c r="D345" s="632"/>
      <c r="E345" s="632">
        <v>9012006</v>
      </c>
      <c r="F345" s="632">
        <v>9541017</v>
      </c>
      <c r="G345" s="632">
        <v>9017873</v>
      </c>
      <c r="H345" s="632"/>
      <c r="I345" s="632"/>
      <c r="J345" s="632"/>
      <c r="K345" s="632"/>
      <c r="L345" s="632"/>
      <c r="M345" s="632"/>
      <c r="N345" s="632">
        <f t="shared" si="76"/>
        <v>9190298.666666666</v>
      </c>
      <c r="O345" s="712">
        <f t="shared" si="77"/>
        <v>4871088.666666667</v>
      </c>
      <c r="Q345" s="627" t="s">
        <v>225</v>
      </c>
      <c r="R345" s="632">
        <v>4625019</v>
      </c>
      <c r="S345" s="632">
        <v>4208945</v>
      </c>
      <c r="T345" s="632">
        <v>4518123</v>
      </c>
      <c r="U345" s="632">
        <v>4666126</v>
      </c>
      <c r="V345" s="632">
        <v>4873845</v>
      </c>
      <c r="W345" s="632">
        <v>6334474</v>
      </c>
      <c r="X345" s="632">
        <v>7872865</v>
      </c>
      <c r="Y345" s="632">
        <v>7601475</v>
      </c>
      <c r="Z345" s="632">
        <v>7843817</v>
      </c>
      <c r="AA345" s="632">
        <v>7360119</v>
      </c>
      <c r="AB345" s="632">
        <v>6875996</v>
      </c>
      <c r="AC345" s="632">
        <v>11963207</v>
      </c>
      <c r="AD345" s="632">
        <v>4871088.666666667</v>
      </c>
    </row>
    <row r="346" spans="1:30" s="349" customFormat="1" x14ac:dyDescent="0.6">
      <c r="A346" s="627" t="s">
        <v>335</v>
      </c>
      <c r="B346" s="632"/>
      <c r="C346" s="632"/>
      <c r="D346" s="632"/>
      <c r="E346" s="632"/>
      <c r="F346" s="632"/>
      <c r="G346" s="632">
        <v>56999014</v>
      </c>
      <c r="H346" s="632"/>
      <c r="I346" s="632"/>
      <c r="J346" s="632"/>
      <c r="K346" s="632"/>
      <c r="L346" s="632"/>
      <c r="M346" s="632"/>
      <c r="N346" s="632">
        <f t="shared" si="76"/>
        <v>56999014</v>
      </c>
      <c r="O346" s="712">
        <v>0</v>
      </c>
    </row>
    <row r="347" spans="1:30" s="349" customFormat="1" x14ac:dyDescent="0.6"/>
    <row r="348" spans="1:30" s="349" customFormat="1" x14ac:dyDescent="0.6"/>
    <row r="349" spans="1:30" x14ac:dyDescent="0.6">
      <c r="A349" s="633" t="s">
        <v>364</v>
      </c>
      <c r="B349" s="633" t="s">
        <v>350</v>
      </c>
      <c r="C349" s="633" t="s">
        <v>351</v>
      </c>
      <c r="D349" s="633" t="s">
        <v>473</v>
      </c>
      <c r="E349" s="633" t="s">
        <v>352</v>
      </c>
      <c r="F349" s="633" t="s">
        <v>353</v>
      </c>
      <c r="G349" s="633" t="s">
        <v>354</v>
      </c>
      <c r="H349" s="633" t="s">
        <v>355</v>
      </c>
      <c r="I349" s="633" t="s">
        <v>356</v>
      </c>
      <c r="J349" s="633" t="s">
        <v>357</v>
      </c>
      <c r="K349" s="633" t="s">
        <v>358</v>
      </c>
      <c r="L349" s="633" t="s">
        <v>359</v>
      </c>
      <c r="M349" s="633" t="s">
        <v>360</v>
      </c>
      <c r="N349" s="633" t="s">
        <v>361</v>
      </c>
      <c r="O349" s="635" t="s">
        <v>453</v>
      </c>
      <c r="Q349" s="633" t="s">
        <v>383</v>
      </c>
      <c r="R349" s="633" t="s">
        <v>369</v>
      </c>
      <c r="S349" s="633" t="s">
        <v>370</v>
      </c>
      <c r="T349" s="633" t="s">
        <v>371</v>
      </c>
      <c r="U349" s="633" t="s">
        <v>372</v>
      </c>
      <c r="V349" s="633" t="s">
        <v>373</v>
      </c>
      <c r="W349" s="633" t="s">
        <v>374</v>
      </c>
      <c r="X349" s="633" t="s">
        <v>375</v>
      </c>
      <c r="Y349" s="633" t="s">
        <v>376</v>
      </c>
      <c r="Z349" s="633" t="s">
        <v>377</v>
      </c>
      <c r="AA349" s="633" t="s">
        <v>378</v>
      </c>
      <c r="AB349" s="633" t="s">
        <v>379</v>
      </c>
      <c r="AC349" s="633" t="s">
        <v>380</v>
      </c>
      <c r="AD349" s="633" t="s">
        <v>361</v>
      </c>
    </row>
    <row r="350" spans="1:30" s="349" customFormat="1" x14ac:dyDescent="0.6">
      <c r="A350" s="633" t="s">
        <v>259</v>
      </c>
      <c r="B350" s="634">
        <v>1982944</v>
      </c>
      <c r="C350" s="634">
        <v>4979736</v>
      </c>
      <c r="D350" s="634">
        <v>3785483</v>
      </c>
      <c r="E350" s="634">
        <v>3362624</v>
      </c>
      <c r="F350" s="634">
        <v>3887304</v>
      </c>
      <c r="G350" s="634">
        <v>3826366</v>
      </c>
      <c r="H350" s="634">
        <v>0</v>
      </c>
      <c r="I350" s="634">
        <v>0</v>
      </c>
      <c r="J350" s="634">
        <v>0</v>
      </c>
      <c r="K350" s="634">
        <v>0</v>
      </c>
      <c r="L350" s="634">
        <v>0</v>
      </c>
      <c r="M350" s="634">
        <v>0</v>
      </c>
      <c r="N350" s="634">
        <f>SUM(B350:M350)</f>
        <v>21824457</v>
      </c>
      <c r="O350" s="712">
        <f>SUM(R350:W350)</f>
        <v>9881876</v>
      </c>
      <c r="Q350" s="633" t="s">
        <v>259</v>
      </c>
      <c r="R350" s="634">
        <v>360322</v>
      </c>
      <c r="S350" s="634">
        <v>1117258</v>
      </c>
      <c r="T350" s="634">
        <v>1246509</v>
      </c>
      <c r="U350" s="634">
        <v>1789031</v>
      </c>
      <c r="V350" s="634">
        <v>2368066</v>
      </c>
      <c r="W350" s="634">
        <v>3000690</v>
      </c>
      <c r="X350" s="634">
        <v>1168435</v>
      </c>
      <c r="Y350" s="634">
        <v>3020027</v>
      </c>
      <c r="Z350" s="634">
        <v>2490922</v>
      </c>
      <c r="AA350" s="634">
        <v>1718663</v>
      </c>
      <c r="AB350" s="634">
        <v>3359345</v>
      </c>
      <c r="AC350" s="634">
        <v>4736462</v>
      </c>
      <c r="AD350" s="634">
        <v>26375730</v>
      </c>
    </row>
    <row r="351" spans="1:30" s="349" customFormat="1" x14ac:dyDescent="0.6">
      <c r="A351" s="633" t="s">
        <v>258</v>
      </c>
      <c r="B351" s="634">
        <v>1072376</v>
      </c>
      <c r="C351" s="634">
        <v>3004476</v>
      </c>
      <c r="D351" s="634">
        <v>2828896</v>
      </c>
      <c r="E351" s="634">
        <v>3306580</v>
      </c>
      <c r="F351" s="634">
        <v>2478192</v>
      </c>
      <c r="G351" s="634">
        <v>2731944</v>
      </c>
      <c r="H351" s="634">
        <v>0</v>
      </c>
      <c r="I351" s="634">
        <v>0</v>
      </c>
      <c r="J351" s="634">
        <v>0</v>
      </c>
      <c r="K351" s="634">
        <v>0</v>
      </c>
      <c r="L351" s="634">
        <v>0</v>
      </c>
      <c r="M351" s="634">
        <v>0</v>
      </c>
      <c r="N351" s="634">
        <f t="shared" ref="N351:N355" si="78">SUM(B351:M351)</f>
        <v>15422464</v>
      </c>
      <c r="O351" s="712">
        <f t="shared" ref="O351:O355" si="79">SUM(R351:W351)</f>
        <v>6583485</v>
      </c>
      <c r="Q351" s="633" t="s">
        <v>258</v>
      </c>
      <c r="R351" s="634">
        <v>593283</v>
      </c>
      <c r="S351" s="634">
        <v>876888</v>
      </c>
      <c r="T351" s="634">
        <v>746607</v>
      </c>
      <c r="U351" s="634">
        <v>1081943</v>
      </c>
      <c r="V351" s="634">
        <v>1758224</v>
      </c>
      <c r="W351" s="634">
        <v>1526540</v>
      </c>
      <c r="X351" s="634">
        <v>1461076</v>
      </c>
      <c r="Y351" s="634">
        <v>2047294</v>
      </c>
      <c r="Z351" s="634">
        <v>916786</v>
      </c>
      <c r="AA351" s="634">
        <v>2439166</v>
      </c>
      <c r="AB351" s="634">
        <v>3611258</v>
      </c>
      <c r="AC351" s="634">
        <v>1892037</v>
      </c>
      <c r="AD351" s="634">
        <v>18951102</v>
      </c>
    </row>
    <row r="352" spans="1:30" s="349" customFormat="1" x14ac:dyDescent="0.6">
      <c r="A352" s="633" t="s">
        <v>257</v>
      </c>
      <c r="B352" s="634">
        <v>5772685</v>
      </c>
      <c r="C352" s="634">
        <v>5357854</v>
      </c>
      <c r="D352" s="634">
        <v>4255181</v>
      </c>
      <c r="E352" s="634">
        <v>7425333</v>
      </c>
      <c r="F352" s="634">
        <v>5084834</v>
      </c>
      <c r="G352" s="634">
        <v>3050987</v>
      </c>
      <c r="H352" s="634">
        <v>0</v>
      </c>
      <c r="I352" s="634">
        <v>0</v>
      </c>
      <c r="J352" s="634">
        <v>0</v>
      </c>
      <c r="K352" s="634">
        <v>0</v>
      </c>
      <c r="L352" s="634">
        <v>0</v>
      </c>
      <c r="M352" s="634">
        <v>0</v>
      </c>
      <c r="N352" s="634">
        <f t="shared" si="78"/>
        <v>30946874</v>
      </c>
      <c r="O352" s="712">
        <f t="shared" si="79"/>
        <v>15167903</v>
      </c>
      <c r="Q352" s="633" t="s">
        <v>257</v>
      </c>
      <c r="R352" s="634">
        <v>3009931</v>
      </c>
      <c r="S352" s="634">
        <v>3248633</v>
      </c>
      <c r="T352" s="634">
        <v>2805091</v>
      </c>
      <c r="U352" s="634">
        <v>3038174</v>
      </c>
      <c r="V352" s="634">
        <v>593934</v>
      </c>
      <c r="W352" s="634">
        <v>2472140</v>
      </c>
      <c r="X352" s="634">
        <v>4506372</v>
      </c>
      <c r="Y352" s="634">
        <v>6619373</v>
      </c>
      <c r="Z352" s="634">
        <v>5481034</v>
      </c>
      <c r="AA352" s="634">
        <v>4671352</v>
      </c>
      <c r="AB352" s="634">
        <v>4609786</v>
      </c>
      <c r="AC352" s="634">
        <v>4962326</v>
      </c>
      <c r="AD352" s="634">
        <v>46018146</v>
      </c>
    </row>
    <row r="353" spans="1:30" s="349" customFormat="1" x14ac:dyDescent="0.6">
      <c r="A353" s="633" t="s">
        <v>256</v>
      </c>
      <c r="B353" s="634">
        <v>2521643</v>
      </c>
      <c r="C353" s="634">
        <v>0</v>
      </c>
      <c r="D353" s="634">
        <v>2486073</v>
      </c>
      <c r="E353" s="634">
        <v>0</v>
      </c>
      <c r="F353" s="634">
        <v>2635410</v>
      </c>
      <c r="G353" s="634">
        <v>1736032</v>
      </c>
      <c r="H353" s="634">
        <v>0</v>
      </c>
      <c r="I353" s="634">
        <v>0</v>
      </c>
      <c r="J353" s="634">
        <v>0</v>
      </c>
      <c r="K353" s="634">
        <v>0</v>
      </c>
      <c r="L353" s="634">
        <v>0</v>
      </c>
      <c r="M353" s="634">
        <v>0</v>
      </c>
      <c r="N353" s="634">
        <f t="shared" si="78"/>
        <v>9379158</v>
      </c>
      <c r="O353" s="712">
        <f t="shared" si="79"/>
        <v>12529583</v>
      </c>
      <c r="Q353" s="633" t="s">
        <v>256</v>
      </c>
      <c r="R353" s="634">
        <v>62496</v>
      </c>
      <c r="S353" s="634">
        <v>4185506</v>
      </c>
      <c r="T353" s="634">
        <v>3125669</v>
      </c>
      <c r="U353" s="634">
        <v>1141047</v>
      </c>
      <c r="V353" s="634">
        <v>2661663</v>
      </c>
      <c r="W353" s="634">
        <v>1353202</v>
      </c>
      <c r="X353" s="634">
        <v>1221778</v>
      </c>
      <c r="Y353" s="634">
        <v>893636</v>
      </c>
      <c r="Z353" s="634">
        <v>0</v>
      </c>
      <c r="AA353" s="634">
        <v>1913914</v>
      </c>
      <c r="AB353" s="634">
        <v>971452</v>
      </c>
      <c r="AC353" s="634">
        <v>971883</v>
      </c>
      <c r="AD353" s="634">
        <v>18502246</v>
      </c>
    </row>
    <row r="354" spans="1:30" s="349" customFormat="1" x14ac:dyDescent="0.6">
      <c r="A354" s="633" t="s">
        <v>225</v>
      </c>
      <c r="B354" s="634">
        <v>0</v>
      </c>
      <c r="C354" s="634">
        <v>0</v>
      </c>
      <c r="D354" s="634">
        <v>0</v>
      </c>
      <c r="E354" s="634">
        <v>285248</v>
      </c>
      <c r="F354" s="634">
        <v>305885</v>
      </c>
      <c r="G354" s="634">
        <v>265901</v>
      </c>
      <c r="H354" s="634">
        <v>0</v>
      </c>
      <c r="I354" s="634">
        <v>0</v>
      </c>
      <c r="J354" s="634">
        <v>0</v>
      </c>
      <c r="K354" s="634">
        <v>0</v>
      </c>
      <c r="L354" s="634">
        <v>0</v>
      </c>
      <c r="M354" s="634">
        <v>0</v>
      </c>
      <c r="N354" s="634">
        <f t="shared" si="78"/>
        <v>857034</v>
      </c>
      <c r="O354" s="712">
        <f t="shared" si="79"/>
        <v>1449553</v>
      </c>
      <c r="Q354" s="633" t="s">
        <v>225</v>
      </c>
      <c r="R354" s="634">
        <v>120343</v>
      </c>
      <c r="S354" s="634">
        <v>125919</v>
      </c>
      <c r="T354" s="634">
        <v>203686</v>
      </c>
      <c r="U354" s="634">
        <v>339162</v>
      </c>
      <c r="V354" s="634">
        <v>253206</v>
      </c>
      <c r="W354" s="634">
        <v>407237</v>
      </c>
      <c r="X354" s="634">
        <v>444250</v>
      </c>
      <c r="Y354" s="634">
        <v>538154</v>
      </c>
      <c r="Z354" s="634">
        <v>225447</v>
      </c>
      <c r="AA354" s="634">
        <v>225227</v>
      </c>
      <c r="AB354" s="634">
        <v>211375</v>
      </c>
      <c r="AC354" s="634">
        <v>190538</v>
      </c>
      <c r="AD354" s="634">
        <v>3284544</v>
      </c>
    </row>
    <row r="355" spans="1:30" s="349" customFormat="1" x14ac:dyDescent="0.6">
      <c r="A355" s="633" t="s">
        <v>335</v>
      </c>
      <c r="B355" s="634">
        <v>0</v>
      </c>
      <c r="C355" s="634">
        <v>0</v>
      </c>
      <c r="D355" s="634">
        <v>0</v>
      </c>
      <c r="E355" s="634">
        <v>0</v>
      </c>
      <c r="F355" s="634">
        <v>0</v>
      </c>
      <c r="G355" s="634">
        <v>1040118</v>
      </c>
      <c r="H355" s="634">
        <v>0</v>
      </c>
      <c r="I355" s="634">
        <v>0</v>
      </c>
      <c r="J355" s="634">
        <v>0</v>
      </c>
      <c r="K355" s="634">
        <v>0</v>
      </c>
      <c r="L355" s="634">
        <v>0</v>
      </c>
      <c r="M355" s="634">
        <v>0</v>
      </c>
      <c r="N355" s="634">
        <f t="shared" si="78"/>
        <v>1040118</v>
      </c>
      <c r="O355" s="712">
        <f t="shared" si="79"/>
        <v>0</v>
      </c>
    </row>
    <row r="356" spans="1:30" x14ac:dyDescent="0.6">
      <c r="N356" s="907">
        <f>SUM(N350:N355)</f>
        <v>79470105</v>
      </c>
      <c r="O356" s="907">
        <f>SUM(O350:O355)</f>
        <v>45612400</v>
      </c>
    </row>
  </sheetData>
  <mergeCells count="3">
    <mergeCell ref="A240:A243"/>
    <mergeCell ref="E254:Q254"/>
    <mergeCell ref="D254:D263"/>
  </mergeCells>
  <conditionalFormatting sqref="T257:T261">
    <cfRule type="cellIs" dxfId="39" priority="6" operator="lessThan">
      <formula>0</formula>
    </cfRule>
    <cfRule type="cellIs" dxfId="38" priority="7" operator="greaterThan">
      <formula>0</formula>
    </cfRule>
  </conditionalFormatting>
  <conditionalFormatting sqref="U257:U261">
    <cfRule type="cellIs" dxfId="37" priority="4" operator="lessThan">
      <formula>0</formula>
    </cfRule>
    <cfRule type="cellIs" dxfId="36" priority="5" operator="greaterThan">
      <formula>0</formula>
    </cfRule>
  </conditionalFormatting>
  <conditionalFormatting sqref="V257:V261">
    <cfRule type="cellIs" dxfId="35" priority="2" operator="lessThan">
      <formula>0</formula>
    </cfRule>
    <cfRule type="cellIs" dxfId="34" priority="3" operator="greaterThan">
      <formula>0</formula>
    </cfRule>
  </conditionalFormatting>
  <conditionalFormatting sqref="F256:Q263">
    <cfRule type="colorScale" priority="26">
      <colorScale>
        <cfvo type="num" val="$B$263"/>
        <cfvo type="num" val="$B$262"/>
        <cfvo type="num" val="$B$261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R239 N239 B28:Q28 E6:N6 B6:D6 O325:O326 O327:O328 O332:O337 O341:O345 O350:O355 N338" formulaRange="1"/>
    <ignoredError sqref="Q205 P85 N106 P27 P20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8"/>
  <sheetViews>
    <sheetView rightToLeft="1" topLeftCell="A151" zoomScale="70" zoomScaleNormal="70" workbookViewId="0">
      <pane xSplit="1" topLeftCell="B1" activePane="topRight" state="frozen"/>
      <selection activeCell="N337" sqref="N337:O337"/>
      <selection pane="topRight" activeCell="B166" sqref="B166"/>
    </sheetView>
  </sheetViews>
  <sheetFormatPr defaultRowHeight="22.5" x14ac:dyDescent="0.6"/>
  <cols>
    <col min="1" max="1" width="35.28515625" style="3" bestFit="1" customWidth="1"/>
    <col min="2" max="2" width="15.28515625" style="3" bestFit="1" customWidth="1"/>
    <col min="3" max="3" width="15.140625" style="3" bestFit="1" customWidth="1"/>
    <col min="4" max="4" width="14.42578125" style="3" bestFit="1" customWidth="1"/>
    <col min="5" max="5" width="15.5703125" style="3" bestFit="1" customWidth="1"/>
    <col min="6" max="6" width="16.140625" style="3" customWidth="1"/>
    <col min="7" max="7" width="15.140625" style="3" bestFit="1" customWidth="1"/>
    <col min="8" max="8" width="14.7109375" style="3" bestFit="1" customWidth="1"/>
    <col min="9" max="9" width="15" style="3" bestFit="1" customWidth="1"/>
    <col min="10" max="10" width="15.28515625" style="3" bestFit="1" customWidth="1"/>
    <col min="11" max="11" width="15.42578125" style="3" bestFit="1" customWidth="1"/>
    <col min="12" max="12" width="20.7109375" style="3" customWidth="1"/>
    <col min="13" max="15" width="14.85546875" style="3" customWidth="1"/>
    <col min="16" max="16" width="16.140625" style="3" customWidth="1"/>
    <col min="17" max="30" width="12.7109375" style="3" customWidth="1"/>
    <col min="31" max="33" width="9.28515625" style="3" bestFit="1" customWidth="1"/>
    <col min="34" max="38" width="9.140625" style="3"/>
    <col min="39" max="40" width="12.140625" style="3" customWidth="1"/>
    <col min="41" max="16384" width="9.140625" style="3"/>
  </cols>
  <sheetData>
    <row r="1" spans="1:36" x14ac:dyDescent="0.6">
      <c r="A1" s="409" t="s">
        <v>183</v>
      </c>
      <c r="B1" s="409" t="s">
        <v>81</v>
      </c>
      <c r="C1" s="409" t="s">
        <v>80</v>
      </c>
      <c r="D1" s="409" t="s">
        <v>79</v>
      </c>
      <c r="E1" s="409" t="s">
        <v>78</v>
      </c>
      <c r="F1" s="409" t="s">
        <v>77</v>
      </c>
      <c r="G1" s="409" t="s">
        <v>76</v>
      </c>
      <c r="H1" s="409" t="s">
        <v>75</v>
      </c>
      <c r="I1" s="409" t="s">
        <v>74</v>
      </c>
      <c r="J1" s="409" t="s">
        <v>73</v>
      </c>
      <c r="K1" s="409" t="s">
        <v>72</v>
      </c>
      <c r="L1" s="409" t="s">
        <v>71</v>
      </c>
      <c r="M1" s="409" t="s">
        <v>70</v>
      </c>
      <c r="N1" s="429" t="s">
        <v>69</v>
      </c>
      <c r="O1" s="409" t="s">
        <v>68</v>
      </c>
      <c r="P1" s="409" t="s">
        <v>67</v>
      </c>
      <c r="Q1" s="409" t="s">
        <v>66</v>
      </c>
      <c r="T1" s="409" t="s">
        <v>183</v>
      </c>
      <c r="U1" s="409" t="s">
        <v>81</v>
      </c>
      <c r="V1" s="409" t="s">
        <v>80</v>
      </c>
      <c r="W1" s="409" t="s">
        <v>79</v>
      </c>
      <c r="X1" s="409" t="s">
        <v>78</v>
      </c>
      <c r="Y1" s="409" t="s">
        <v>77</v>
      </c>
      <c r="Z1" s="409" t="s">
        <v>76</v>
      </c>
      <c r="AA1" s="409" t="s">
        <v>75</v>
      </c>
      <c r="AB1" s="409" t="s">
        <v>74</v>
      </c>
      <c r="AC1" s="409" t="s">
        <v>73</v>
      </c>
      <c r="AD1" s="409" t="s">
        <v>72</v>
      </c>
      <c r="AE1" s="409" t="s">
        <v>71</v>
      </c>
      <c r="AF1" s="409" t="s">
        <v>70</v>
      </c>
      <c r="AG1" s="409" t="s">
        <v>69</v>
      </c>
      <c r="AH1" s="409" t="s">
        <v>68</v>
      </c>
      <c r="AI1" s="409" t="s">
        <v>67</v>
      </c>
      <c r="AJ1" s="409" t="s">
        <v>66</v>
      </c>
    </row>
    <row r="2" spans="1:36" x14ac:dyDescent="0.6">
      <c r="A2" s="409" t="s">
        <v>240</v>
      </c>
      <c r="B2" s="422">
        <v>1074303</v>
      </c>
      <c r="C2" s="422">
        <v>1175651</v>
      </c>
      <c r="D2" s="422">
        <v>1179172</v>
      </c>
      <c r="E2" s="422">
        <v>1163058</v>
      </c>
      <c r="F2" s="422">
        <v>348049</v>
      </c>
      <c r="G2" s="422">
        <v>706289</v>
      </c>
      <c r="H2" s="422">
        <v>1050986</v>
      </c>
      <c r="I2" s="422">
        <v>1437326</v>
      </c>
      <c r="J2" s="422">
        <v>396999</v>
      </c>
      <c r="K2" s="422">
        <v>735941</v>
      </c>
      <c r="L2" s="422">
        <v>1088044</v>
      </c>
      <c r="M2" s="422">
        <v>1447878</v>
      </c>
      <c r="N2" s="424">
        <v>385185</v>
      </c>
      <c r="O2" s="422"/>
      <c r="P2" s="422">
        <f t="shared" ref="P2:P7" si="0">Q2-N2</f>
        <v>1057201.0361564229</v>
      </c>
      <c r="Q2" s="422">
        <f>$Q$7*AJ2</f>
        <v>1442386.0361564229</v>
      </c>
      <c r="T2" s="409" t="s">
        <v>240</v>
      </c>
      <c r="U2" s="421">
        <f t="shared" ref="U2:AG2" si="1">B2/B7</f>
        <v>0.82937330495422368</v>
      </c>
      <c r="V2" s="421">
        <f t="shared" si="1"/>
        <v>0.83606783547046692</v>
      </c>
      <c r="W2" s="421">
        <f t="shared" si="1"/>
        <v>0.84775919386193965</v>
      </c>
      <c r="X2" s="421">
        <f t="shared" si="1"/>
        <v>0.88025563225767878</v>
      </c>
      <c r="Y2" s="421">
        <f t="shared" si="1"/>
        <v>0.88200755175996548</v>
      </c>
      <c r="Z2" s="421">
        <f t="shared" si="1"/>
        <v>0.88401157005553477</v>
      </c>
      <c r="AA2" s="421">
        <f t="shared" si="1"/>
        <v>0.87553274086218214</v>
      </c>
      <c r="AB2" s="421">
        <f t="shared" si="1"/>
        <v>0.87529748492783632</v>
      </c>
      <c r="AC2" s="421">
        <f t="shared" si="1"/>
        <v>0.87387930749843168</v>
      </c>
      <c r="AD2" s="421">
        <f t="shared" si="1"/>
        <v>0.89372231181751061</v>
      </c>
      <c r="AE2" s="421">
        <f t="shared" si="1"/>
        <v>0.88766730791509418</v>
      </c>
      <c r="AF2" s="421">
        <f t="shared" si="1"/>
        <v>0.88454656143259747</v>
      </c>
      <c r="AG2" s="421">
        <f t="shared" si="1"/>
        <v>0.87748853548021133</v>
      </c>
      <c r="AH2" s="423"/>
      <c r="AI2" s="423"/>
      <c r="AJ2" s="421">
        <f>AVERAGE(W2:AG2)</f>
        <v>0.87837892707899823</v>
      </c>
    </row>
    <row r="3" spans="1:36" x14ac:dyDescent="0.6">
      <c r="A3" s="409" t="s">
        <v>46</v>
      </c>
      <c r="B3" s="422">
        <v>0</v>
      </c>
      <c r="C3" s="422">
        <v>0</v>
      </c>
      <c r="D3" s="422">
        <v>0</v>
      </c>
      <c r="E3" s="422">
        <v>0</v>
      </c>
      <c r="F3" s="422">
        <v>0</v>
      </c>
      <c r="G3" s="422">
        <v>0</v>
      </c>
      <c r="H3" s="422">
        <v>0</v>
      </c>
      <c r="I3" s="422">
        <v>0</v>
      </c>
      <c r="J3" s="422">
        <v>0</v>
      </c>
      <c r="K3" s="422">
        <v>87515</v>
      </c>
      <c r="L3" s="422">
        <v>137690</v>
      </c>
      <c r="M3" s="422">
        <v>188981</v>
      </c>
      <c r="N3" s="424">
        <v>53778</v>
      </c>
      <c r="O3" s="422"/>
      <c r="P3" s="422">
        <f t="shared" si="0"/>
        <v>133657.56819914162</v>
      </c>
      <c r="Q3" s="422">
        <f>$Q$7*AJ3</f>
        <v>187435.56819914162</v>
      </c>
      <c r="T3" s="409" t="s">
        <v>46</v>
      </c>
      <c r="U3" s="421">
        <f t="shared" ref="U3:AG3" si="2">B3/B7</f>
        <v>0</v>
      </c>
      <c r="V3" s="421">
        <f t="shared" si="2"/>
        <v>0</v>
      </c>
      <c r="W3" s="421">
        <f t="shared" si="2"/>
        <v>0</v>
      </c>
      <c r="X3" s="421">
        <f t="shared" si="2"/>
        <v>0</v>
      </c>
      <c r="Y3" s="421">
        <f t="shared" si="2"/>
        <v>0</v>
      </c>
      <c r="Z3" s="421">
        <f t="shared" si="2"/>
        <v>0</v>
      </c>
      <c r="AA3" s="421">
        <f t="shared" si="2"/>
        <v>0</v>
      </c>
      <c r="AB3" s="421">
        <f t="shared" si="2"/>
        <v>0</v>
      </c>
      <c r="AC3" s="421">
        <f t="shared" si="2"/>
        <v>0</v>
      </c>
      <c r="AD3" s="421">
        <f t="shared" si="2"/>
        <v>0.10627768818248941</v>
      </c>
      <c r="AE3" s="421">
        <f t="shared" si="2"/>
        <v>0.11233269208490586</v>
      </c>
      <c r="AF3" s="421">
        <f t="shared" si="2"/>
        <v>0.11545343856740257</v>
      </c>
      <c r="AG3" s="421">
        <f t="shared" si="2"/>
        <v>0.12251146451978868</v>
      </c>
      <c r="AH3" s="423"/>
      <c r="AI3" s="423"/>
      <c r="AJ3" s="421">
        <f>AVERAGE(AD3:AG3)</f>
        <v>0.11414382083864663</v>
      </c>
    </row>
    <row r="4" spans="1:36" x14ac:dyDescent="0.6">
      <c r="A4" s="409" t="s">
        <v>220</v>
      </c>
      <c r="B4" s="422">
        <v>1287083</v>
      </c>
      <c r="C4" s="422">
        <v>1442403</v>
      </c>
      <c r="D4" s="422">
        <v>1204415</v>
      </c>
      <c r="E4" s="422">
        <v>1283370</v>
      </c>
      <c r="F4" s="422">
        <v>413805</v>
      </c>
      <c r="G4" s="422">
        <v>812465</v>
      </c>
      <c r="H4" s="422">
        <v>1178566</v>
      </c>
      <c r="I4" s="422">
        <v>1525540</v>
      </c>
      <c r="J4" s="422">
        <v>453256</v>
      </c>
      <c r="K4" s="422">
        <v>0</v>
      </c>
      <c r="L4" s="422">
        <v>0</v>
      </c>
      <c r="M4" s="422">
        <v>0</v>
      </c>
      <c r="N4" s="424">
        <v>0</v>
      </c>
      <c r="O4" s="422"/>
      <c r="P4" s="422">
        <f t="shared" si="0"/>
        <v>0</v>
      </c>
      <c r="Q4" s="422"/>
      <c r="T4" s="409" t="s">
        <v>220</v>
      </c>
      <c r="U4" s="428">
        <f t="shared" ref="U4:AG4" si="3">(B4-B15)/B2</f>
        <v>1.1173495745613669</v>
      </c>
      <c r="V4" s="428">
        <f t="shared" si="3"/>
        <v>1.2268972679817394</v>
      </c>
      <c r="W4" s="428">
        <f t="shared" si="3"/>
        <v>1.0214073943411139</v>
      </c>
      <c r="X4" s="428">
        <f t="shared" si="3"/>
        <v>1.0991532666470631</v>
      </c>
      <c r="Y4" s="428">
        <f t="shared" si="3"/>
        <v>1.1889274211389775</v>
      </c>
      <c r="Z4" s="428">
        <f t="shared" si="3"/>
        <v>1.1503293977394522</v>
      </c>
      <c r="AA4" s="428">
        <f t="shared" si="3"/>
        <v>1.1213907701910397</v>
      </c>
      <c r="AB4" s="428">
        <f t="shared" si="3"/>
        <v>1.0613736897544468</v>
      </c>
      <c r="AC4" s="428">
        <f t="shared" si="3"/>
        <v>1.1417056466137194</v>
      </c>
      <c r="AD4" s="428">
        <f t="shared" si="3"/>
        <v>0</v>
      </c>
      <c r="AE4" s="428">
        <f t="shared" si="3"/>
        <v>0</v>
      </c>
      <c r="AF4" s="428">
        <f t="shared" si="3"/>
        <v>0</v>
      </c>
      <c r="AG4" s="428">
        <f t="shared" si="3"/>
        <v>0</v>
      </c>
      <c r="AH4" s="423"/>
      <c r="AI4" s="423"/>
      <c r="AJ4" s="423"/>
    </row>
    <row r="5" spans="1:36" x14ac:dyDescent="0.6">
      <c r="A5" s="409" t="s">
        <v>253</v>
      </c>
      <c r="B5" s="422">
        <v>109952</v>
      </c>
      <c r="C5" s="422">
        <v>129309</v>
      </c>
      <c r="D5" s="422">
        <v>112901</v>
      </c>
      <c r="E5" s="422">
        <v>78804</v>
      </c>
      <c r="F5" s="422">
        <v>24114</v>
      </c>
      <c r="G5" s="422">
        <v>46229</v>
      </c>
      <c r="H5" s="422">
        <v>77648</v>
      </c>
      <c r="I5" s="422">
        <v>106052</v>
      </c>
      <c r="J5" s="422">
        <v>27632</v>
      </c>
      <c r="K5" s="422">
        <v>0</v>
      </c>
      <c r="L5" s="422">
        <v>0</v>
      </c>
      <c r="M5" s="422">
        <v>0</v>
      </c>
      <c r="N5" s="424">
        <v>0</v>
      </c>
      <c r="O5" s="422"/>
      <c r="P5" s="422">
        <f t="shared" si="0"/>
        <v>0</v>
      </c>
      <c r="Q5" s="422"/>
      <c r="R5" s="239"/>
      <c r="S5" s="239"/>
      <c r="T5" s="409" t="s">
        <v>253</v>
      </c>
      <c r="U5" s="421">
        <f t="shared" ref="U5:AG5" si="4">B5/B7</f>
        <v>8.4884109628593427E-2</v>
      </c>
      <c r="V5" s="421">
        <f t="shared" si="4"/>
        <v>9.1958494261350179E-2</v>
      </c>
      <c r="W5" s="421">
        <f t="shared" si="4"/>
        <v>8.116955011330565E-2</v>
      </c>
      <c r="X5" s="421">
        <f t="shared" si="4"/>
        <v>5.9642481152645969E-2</v>
      </c>
      <c r="Y5" s="421">
        <f t="shared" si="4"/>
        <v>6.1108436177491704E-2</v>
      </c>
      <c r="Z5" s="421">
        <f t="shared" si="4"/>
        <v>5.7861542331959462E-2</v>
      </c>
      <c r="AA5" s="421">
        <f t="shared" si="4"/>
        <v>6.4685320510898064E-2</v>
      </c>
      <c r="AB5" s="421">
        <f t="shared" si="4"/>
        <v>6.4583155715242674E-2</v>
      </c>
      <c r="AC5" s="421">
        <f t="shared" si="4"/>
        <v>6.0823913976601106E-2</v>
      </c>
      <c r="AD5" s="421">
        <f t="shared" si="4"/>
        <v>0</v>
      </c>
      <c r="AE5" s="421">
        <f t="shared" si="4"/>
        <v>0</v>
      </c>
      <c r="AF5" s="421">
        <f t="shared" si="4"/>
        <v>0</v>
      </c>
      <c r="AG5" s="421">
        <f t="shared" si="4"/>
        <v>0</v>
      </c>
      <c r="AH5" s="423"/>
      <c r="AI5" s="423"/>
      <c r="AJ5" s="423"/>
    </row>
    <row r="6" spans="1:36" x14ac:dyDescent="0.6">
      <c r="A6" s="427" t="s">
        <v>252</v>
      </c>
      <c r="B6" s="422">
        <v>111064</v>
      </c>
      <c r="C6" s="422">
        <v>101207</v>
      </c>
      <c r="D6" s="422">
        <v>98855</v>
      </c>
      <c r="E6" s="422">
        <v>79411</v>
      </c>
      <c r="F6" s="422">
        <v>22447</v>
      </c>
      <c r="G6" s="422">
        <v>46441</v>
      </c>
      <c r="H6" s="422">
        <v>71762</v>
      </c>
      <c r="I6" s="422">
        <v>98722</v>
      </c>
      <c r="J6" s="422">
        <v>29664</v>
      </c>
      <c r="K6" s="422">
        <v>0</v>
      </c>
      <c r="L6" s="422">
        <v>0</v>
      </c>
      <c r="M6" s="422">
        <v>0</v>
      </c>
      <c r="N6" s="424">
        <v>0</v>
      </c>
      <c r="O6" s="422"/>
      <c r="P6" s="422">
        <f t="shared" si="0"/>
        <v>0</v>
      </c>
      <c r="Q6" s="422"/>
      <c r="R6" s="239"/>
      <c r="S6" s="239"/>
      <c r="T6" s="409" t="s">
        <v>252</v>
      </c>
      <c r="U6" s="421">
        <f t="shared" ref="U6:AG6" si="5">B6/B7</f>
        <v>8.5742585417182951E-2</v>
      </c>
      <c r="V6" s="421">
        <f t="shared" si="5"/>
        <v>7.1973670268182938E-2</v>
      </c>
      <c r="W6" s="421">
        <f t="shared" si="5"/>
        <v>7.1071256024754698E-2</v>
      </c>
      <c r="X6" s="421">
        <f t="shared" si="5"/>
        <v>6.010188658967526E-2</v>
      </c>
      <c r="Y6" s="421">
        <f t="shared" si="5"/>
        <v>5.688401206254276E-2</v>
      </c>
      <c r="Z6" s="421">
        <f t="shared" si="5"/>
        <v>5.812688761250577E-2</v>
      </c>
      <c r="AA6" s="421">
        <f t="shared" si="5"/>
        <v>5.978193862691978E-2</v>
      </c>
      <c r="AB6" s="421">
        <f t="shared" si="5"/>
        <v>6.0119359356921018E-2</v>
      </c>
      <c r="AC6" s="421">
        <f t="shared" si="5"/>
        <v>6.5296778524967264E-2</v>
      </c>
      <c r="AD6" s="421">
        <f t="shared" si="5"/>
        <v>0</v>
      </c>
      <c r="AE6" s="421">
        <f t="shared" si="5"/>
        <v>0</v>
      </c>
      <c r="AF6" s="421">
        <f t="shared" si="5"/>
        <v>0</v>
      </c>
      <c r="AG6" s="421">
        <f t="shared" si="5"/>
        <v>0</v>
      </c>
      <c r="AH6" s="423"/>
      <c r="AI6" s="423"/>
      <c r="AJ6" s="423"/>
    </row>
    <row r="7" spans="1:36" x14ac:dyDescent="0.6">
      <c r="A7" s="426" t="s">
        <v>45</v>
      </c>
      <c r="B7" s="410">
        <f t="shared" ref="B7:J7" si="6">B2+B5+B6</f>
        <v>1295319</v>
      </c>
      <c r="C7" s="410">
        <f t="shared" si="6"/>
        <v>1406167</v>
      </c>
      <c r="D7" s="410">
        <f t="shared" si="6"/>
        <v>1390928</v>
      </c>
      <c r="E7" s="410">
        <f t="shared" si="6"/>
        <v>1321273</v>
      </c>
      <c r="F7" s="410">
        <f t="shared" si="6"/>
        <v>394610</v>
      </c>
      <c r="G7" s="410">
        <f t="shared" si="6"/>
        <v>798959</v>
      </c>
      <c r="H7" s="410">
        <f t="shared" si="6"/>
        <v>1200396</v>
      </c>
      <c r="I7" s="410">
        <f t="shared" si="6"/>
        <v>1642100</v>
      </c>
      <c r="J7" s="410">
        <f t="shared" si="6"/>
        <v>454295</v>
      </c>
      <c r="K7" s="410">
        <f>SUM(K2:K6)</f>
        <v>823456</v>
      </c>
      <c r="L7" s="410">
        <f>SUM(L2:L6)</f>
        <v>1225734</v>
      </c>
      <c r="M7" s="410">
        <f>SUM(M2:M6)</f>
        <v>1636859</v>
      </c>
      <c r="N7" s="410">
        <f>SUM(N2:N6)</f>
        <v>438963</v>
      </c>
      <c r="O7" s="410"/>
      <c r="P7" s="422">
        <f t="shared" si="0"/>
        <v>1203137</v>
      </c>
      <c r="Q7" s="410">
        <f>B152</f>
        <v>1642100</v>
      </c>
      <c r="R7" s="239"/>
      <c r="T7" s="409" t="s">
        <v>45</v>
      </c>
      <c r="U7" s="415">
        <f t="shared" ref="U7:AG7" si="7">B7/B7</f>
        <v>1</v>
      </c>
      <c r="V7" s="415">
        <f t="shared" si="7"/>
        <v>1</v>
      </c>
      <c r="W7" s="415">
        <f t="shared" si="7"/>
        <v>1</v>
      </c>
      <c r="X7" s="415">
        <f t="shared" si="7"/>
        <v>1</v>
      </c>
      <c r="Y7" s="415">
        <f t="shared" si="7"/>
        <v>1</v>
      </c>
      <c r="Z7" s="415">
        <f t="shared" si="7"/>
        <v>1</v>
      </c>
      <c r="AA7" s="415">
        <f t="shared" si="7"/>
        <v>1</v>
      </c>
      <c r="AB7" s="415">
        <f t="shared" si="7"/>
        <v>1</v>
      </c>
      <c r="AC7" s="415">
        <f t="shared" si="7"/>
        <v>1</v>
      </c>
      <c r="AD7" s="415">
        <f t="shared" si="7"/>
        <v>1</v>
      </c>
      <c r="AE7" s="415">
        <f t="shared" si="7"/>
        <v>1</v>
      </c>
      <c r="AF7" s="415">
        <f t="shared" si="7"/>
        <v>1</v>
      </c>
      <c r="AG7" s="415">
        <f t="shared" si="7"/>
        <v>1</v>
      </c>
      <c r="AH7" s="425"/>
      <c r="AI7" s="425"/>
      <c r="AJ7" s="425"/>
    </row>
    <row r="10" spans="1:36" x14ac:dyDescent="0.6">
      <c r="A10" s="409" t="s">
        <v>172</v>
      </c>
      <c r="B10" s="409" t="s">
        <v>81</v>
      </c>
      <c r="C10" s="409" t="s">
        <v>80</v>
      </c>
      <c r="D10" s="409" t="s">
        <v>79</v>
      </c>
      <c r="E10" s="409" t="s">
        <v>78</v>
      </c>
      <c r="F10" s="409" t="s">
        <v>77</v>
      </c>
      <c r="G10" s="409" t="s">
        <v>76</v>
      </c>
      <c r="H10" s="409" t="s">
        <v>75</v>
      </c>
      <c r="I10" s="409" t="s">
        <v>74</v>
      </c>
      <c r="J10" s="409" t="s">
        <v>73</v>
      </c>
      <c r="K10" s="409" t="s">
        <v>72</v>
      </c>
      <c r="L10" s="409" t="s">
        <v>71</v>
      </c>
      <c r="M10" s="409" t="s">
        <v>70</v>
      </c>
      <c r="N10" s="409" t="s">
        <v>69</v>
      </c>
      <c r="O10" s="409" t="s">
        <v>68</v>
      </c>
      <c r="P10" s="409" t="s">
        <v>67</v>
      </c>
      <c r="Q10" s="409" t="s">
        <v>66</v>
      </c>
      <c r="T10" s="409" t="s">
        <v>172</v>
      </c>
      <c r="U10" s="409" t="s">
        <v>81</v>
      </c>
      <c r="V10" s="409" t="s">
        <v>80</v>
      </c>
      <c r="W10" s="409" t="s">
        <v>79</v>
      </c>
      <c r="X10" s="409" t="s">
        <v>78</v>
      </c>
      <c r="Y10" s="409" t="s">
        <v>77</v>
      </c>
      <c r="Z10" s="409" t="s">
        <v>76</v>
      </c>
      <c r="AA10" s="409" t="s">
        <v>75</v>
      </c>
      <c r="AB10" s="409" t="s">
        <v>74</v>
      </c>
      <c r="AC10" s="409" t="s">
        <v>73</v>
      </c>
      <c r="AD10" s="409" t="s">
        <v>72</v>
      </c>
      <c r="AE10" s="409" t="s">
        <v>71</v>
      </c>
      <c r="AF10" s="409" t="s">
        <v>70</v>
      </c>
      <c r="AG10" s="409" t="s">
        <v>69</v>
      </c>
      <c r="AH10" s="409" t="s">
        <v>68</v>
      </c>
      <c r="AI10" s="409" t="s">
        <v>67</v>
      </c>
      <c r="AJ10" s="409" t="s">
        <v>66</v>
      </c>
    </row>
    <row r="11" spans="1:36" x14ac:dyDescent="0.6">
      <c r="A11" s="409" t="s">
        <v>251</v>
      </c>
      <c r="B11" s="422">
        <v>779275</v>
      </c>
      <c r="C11" s="422">
        <v>1035449</v>
      </c>
      <c r="D11" s="422">
        <v>660828</v>
      </c>
      <c r="E11" s="422">
        <v>301504</v>
      </c>
      <c r="F11" s="422">
        <v>67866</v>
      </c>
      <c r="G11" s="422">
        <v>277040</v>
      </c>
      <c r="H11" s="422">
        <v>384902</v>
      </c>
      <c r="I11" s="422">
        <v>507652</v>
      </c>
      <c r="J11" s="422">
        <v>76525</v>
      </c>
      <c r="K11" s="422">
        <v>290894</v>
      </c>
      <c r="L11" s="422">
        <v>467210</v>
      </c>
      <c r="M11" s="422">
        <v>801962</v>
      </c>
      <c r="N11" s="424">
        <v>226579</v>
      </c>
      <c r="O11" s="422"/>
      <c r="P11" s="422">
        <f t="shared" ref="P11:P16" si="8">Q11-N11</f>
        <v>606973.89720111259</v>
      </c>
      <c r="Q11" s="422">
        <f>$Q$16*AJ11</f>
        <v>833552.89720111259</v>
      </c>
      <c r="T11" s="409" t="s">
        <v>251</v>
      </c>
      <c r="U11" s="421">
        <f t="shared" ref="U11:AG11" si="9">B11/B16</f>
        <v>0.81146162537031352</v>
      </c>
      <c r="V11" s="421">
        <f t="shared" si="9"/>
        <v>0.80693350166382216</v>
      </c>
      <c r="W11" s="421">
        <f t="shared" si="9"/>
        <v>0.71442641276485797</v>
      </c>
      <c r="X11" s="421">
        <f t="shared" si="9"/>
        <v>0.22876393241120815</v>
      </c>
      <c r="Y11" s="421">
        <f t="shared" si="9"/>
        <v>0.19589878591593204</v>
      </c>
      <c r="Z11" s="421">
        <f t="shared" si="9"/>
        <v>0.34876182251467547</v>
      </c>
      <c r="AA11" s="421">
        <f t="shared" si="9"/>
        <v>0.30995515377287308</v>
      </c>
      <c r="AB11" s="421">
        <f t="shared" si="9"/>
        <v>0.30953993881785657</v>
      </c>
      <c r="AC11" s="421">
        <f t="shared" si="9"/>
        <v>0.27538964801226434</v>
      </c>
      <c r="AD11" s="421">
        <f t="shared" si="9"/>
        <v>0.39875969332293348</v>
      </c>
      <c r="AE11" s="421">
        <f t="shared" si="9"/>
        <v>0.46967296502861006</v>
      </c>
      <c r="AF11" s="421">
        <f t="shared" si="9"/>
        <v>0.56389230693507897</v>
      </c>
      <c r="AG11" s="421">
        <f t="shared" si="9"/>
        <v>0.52435855008134558</v>
      </c>
      <c r="AH11" s="423"/>
      <c r="AI11" s="423"/>
      <c r="AJ11" s="421">
        <f>AVERAGE(AF11,AE11)</f>
        <v>0.51678263598184448</v>
      </c>
    </row>
    <row r="12" spans="1:36" x14ac:dyDescent="0.6">
      <c r="A12" s="409" t="s">
        <v>250</v>
      </c>
      <c r="B12" s="422">
        <v>2060</v>
      </c>
      <c r="C12" s="422">
        <v>0</v>
      </c>
      <c r="D12" s="422">
        <v>0</v>
      </c>
      <c r="E12" s="422">
        <v>0</v>
      </c>
      <c r="F12" s="422">
        <v>0</v>
      </c>
      <c r="G12" s="422">
        <v>0</v>
      </c>
      <c r="H12" s="422">
        <v>0</v>
      </c>
      <c r="I12" s="422">
        <v>502</v>
      </c>
      <c r="J12" s="422">
        <v>3953</v>
      </c>
      <c r="K12" s="422">
        <v>5018</v>
      </c>
      <c r="L12" s="422">
        <v>6539</v>
      </c>
      <c r="M12" s="422">
        <v>7140</v>
      </c>
      <c r="N12" s="424">
        <v>0</v>
      </c>
      <c r="O12" s="422"/>
      <c r="P12" s="422">
        <f t="shared" si="8"/>
        <v>4432.1026738734363</v>
      </c>
      <c r="Q12" s="422">
        <f>$Q$16*AJ12</f>
        <v>4432.1026738734363</v>
      </c>
      <c r="T12" s="409" t="s">
        <v>250</v>
      </c>
      <c r="U12" s="421">
        <f t="shared" ref="U12:AG12" si="10">B12/B16</f>
        <v>2.1450847881208119E-3</v>
      </c>
      <c r="V12" s="421">
        <f t="shared" si="10"/>
        <v>0</v>
      </c>
      <c r="W12" s="421">
        <f t="shared" si="10"/>
        <v>0</v>
      </c>
      <c r="X12" s="421">
        <f t="shared" si="10"/>
        <v>0</v>
      </c>
      <c r="Y12" s="421">
        <f t="shared" si="10"/>
        <v>0</v>
      </c>
      <c r="Z12" s="421">
        <f t="shared" si="10"/>
        <v>0</v>
      </c>
      <c r="AA12" s="421">
        <f t="shared" si="10"/>
        <v>0</v>
      </c>
      <c r="AB12" s="421">
        <f t="shared" si="10"/>
        <v>3.0609364148385904E-4</v>
      </c>
      <c r="AC12" s="421">
        <f t="shared" si="10"/>
        <v>1.4225616185462017E-2</v>
      </c>
      <c r="AD12" s="421">
        <f t="shared" si="10"/>
        <v>6.8787123182137829E-3</v>
      </c>
      <c r="AE12" s="421">
        <f t="shared" si="10"/>
        <v>6.5734712834102033E-3</v>
      </c>
      <c r="AF12" s="421">
        <f t="shared" si="10"/>
        <v>5.0204262440320911E-3</v>
      </c>
      <c r="AG12" s="421">
        <f t="shared" si="10"/>
        <v>0</v>
      </c>
      <c r="AH12" s="423"/>
      <c r="AI12" s="423"/>
      <c r="AJ12" s="421">
        <f>AVERAGE(AF12,AE12,U12:W12)</f>
        <v>2.747796463112621E-3</v>
      </c>
    </row>
    <row r="13" spans="1:36" x14ac:dyDescent="0.6">
      <c r="A13" s="409" t="s">
        <v>249</v>
      </c>
      <c r="B13" s="422">
        <v>1133</v>
      </c>
      <c r="C13" s="422">
        <v>12752</v>
      </c>
      <c r="D13" s="422">
        <v>4784</v>
      </c>
      <c r="E13" s="422">
        <v>11536</v>
      </c>
      <c r="F13" s="422">
        <v>6296</v>
      </c>
      <c r="G13" s="422">
        <v>16763</v>
      </c>
      <c r="H13" s="422">
        <v>24838</v>
      </c>
      <c r="I13" s="422">
        <v>34322</v>
      </c>
      <c r="J13" s="422">
        <v>8720</v>
      </c>
      <c r="K13" s="422">
        <v>18239</v>
      </c>
      <c r="L13" s="422">
        <v>22265</v>
      </c>
      <c r="M13" s="422">
        <v>30962</v>
      </c>
      <c r="N13" s="424">
        <v>7850</v>
      </c>
      <c r="O13" s="422"/>
      <c r="P13" s="422">
        <f t="shared" si="8"/>
        <v>11648.364845942819</v>
      </c>
      <c r="Q13" s="422">
        <f>$Q$16*AJ13</f>
        <v>19498.364845942819</v>
      </c>
      <c r="T13" s="409" t="s">
        <v>249</v>
      </c>
      <c r="U13" s="421">
        <f t="shared" ref="U13:AG13" si="11">B13/B16</f>
        <v>1.1797966334664465E-3</v>
      </c>
      <c r="V13" s="421">
        <f t="shared" si="11"/>
        <v>9.9377333052782513E-3</v>
      </c>
      <c r="W13" s="421">
        <f t="shared" si="11"/>
        <v>5.1720204934825407E-3</v>
      </c>
      <c r="X13" s="421">
        <f t="shared" si="11"/>
        <v>8.7528547690766869E-3</v>
      </c>
      <c r="Y13" s="421">
        <f t="shared" si="11"/>
        <v>1.8173735834242599E-2</v>
      </c>
      <c r="Z13" s="421">
        <f t="shared" si="11"/>
        <v>2.1102708745356285E-2</v>
      </c>
      <c r="AA13" s="421">
        <f t="shared" si="11"/>
        <v>2.0001626672271438E-2</v>
      </c>
      <c r="AB13" s="421">
        <f t="shared" si="11"/>
        <v>2.0927780802806793E-2</v>
      </c>
      <c r="AC13" s="421">
        <f t="shared" si="11"/>
        <v>3.1380564922142369E-2</v>
      </c>
      <c r="AD13" s="421">
        <f t="shared" si="11"/>
        <v>2.5002159021901393E-2</v>
      </c>
      <c r="AE13" s="421">
        <f t="shared" si="11"/>
        <v>2.2382373164876613E-2</v>
      </c>
      <c r="AF13" s="421">
        <f t="shared" si="11"/>
        <v>2.1770649491277536E-2</v>
      </c>
      <c r="AG13" s="421">
        <f t="shared" si="11"/>
        <v>1.8166796649903845E-2</v>
      </c>
      <c r="AH13" s="423"/>
      <c r="AI13" s="423"/>
      <c r="AJ13" s="421">
        <f>AVERAGE(AF13,AE13,U13:W13)</f>
        <v>1.2088514617676276E-2</v>
      </c>
    </row>
    <row r="14" spans="1:36" x14ac:dyDescent="0.6">
      <c r="A14" s="409" t="s">
        <v>248</v>
      </c>
      <c r="B14" s="422">
        <v>87901</v>
      </c>
      <c r="C14" s="422">
        <v>234989</v>
      </c>
      <c r="D14" s="422">
        <v>259365</v>
      </c>
      <c r="E14" s="422">
        <v>999939</v>
      </c>
      <c r="F14" s="422">
        <v>272272</v>
      </c>
      <c r="G14" s="422">
        <v>500550</v>
      </c>
      <c r="H14" s="422">
        <v>832059</v>
      </c>
      <c r="I14" s="422">
        <v>1097545</v>
      </c>
      <c r="J14" s="422">
        <v>188681</v>
      </c>
      <c r="K14" s="422">
        <v>415346</v>
      </c>
      <c r="L14" s="422">
        <v>498742</v>
      </c>
      <c r="M14" s="422">
        <v>582126</v>
      </c>
      <c r="N14" s="424">
        <v>197678</v>
      </c>
      <c r="O14" s="422"/>
      <c r="P14" s="422">
        <f t="shared" si="8"/>
        <v>540213.12883746019</v>
      </c>
      <c r="Q14" s="422">
        <f>$Q$16*AJ14</f>
        <v>737891.12883746019</v>
      </c>
      <c r="R14" s="239"/>
      <c r="S14" s="239"/>
      <c r="T14" s="409" t="s">
        <v>248</v>
      </c>
      <c r="U14" s="421">
        <f t="shared" ref="U14:AG14" si="12">B14/B16</f>
        <v>9.153160095175121E-2</v>
      </c>
      <c r="V14" s="421">
        <f t="shared" si="12"/>
        <v>0.18312876503089956</v>
      </c>
      <c r="W14" s="421">
        <f t="shared" si="12"/>
        <v>0.2804015667416595</v>
      </c>
      <c r="X14" s="421">
        <f t="shared" si="12"/>
        <v>0.75869632844450174</v>
      </c>
      <c r="Y14" s="421">
        <f t="shared" si="12"/>
        <v>0.78592747824982534</v>
      </c>
      <c r="Z14" s="421">
        <f t="shared" si="12"/>
        <v>0.63013546873996829</v>
      </c>
      <c r="AA14" s="421">
        <f t="shared" si="12"/>
        <v>0.67004321955485546</v>
      </c>
      <c r="AB14" s="421">
        <f t="shared" si="12"/>
        <v>0.66922618673785272</v>
      </c>
      <c r="AC14" s="421">
        <f t="shared" si="12"/>
        <v>0.67900417088013132</v>
      </c>
      <c r="AD14" s="421">
        <f t="shared" si="12"/>
        <v>0.56935943533695133</v>
      </c>
      <c r="AE14" s="421">
        <f t="shared" si="12"/>
        <v>0.50137119052310319</v>
      </c>
      <c r="AF14" s="421">
        <f t="shared" si="12"/>
        <v>0.40931661732961139</v>
      </c>
      <c r="AG14" s="421">
        <f t="shared" si="12"/>
        <v>0.45747465326875059</v>
      </c>
      <c r="AH14" s="423"/>
      <c r="AI14" s="423"/>
      <c r="AJ14" s="421">
        <f>AG14</f>
        <v>0.45747465326875059</v>
      </c>
    </row>
    <row r="15" spans="1:36" x14ac:dyDescent="0.6">
      <c r="A15" s="409" t="s">
        <v>220</v>
      </c>
      <c r="B15" s="422">
        <v>86711</v>
      </c>
      <c r="C15" s="422">
        <v>0</v>
      </c>
      <c r="D15" s="422">
        <v>0</v>
      </c>
      <c r="E15" s="422">
        <v>4991</v>
      </c>
      <c r="F15" s="422">
        <v>0</v>
      </c>
      <c r="G15" s="422">
        <v>0</v>
      </c>
      <c r="H15" s="422">
        <v>0</v>
      </c>
      <c r="I15" s="422">
        <v>0</v>
      </c>
      <c r="J15" s="422">
        <v>0</v>
      </c>
      <c r="K15" s="422">
        <v>0</v>
      </c>
      <c r="L15" s="422">
        <v>0</v>
      </c>
      <c r="M15" s="422">
        <v>0</v>
      </c>
      <c r="N15" s="424">
        <v>0</v>
      </c>
      <c r="O15" s="422"/>
      <c r="P15" s="422">
        <f t="shared" si="8"/>
        <v>0</v>
      </c>
      <c r="Q15" s="422">
        <f>$Q$16*AJ15</f>
        <v>0</v>
      </c>
      <c r="R15" s="254"/>
      <c r="S15" s="254"/>
      <c r="T15" s="409" t="s">
        <v>220</v>
      </c>
      <c r="U15" s="421">
        <f t="shared" ref="U15:AG15" si="13">B15/B16</f>
        <v>9.0292450030458118E-2</v>
      </c>
      <c r="V15" s="421">
        <f t="shared" si="13"/>
        <v>0</v>
      </c>
      <c r="W15" s="421">
        <f t="shared" si="13"/>
        <v>0</v>
      </c>
      <c r="X15" s="421">
        <f t="shared" si="13"/>
        <v>3.7868843752133963E-3</v>
      </c>
      <c r="Y15" s="421">
        <f t="shared" si="13"/>
        <v>0</v>
      </c>
      <c r="Z15" s="421">
        <f t="shared" si="13"/>
        <v>0</v>
      </c>
      <c r="AA15" s="421">
        <f t="shared" si="13"/>
        <v>0</v>
      </c>
      <c r="AB15" s="421">
        <f t="shared" si="13"/>
        <v>0</v>
      </c>
      <c r="AC15" s="421">
        <f t="shared" si="13"/>
        <v>0</v>
      </c>
      <c r="AD15" s="421">
        <f t="shared" si="13"/>
        <v>0</v>
      </c>
      <c r="AE15" s="421">
        <f t="shared" si="13"/>
        <v>0</v>
      </c>
      <c r="AF15" s="421">
        <f t="shared" si="13"/>
        <v>0</v>
      </c>
      <c r="AG15" s="421">
        <f t="shared" si="13"/>
        <v>0</v>
      </c>
      <c r="AH15" s="423"/>
      <c r="AI15" s="423"/>
      <c r="AJ15" s="421">
        <v>0</v>
      </c>
    </row>
    <row r="16" spans="1:36" x14ac:dyDescent="0.6">
      <c r="A16" s="409" t="s">
        <v>45</v>
      </c>
      <c r="B16" s="422">
        <v>960335</v>
      </c>
      <c r="C16" s="422">
        <v>1283190</v>
      </c>
      <c r="D16" s="422">
        <v>924977</v>
      </c>
      <c r="E16" s="422">
        <v>1317970</v>
      </c>
      <c r="F16" s="422">
        <v>346434</v>
      </c>
      <c r="G16" s="422">
        <v>794353</v>
      </c>
      <c r="H16" s="422">
        <v>1241799</v>
      </c>
      <c r="I16" s="422">
        <v>1640021</v>
      </c>
      <c r="J16" s="422">
        <v>277879</v>
      </c>
      <c r="K16" s="422">
        <v>729497</v>
      </c>
      <c r="L16" s="422">
        <v>994756</v>
      </c>
      <c r="M16" s="422">
        <v>1422190</v>
      </c>
      <c r="N16" s="424">
        <v>432107</v>
      </c>
      <c r="O16" s="422"/>
      <c r="P16" s="422">
        <f t="shared" si="8"/>
        <v>1180859.1470096237</v>
      </c>
      <c r="Q16" s="422">
        <f>Q7*AJ16</f>
        <v>1612966.1470096237</v>
      </c>
      <c r="R16" s="239"/>
      <c r="S16" s="239"/>
      <c r="T16" s="409" t="s">
        <v>45</v>
      </c>
      <c r="U16" s="421">
        <f t="shared" ref="U16:AG16" si="14">B16/B2</f>
        <v>0.89391447291872028</v>
      </c>
      <c r="V16" s="421">
        <f t="shared" si="14"/>
        <v>1.0914718738809392</v>
      </c>
      <c r="W16" s="421">
        <f t="shared" si="14"/>
        <v>0.78442924357091248</v>
      </c>
      <c r="X16" s="421">
        <f t="shared" si="14"/>
        <v>1.1331937014319149</v>
      </c>
      <c r="Y16" s="421">
        <f t="shared" si="14"/>
        <v>0.99535984875692796</v>
      </c>
      <c r="Z16" s="421">
        <f t="shared" si="14"/>
        <v>1.1246855040925174</v>
      </c>
      <c r="AA16" s="421">
        <f t="shared" si="14"/>
        <v>1.1815561767711464</v>
      </c>
      <c r="AB16" s="421">
        <f t="shared" si="14"/>
        <v>1.1410222872194618</v>
      </c>
      <c r="AC16" s="421">
        <f t="shared" si="14"/>
        <v>0.69994886636994047</v>
      </c>
      <c r="AD16" s="421">
        <f t="shared" si="14"/>
        <v>0.99124386329882419</v>
      </c>
      <c r="AE16" s="421">
        <f t="shared" si="14"/>
        <v>0.91426082033447176</v>
      </c>
      <c r="AF16" s="421">
        <f t="shared" si="14"/>
        <v>0.98225817368590451</v>
      </c>
      <c r="AG16" s="421">
        <f t="shared" si="14"/>
        <v>1.1218167893349948</v>
      </c>
      <c r="AH16" s="423"/>
      <c r="AI16" s="423"/>
      <c r="AJ16" s="421">
        <f>AF16</f>
        <v>0.98225817368590451</v>
      </c>
    </row>
    <row r="18" spans="1:36" x14ac:dyDescent="0.6">
      <c r="I18" s="239"/>
      <c r="J18" s="239"/>
      <c r="K18" s="239"/>
      <c r="M18" s="239"/>
      <c r="N18" s="239"/>
      <c r="O18" s="239"/>
      <c r="P18" s="239"/>
      <c r="R18" s="239"/>
      <c r="S18" s="239"/>
      <c r="AB18" s="239"/>
      <c r="AC18" s="239"/>
      <c r="AD18" s="239"/>
      <c r="AF18" s="239"/>
      <c r="AG18" s="239"/>
      <c r="AH18" s="239"/>
      <c r="AI18" s="239"/>
    </row>
    <row r="19" spans="1:36" x14ac:dyDescent="0.6">
      <c r="A19" s="409" t="s">
        <v>167</v>
      </c>
      <c r="B19" s="409" t="s">
        <v>81</v>
      </c>
      <c r="C19" s="409" t="s">
        <v>80</v>
      </c>
      <c r="D19" s="409" t="s">
        <v>79</v>
      </c>
      <c r="E19" s="409" t="s">
        <v>78</v>
      </c>
      <c r="F19" s="409" t="s">
        <v>77</v>
      </c>
      <c r="G19" s="409" t="s">
        <v>76</v>
      </c>
      <c r="H19" s="409" t="s">
        <v>75</v>
      </c>
      <c r="I19" s="409" t="s">
        <v>74</v>
      </c>
      <c r="J19" s="409" t="s">
        <v>73</v>
      </c>
      <c r="K19" s="409" t="s">
        <v>72</v>
      </c>
      <c r="L19" s="409" t="s">
        <v>71</v>
      </c>
      <c r="M19" s="409" t="s">
        <v>70</v>
      </c>
      <c r="N19" s="409" t="s">
        <v>69</v>
      </c>
      <c r="O19" s="409" t="s">
        <v>68</v>
      </c>
      <c r="P19" s="409" t="s">
        <v>67</v>
      </c>
      <c r="Q19" s="409" t="s">
        <v>66</v>
      </c>
      <c r="T19" s="409" t="s">
        <v>167</v>
      </c>
      <c r="U19" s="409" t="s">
        <v>81</v>
      </c>
      <c r="V19" s="409" t="s">
        <v>80</v>
      </c>
      <c r="W19" s="409" t="s">
        <v>79</v>
      </c>
      <c r="X19" s="409" t="s">
        <v>78</v>
      </c>
      <c r="Y19" s="409" t="s">
        <v>77</v>
      </c>
      <c r="Z19" s="409" t="s">
        <v>76</v>
      </c>
      <c r="AA19" s="409" t="s">
        <v>75</v>
      </c>
      <c r="AB19" s="409" t="s">
        <v>74</v>
      </c>
      <c r="AC19" s="409" t="s">
        <v>73</v>
      </c>
      <c r="AD19" s="409" t="s">
        <v>72</v>
      </c>
      <c r="AE19" s="409" t="s">
        <v>71</v>
      </c>
      <c r="AF19" s="409" t="s">
        <v>70</v>
      </c>
      <c r="AG19" s="409" t="s">
        <v>69</v>
      </c>
      <c r="AH19" s="409" t="s">
        <v>68</v>
      </c>
      <c r="AI19" s="409" t="s">
        <v>67</v>
      </c>
      <c r="AJ19" s="409" t="s">
        <v>66</v>
      </c>
    </row>
    <row r="20" spans="1:36" x14ac:dyDescent="0.6">
      <c r="A20" s="409" t="s">
        <v>251</v>
      </c>
      <c r="B20" s="422">
        <v>11190262</v>
      </c>
      <c r="C20" s="422">
        <v>14969436</v>
      </c>
      <c r="D20" s="422">
        <v>7866793</v>
      </c>
      <c r="E20" s="422">
        <v>3926603</v>
      </c>
      <c r="F20" s="422">
        <v>1079831</v>
      </c>
      <c r="G20" s="422">
        <v>4337418</v>
      </c>
      <c r="H20" s="422">
        <v>6298477</v>
      </c>
      <c r="I20" s="422">
        <v>8750912</v>
      </c>
      <c r="J20" s="422">
        <v>1696747</v>
      </c>
      <c r="K20" s="422">
        <v>6951658</v>
      </c>
      <c r="L20" s="422">
        <v>12047904</v>
      </c>
      <c r="M20" s="422">
        <v>21978345</v>
      </c>
      <c r="N20" s="424">
        <v>7925862</v>
      </c>
      <c r="O20" s="422"/>
      <c r="P20" s="422">
        <f>P11*P29/1000000</f>
        <v>23004772.973777667</v>
      </c>
      <c r="Q20" s="422"/>
      <c r="R20" s="239"/>
      <c r="S20" s="239"/>
      <c r="T20" s="409" t="s">
        <v>251</v>
      </c>
      <c r="U20" s="421">
        <f t="shared" ref="U20:AG20" si="15">B20/B25</f>
        <v>0.87229033133628475</v>
      </c>
      <c r="V20" s="421">
        <f t="shared" si="15"/>
        <v>0.81241005557322088</v>
      </c>
      <c r="W20" s="421">
        <f t="shared" si="15"/>
        <v>0.77195025750178858</v>
      </c>
      <c r="X20" s="421">
        <f t="shared" si="15"/>
        <v>0.25691202140718145</v>
      </c>
      <c r="Y20" s="421">
        <f t="shared" si="15"/>
        <v>0.2044995812783906</v>
      </c>
      <c r="Z20" s="421">
        <f t="shared" si="15"/>
        <v>0.36446474263177003</v>
      </c>
      <c r="AA20" s="421">
        <f t="shared" si="15"/>
        <v>0.32935822105646539</v>
      </c>
      <c r="AB20" s="421">
        <f t="shared" si="15"/>
        <v>0.31835401569921989</v>
      </c>
      <c r="AC20" s="421">
        <f t="shared" si="15"/>
        <v>0.29528342734387669</v>
      </c>
      <c r="AD20" s="421">
        <f t="shared" si="15"/>
        <v>0.41947441831416932</v>
      </c>
      <c r="AE20" s="421">
        <f t="shared" si="15"/>
        <v>0.48443432714197632</v>
      </c>
      <c r="AF20" s="421">
        <f t="shared" si="15"/>
        <v>0.58984541424396075</v>
      </c>
      <c r="AG20" s="421">
        <f t="shared" si="15"/>
        <v>0.53578940878807269</v>
      </c>
      <c r="AH20" s="423"/>
      <c r="AI20" s="423"/>
      <c r="AJ20" s="423"/>
    </row>
    <row r="21" spans="1:36" x14ac:dyDescent="0.6">
      <c r="A21" s="409" t="s">
        <v>250</v>
      </c>
      <c r="B21" s="422">
        <v>12699</v>
      </c>
      <c r="C21" s="422">
        <v>0</v>
      </c>
      <c r="D21" s="422">
        <v>0</v>
      </c>
      <c r="E21" s="422">
        <v>0</v>
      </c>
      <c r="F21" s="422">
        <v>0</v>
      </c>
      <c r="G21" s="422">
        <v>0</v>
      </c>
      <c r="H21" s="422">
        <v>0</v>
      </c>
      <c r="I21" s="422">
        <v>3617</v>
      </c>
      <c r="J21" s="422">
        <v>28462</v>
      </c>
      <c r="K21" s="422">
        <v>36126</v>
      </c>
      <c r="L21" s="422">
        <v>47082</v>
      </c>
      <c r="M21" s="422">
        <v>51406</v>
      </c>
      <c r="N21" s="424">
        <v>0</v>
      </c>
      <c r="O21" s="422"/>
      <c r="P21" s="422">
        <f>P12*P30/1000000</f>
        <v>53210.51582964867</v>
      </c>
      <c r="Q21" s="422"/>
      <c r="T21" s="409" t="s">
        <v>250</v>
      </c>
      <c r="U21" s="421">
        <f t="shared" ref="U21:AG21" si="16">B21/B25</f>
        <v>9.8989772693789291E-4</v>
      </c>
      <c r="V21" s="421">
        <f t="shared" si="16"/>
        <v>0</v>
      </c>
      <c r="W21" s="421">
        <f t="shared" si="16"/>
        <v>0</v>
      </c>
      <c r="X21" s="421">
        <f t="shared" si="16"/>
        <v>0</v>
      </c>
      <c r="Y21" s="421">
        <f t="shared" si="16"/>
        <v>0</v>
      </c>
      <c r="Z21" s="421">
        <f t="shared" si="16"/>
        <v>0</v>
      </c>
      <c r="AA21" s="421">
        <f t="shared" si="16"/>
        <v>0</v>
      </c>
      <c r="AB21" s="421">
        <f t="shared" si="16"/>
        <v>1.3158473937163102E-4</v>
      </c>
      <c r="AC21" s="421">
        <f t="shared" si="16"/>
        <v>4.953217485613011E-3</v>
      </c>
      <c r="AD21" s="421">
        <f t="shared" si="16"/>
        <v>2.1799019508752706E-3</v>
      </c>
      <c r="AE21" s="421">
        <f t="shared" si="16"/>
        <v>1.8931207445293829E-3</v>
      </c>
      <c r="AF21" s="421">
        <f t="shared" si="16"/>
        <v>1.379612221239818E-3</v>
      </c>
      <c r="AG21" s="421">
        <f t="shared" si="16"/>
        <v>0</v>
      </c>
      <c r="AH21" s="423"/>
      <c r="AI21" s="423"/>
      <c r="AJ21" s="423"/>
    </row>
    <row r="22" spans="1:36" x14ac:dyDescent="0.6">
      <c r="A22" s="409" t="s">
        <v>249</v>
      </c>
      <c r="B22" s="422">
        <v>476</v>
      </c>
      <c r="C22" s="422">
        <v>487</v>
      </c>
      <c r="D22" s="422">
        <v>727</v>
      </c>
      <c r="E22" s="422">
        <v>7167</v>
      </c>
      <c r="F22" s="422">
        <v>1960</v>
      </c>
      <c r="G22" s="422">
        <v>3204</v>
      </c>
      <c r="H22" s="422">
        <v>4135</v>
      </c>
      <c r="I22" s="422">
        <v>5919</v>
      </c>
      <c r="J22" s="422">
        <v>1693</v>
      </c>
      <c r="K22" s="422">
        <v>6239</v>
      </c>
      <c r="L22" s="422">
        <v>6750</v>
      </c>
      <c r="M22" s="422">
        <v>7355</v>
      </c>
      <c r="N22" s="424">
        <v>1195</v>
      </c>
      <c r="O22" s="422"/>
      <c r="P22" s="422">
        <f>P13*P31/1000000</f>
        <v>4443.8179568916312</v>
      </c>
      <c r="Q22" s="422"/>
      <c r="R22" s="239"/>
      <c r="S22" s="239"/>
      <c r="T22" s="409" t="s">
        <v>249</v>
      </c>
      <c r="U22" s="421">
        <f t="shared" ref="U22:AG22" si="17">B22/B25</f>
        <v>3.7104600206507368E-5</v>
      </c>
      <c r="V22" s="421">
        <f t="shared" si="17"/>
        <v>2.64301004436078E-5</v>
      </c>
      <c r="W22" s="421">
        <f t="shared" si="17"/>
        <v>7.1338833652264693E-5</v>
      </c>
      <c r="X22" s="421">
        <f t="shared" si="17"/>
        <v>4.6892656513155753E-4</v>
      </c>
      <c r="Y22" s="421">
        <f t="shared" si="17"/>
        <v>3.7118695361185736E-4</v>
      </c>
      <c r="Z22" s="421">
        <f t="shared" si="17"/>
        <v>2.6922584712660649E-4</v>
      </c>
      <c r="AA22" s="421">
        <f t="shared" si="17"/>
        <v>2.1622627883986626E-4</v>
      </c>
      <c r="AB22" s="421">
        <f t="shared" si="17"/>
        <v>2.1533040429656735E-4</v>
      </c>
      <c r="AC22" s="421">
        <f t="shared" si="17"/>
        <v>2.9463134014274568E-4</v>
      </c>
      <c r="AD22" s="421">
        <f t="shared" si="17"/>
        <v>3.7647146851328163E-4</v>
      </c>
      <c r="AE22" s="421">
        <f t="shared" si="17"/>
        <v>2.7141083695623243E-4</v>
      </c>
      <c r="AF22" s="421">
        <f t="shared" si="17"/>
        <v>1.9739034134573516E-4</v>
      </c>
      <c r="AG22" s="421">
        <f t="shared" si="17"/>
        <v>8.0782171516706559E-5</v>
      </c>
      <c r="AH22" s="423"/>
      <c r="AI22" s="423"/>
      <c r="AJ22" s="423"/>
    </row>
    <row r="23" spans="1:36" x14ac:dyDescent="0.6">
      <c r="A23" s="409" t="s">
        <v>248</v>
      </c>
      <c r="B23" s="422">
        <v>921000</v>
      </c>
      <c r="C23" s="422">
        <v>3456038</v>
      </c>
      <c r="D23" s="422">
        <v>2323283</v>
      </c>
      <c r="E23" s="422">
        <v>11316997</v>
      </c>
      <c r="F23" s="422">
        <v>4198567</v>
      </c>
      <c r="G23" s="422">
        <v>7560167</v>
      </c>
      <c r="H23" s="422">
        <v>12820873</v>
      </c>
      <c r="I23" s="422">
        <v>18727542</v>
      </c>
      <c r="J23" s="422">
        <v>4019262</v>
      </c>
      <c r="K23" s="422">
        <v>9578282</v>
      </c>
      <c r="L23" s="422">
        <v>12768310</v>
      </c>
      <c r="M23" s="422">
        <v>15224089</v>
      </c>
      <c r="N23" s="424">
        <v>6865811</v>
      </c>
      <c r="O23" s="422"/>
      <c r="P23" s="422">
        <f>P14*P32/1000000</f>
        <v>19906853.797660407</v>
      </c>
      <c r="Q23" s="422"/>
      <c r="T23" s="409" t="s">
        <v>248</v>
      </c>
      <c r="U23" s="421">
        <f t="shared" ref="U23:AG23" si="18">B23/B25</f>
        <v>7.1792724349145562E-2</v>
      </c>
      <c r="V23" s="421">
        <f t="shared" si="18"/>
        <v>0.18756351432633556</v>
      </c>
      <c r="W23" s="421">
        <f t="shared" si="18"/>
        <v>0.22797840366455913</v>
      </c>
      <c r="X23" s="421">
        <f t="shared" si="18"/>
        <v>0.74045493662817652</v>
      </c>
      <c r="Y23" s="421">
        <f t="shared" si="18"/>
        <v>0.79512923176799755</v>
      </c>
      <c r="Z23" s="421">
        <f t="shared" si="18"/>
        <v>0.63526603152110339</v>
      </c>
      <c r="AA23" s="421">
        <f t="shared" si="18"/>
        <v>0.67042555266469472</v>
      </c>
      <c r="AB23" s="421">
        <f t="shared" si="18"/>
        <v>0.68129906915711191</v>
      </c>
      <c r="AC23" s="421">
        <f t="shared" si="18"/>
        <v>0.69946872383036751</v>
      </c>
      <c r="AD23" s="421">
        <f t="shared" si="18"/>
        <v>0.57796920826644216</v>
      </c>
      <c r="AE23" s="421">
        <f t="shared" si="18"/>
        <v>0.51340114127653802</v>
      </c>
      <c r="AF23" s="421">
        <f t="shared" si="18"/>
        <v>0.40857758319345366</v>
      </c>
      <c r="AG23" s="421">
        <f t="shared" si="18"/>
        <v>0.46412980904041057</v>
      </c>
      <c r="AH23" s="423"/>
      <c r="AI23" s="423"/>
      <c r="AJ23" s="423"/>
    </row>
    <row r="24" spans="1:36" x14ac:dyDescent="0.6">
      <c r="A24" s="409" t="s">
        <v>220</v>
      </c>
      <c r="B24" s="422">
        <v>645579</v>
      </c>
      <c r="C24" s="422">
        <v>0</v>
      </c>
      <c r="D24" s="422">
        <v>0</v>
      </c>
      <c r="E24" s="422">
        <v>33076</v>
      </c>
      <c r="F24" s="422">
        <v>0</v>
      </c>
      <c r="G24" s="422">
        <v>0</v>
      </c>
      <c r="H24" s="422">
        <v>0</v>
      </c>
      <c r="I24" s="422">
        <v>0</v>
      </c>
      <c r="J24" s="422">
        <v>0</v>
      </c>
      <c r="K24" s="422">
        <v>0</v>
      </c>
      <c r="L24" s="422">
        <v>0</v>
      </c>
      <c r="M24" s="422">
        <v>0</v>
      </c>
      <c r="N24" s="424">
        <v>0</v>
      </c>
      <c r="O24" s="422"/>
      <c r="P24" s="422">
        <f>P15*P33/1000000</f>
        <v>0</v>
      </c>
      <c r="Q24" s="422"/>
      <c r="T24" s="409" t="s">
        <v>220</v>
      </c>
      <c r="U24" s="421">
        <f t="shared" ref="U24:AG24" si="19">B24/B25</f>
        <v>5.0323425833438698E-2</v>
      </c>
      <c r="V24" s="421">
        <f t="shared" si="19"/>
        <v>0</v>
      </c>
      <c r="W24" s="421">
        <f t="shared" si="19"/>
        <v>0</v>
      </c>
      <c r="X24" s="421">
        <f t="shared" si="19"/>
        <v>2.1641153995104502E-3</v>
      </c>
      <c r="Y24" s="421">
        <f t="shared" si="19"/>
        <v>0</v>
      </c>
      <c r="Z24" s="421">
        <f t="shared" si="19"/>
        <v>0</v>
      </c>
      <c r="AA24" s="421">
        <f t="shared" si="19"/>
        <v>0</v>
      </c>
      <c r="AB24" s="421">
        <f t="shared" si="19"/>
        <v>0</v>
      </c>
      <c r="AC24" s="421">
        <f t="shared" si="19"/>
        <v>0</v>
      </c>
      <c r="AD24" s="421">
        <f t="shared" si="19"/>
        <v>0</v>
      </c>
      <c r="AE24" s="421">
        <f t="shared" si="19"/>
        <v>0</v>
      </c>
      <c r="AF24" s="421">
        <f t="shared" si="19"/>
        <v>0</v>
      </c>
      <c r="AG24" s="421">
        <f t="shared" si="19"/>
        <v>0</v>
      </c>
      <c r="AH24" s="423"/>
      <c r="AI24" s="423"/>
      <c r="AJ24" s="423"/>
    </row>
    <row r="25" spans="1:36" x14ac:dyDescent="0.6">
      <c r="A25" s="409" t="s">
        <v>45</v>
      </c>
      <c r="B25" s="422">
        <v>12828598</v>
      </c>
      <c r="C25" s="422">
        <v>18425961</v>
      </c>
      <c r="D25" s="422">
        <f>SUM(D20:D24)</f>
        <v>10190803</v>
      </c>
      <c r="E25" s="422">
        <f>SUM(E20:E24)</f>
        <v>15283843</v>
      </c>
      <c r="F25" s="422">
        <v>5280358</v>
      </c>
      <c r="G25" s="422">
        <v>11900789</v>
      </c>
      <c r="H25" s="422">
        <v>19123485</v>
      </c>
      <c r="I25" s="422">
        <v>27487990</v>
      </c>
      <c r="J25" s="422">
        <v>5746164</v>
      </c>
      <c r="K25" s="422">
        <v>16572305</v>
      </c>
      <c r="L25" s="422">
        <v>24870046</v>
      </c>
      <c r="M25" s="422">
        <v>37261195</v>
      </c>
      <c r="N25" s="424">
        <v>14792868</v>
      </c>
      <c r="O25" s="422"/>
      <c r="P25" s="422">
        <f>SUM(P20:P24)</f>
        <v>42969281.105224609</v>
      </c>
      <c r="Q25" s="422">
        <f>P25+N25</f>
        <v>57762149.105224609</v>
      </c>
      <c r="R25" s="254"/>
      <c r="S25" s="254"/>
      <c r="T25" s="409" t="s">
        <v>45</v>
      </c>
      <c r="U25" s="421">
        <f t="shared" ref="U25:AG25" si="20">B25/B25</f>
        <v>1</v>
      </c>
      <c r="V25" s="421">
        <f t="shared" si="20"/>
        <v>1</v>
      </c>
      <c r="W25" s="421">
        <f t="shared" si="20"/>
        <v>1</v>
      </c>
      <c r="X25" s="421">
        <f t="shared" si="20"/>
        <v>1</v>
      </c>
      <c r="Y25" s="421">
        <f t="shared" si="20"/>
        <v>1</v>
      </c>
      <c r="Z25" s="421">
        <f t="shared" si="20"/>
        <v>1</v>
      </c>
      <c r="AA25" s="421">
        <f t="shared" si="20"/>
        <v>1</v>
      </c>
      <c r="AB25" s="421">
        <f t="shared" si="20"/>
        <v>1</v>
      </c>
      <c r="AC25" s="421">
        <f t="shared" si="20"/>
        <v>1</v>
      </c>
      <c r="AD25" s="421">
        <f t="shared" si="20"/>
        <v>1</v>
      </c>
      <c r="AE25" s="421">
        <f t="shared" si="20"/>
        <v>1</v>
      </c>
      <c r="AF25" s="421">
        <f t="shared" si="20"/>
        <v>1</v>
      </c>
      <c r="AG25" s="421">
        <f t="shared" si="20"/>
        <v>1</v>
      </c>
      <c r="AH25" s="423"/>
      <c r="AI25" s="423"/>
      <c r="AJ25" s="423"/>
    </row>
    <row r="26" spans="1:36" x14ac:dyDescent="0.6">
      <c r="I26" s="254"/>
      <c r="J26" s="254"/>
      <c r="K26" s="254"/>
      <c r="M26" s="254"/>
      <c r="N26" s="254"/>
      <c r="O26" s="254"/>
      <c r="P26" s="254"/>
      <c r="R26" s="254"/>
      <c r="S26" s="254"/>
      <c r="AB26" s="254"/>
      <c r="AC26" s="254"/>
      <c r="AD26" s="254"/>
      <c r="AF26" s="254"/>
      <c r="AG26" s="254"/>
      <c r="AH26" s="254"/>
      <c r="AI26" s="254"/>
    </row>
    <row r="27" spans="1:36" x14ac:dyDescent="0.6">
      <c r="I27" s="254"/>
      <c r="J27" s="254"/>
      <c r="M27" s="254"/>
      <c r="N27" s="254"/>
      <c r="O27" s="254"/>
      <c r="P27" s="254"/>
      <c r="Q27" s="254"/>
      <c r="R27" s="254"/>
      <c r="S27" s="254"/>
      <c r="AB27" s="254"/>
      <c r="AC27" s="254"/>
      <c r="AF27" s="254"/>
      <c r="AG27" s="254"/>
      <c r="AH27" s="254"/>
      <c r="AI27" s="254"/>
      <c r="AJ27" s="254"/>
    </row>
    <row r="28" spans="1:36" x14ac:dyDescent="0.6">
      <c r="A28" s="409" t="s">
        <v>165</v>
      </c>
      <c r="B28" s="409" t="s">
        <v>81</v>
      </c>
      <c r="C28" s="409" t="s">
        <v>80</v>
      </c>
      <c r="D28" s="409" t="s">
        <v>79</v>
      </c>
      <c r="E28" s="409" t="s">
        <v>78</v>
      </c>
      <c r="F28" s="409" t="s">
        <v>77</v>
      </c>
      <c r="G28" s="409" t="s">
        <v>76</v>
      </c>
      <c r="H28" s="409" t="s">
        <v>75</v>
      </c>
      <c r="I28" s="409" t="s">
        <v>74</v>
      </c>
      <c r="J28" s="409" t="s">
        <v>73</v>
      </c>
      <c r="K28" s="409" t="s">
        <v>72</v>
      </c>
      <c r="L28" s="409" t="s">
        <v>71</v>
      </c>
      <c r="M28" s="409" t="s">
        <v>70</v>
      </c>
      <c r="N28" s="409" t="s">
        <v>69</v>
      </c>
      <c r="O28" s="409" t="s">
        <v>68</v>
      </c>
      <c r="P28" s="409" t="s">
        <v>67</v>
      </c>
      <c r="Q28" s="409" t="s">
        <v>66</v>
      </c>
      <c r="R28" s="239"/>
      <c r="S28" s="239"/>
      <c r="T28" s="409" t="s">
        <v>165</v>
      </c>
      <c r="U28" s="409" t="s">
        <v>81</v>
      </c>
      <c r="V28" s="409" t="s">
        <v>80</v>
      </c>
      <c r="W28" s="409" t="s">
        <v>79</v>
      </c>
      <c r="X28" s="409" t="s">
        <v>78</v>
      </c>
      <c r="Y28" s="409" t="s">
        <v>77</v>
      </c>
      <c r="Z28" s="409" t="s">
        <v>76</v>
      </c>
      <c r="AA28" s="409" t="s">
        <v>75</v>
      </c>
      <c r="AB28" s="409" t="s">
        <v>74</v>
      </c>
      <c r="AC28" s="409" t="s">
        <v>73</v>
      </c>
      <c r="AD28" s="409" t="s">
        <v>72</v>
      </c>
      <c r="AE28" s="409" t="s">
        <v>71</v>
      </c>
      <c r="AF28" s="409" t="s">
        <v>70</v>
      </c>
      <c r="AG28" s="409" t="s">
        <v>69</v>
      </c>
      <c r="AH28" s="409" t="s">
        <v>68</v>
      </c>
      <c r="AI28" s="409" t="s">
        <v>67</v>
      </c>
      <c r="AJ28" s="409" t="s">
        <v>66</v>
      </c>
    </row>
    <row r="29" spans="1:36" x14ac:dyDescent="0.6">
      <c r="A29" s="409" t="s">
        <v>251</v>
      </c>
      <c r="B29" s="422">
        <f t="shared" ref="B29:N29" si="21">B20*1000000/B11</f>
        <v>14359837.028006801</v>
      </c>
      <c r="C29" s="422">
        <f t="shared" si="21"/>
        <v>14456951.525376914</v>
      </c>
      <c r="D29" s="422">
        <f t="shared" si="21"/>
        <v>11904448.661376335</v>
      </c>
      <c r="E29" s="422">
        <f t="shared" si="21"/>
        <v>13023386.091063468</v>
      </c>
      <c r="F29" s="422">
        <f t="shared" si="21"/>
        <v>15911222.114166152</v>
      </c>
      <c r="G29" s="422">
        <f t="shared" si="21"/>
        <v>15656287.900664164</v>
      </c>
      <c r="H29" s="422">
        <f t="shared" si="21"/>
        <v>16363845.86206359</v>
      </c>
      <c r="I29" s="422">
        <f t="shared" si="21"/>
        <v>17238013.442279357</v>
      </c>
      <c r="J29" s="422">
        <f t="shared" si="21"/>
        <v>22172453.446586084</v>
      </c>
      <c r="K29" s="422">
        <f t="shared" si="21"/>
        <v>23897564.061135672</v>
      </c>
      <c r="L29" s="422">
        <f t="shared" si="21"/>
        <v>25786913.80749556</v>
      </c>
      <c r="M29" s="422">
        <f t="shared" si="21"/>
        <v>27405718.72482736</v>
      </c>
      <c r="N29" s="422">
        <f t="shared" si="21"/>
        <v>34980567.484188735</v>
      </c>
      <c r="O29" s="422"/>
      <c r="P29" s="422">
        <f>$P$32*AJ29</f>
        <v>37900761.597587034</v>
      </c>
      <c r="Q29" s="422"/>
      <c r="T29" s="409" t="s">
        <v>251</v>
      </c>
      <c r="U29" s="421">
        <f>B29/B32</f>
        <v>1.3705146955470422</v>
      </c>
      <c r="V29" s="421">
        <f t="shared" ref="V29:AG29" si="22">C29/C32</f>
        <v>0.98298241570167799</v>
      </c>
      <c r="W29" s="421">
        <f t="shared" si="22"/>
        <v>1.3289802951503855</v>
      </c>
      <c r="X29" s="421">
        <f t="shared" si="22"/>
        <v>1.1507108877480408</v>
      </c>
      <c r="Y29" s="421">
        <f t="shared" si="22"/>
        <v>1.0318235406195129</v>
      </c>
      <c r="Z29" s="421">
        <f t="shared" si="22"/>
        <v>1.0365848940476377</v>
      </c>
      <c r="AA29" s="421">
        <f t="shared" si="22"/>
        <v>1.0619936118346049</v>
      </c>
      <c r="AB29" s="421">
        <f t="shared" si="22"/>
        <v>1.010249794847957</v>
      </c>
      <c r="AC29" s="421">
        <f t="shared" si="22"/>
        <v>1.0408678729466527</v>
      </c>
      <c r="AD29" s="421">
        <f t="shared" si="22"/>
        <v>1.0362774496028053</v>
      </c>
      <c r="AE29" s="421">
        <f t="shared" si="22"/>
        <v>1.0072607076565301</v>
      </c>
      <c r="AF29" s="421">
        <f t="shared" si="22"/>
        <v>1.047916983302505</v>
      </c>
      <c r="AG29" s="421">
        <f t="shared" si="22"/>
        <v>1.0071481168269067</v>
      </c>
      <c r="AH29" s="421"/>
      <c r="AI29" s="421"/>
      <c r="AJ29" s="421">
        <f>AVERAGE(AB29:AF29)</f>
        <v>1.0285145616712899</v>
      </c>
    </row>
    <row r="30" spans="1:36" x14ac:dyDescent="0.6">
      <c r="A30" s="409" t="s">
        <v>250</v>
      </c>
      <c r="B30" s="422">
        <f>B21*1000000/B12</f>
        <v>6164563.1067961166</v>
      </c>
      <c r="C30" s="422">
        <v>0</v>
      </c>
      <c r="D30" s="422">
        <v>0</v>
      </c>
      <c r="E30" s="422">
        <v>0</v>
      </c>
      <c r="F30" s="422">
        <v>0</v>
      </c>
      <c r="G30" s="422">
        <v>0</v>
      </c>
      <c r="H30" s="422">
        <v>0</v>
      </c>
      <c r="I30" s="422">
        <f t="shared" ref="I30:M32" si="23">I21*1000000/I12</f>
        <v>7205179.2828685259</v>
      </c>
      <c r="J30" s="422">
        <f t="shared" si="23"/>
        <v>7200101.1889704019</v>
      </c>
      <c r="K30" s="422">
        <f t="shared" si="23"/>
        <v>7199282.5827022716</v>
      </c>
      <c r="L30" s="422">
        <f t="shared" si="23"/>
        <v>7200183.5142988227</v>
      </c>
      <c r="M30" s="422">
        <f t="shared" si="23"/>
        <v>7199719.8879551822</v>
      </c>
      <c r="N30" s="422">
        <v>0</v>
      </c>
      <c r="O30" s="422"/>
      <c r="P30" s="422">
        <f t="shared" ref="P30:P31" si="24">$P$32*AJ30</f>
        <v>12005704.683539141</v>
      </c>
      <c r="Q30" s="422"/>
      <c r="T30" s="409" t="s">
        <v>250</v>
      </c>
      <c r="U30" s="421">
        <f>B30/B32</f>
        <v>0.58835098984851841</v>
      </c>
      <c r="V30" s="421">
        <f t="shared" ref="V30:AG30" si="25">C30/C32</f>
        <v>0</v>
      </c>
      <c r="W30" s="421">
        <f t="shared" si="25"/>
        <v>0</v>
      </c>
      <c r="X30" s="421">
        <f t="shared" si="25"/>
        <v>0</v>
      </c>
      <c r="Y30" s="421">
        <f t="shared" si="25"/>
        <v>0</v>
      </c>
      <c r="Z30" s="421">
        <f t="shared" si="25"/>
        <v>0</v>
      </c>
      <c r="AA30" s="421">
        <f t="shared" si="25"/>
        <v>0</v>
      </c>
      <c r="AB30" s="421">
        <f t="shared" si="25"/>
        <v>0.422266226716562</v>
      </c>
      <c r="AC30" s="421">
        <f t="shared" si="25"/>
        <v>0.33800292004754218</v>
      </c>
      <c r="AD30" s="421">
        <f t="shared" si="25"/>
        <v>0.31218471366734218</v>
      </c>
      <c r="AE30" s="421">
        <f t="shared" si="25"/>
        <v>0.28124582864047187</v>
      </c>
      <c r="AF30" s="421">
        <f t="shared" si="25"/>
        <v>0.27529687585876556</v>
      </c>
      <c r="AG30" s="421">
        <f t="shared" si="25"/>
        <v>0</v>
      </c>
      <c r="AH30" s="421"/>
      <c r="AI30" s="421"/>
      <c r="AJ30" s="421">
        <f>AVERAGE(AB30:AF30)</f>
        <v>0.32579931298613679</v>
      </c>
    </row>
    <row r="31" spans="1:36" x14ac:dyDescent="0.6">
      <c r="A31" s="409" t="s">
        <v>249</v>
      </c>
      <c r="B31" s="422">
        <f>B22*1000000/B13</f>
        <v>420123.56575463369</v>
      </c>
      <c r="C31" s="422">
        <f t="shared" ref="C31:H32" si="26">C22*1000000/C13</f>
        <v>38190.087829360098</v>
      </c>
      <c r="D31" s="422">
        <f t="shared" si="26"/>
        <v>151964.88294314381</v>
      </c>
      <c r="E31" s="422">
        <f t="shared" si="26"/>
        <v>621272.53814147017</v>
      </c>
      <c r="F31" s="422">
        <f t="shared" si="26"/>
        <v>311308.76747141039</v>
      </c>
      <c r="G31" s="422">
        <f t="shared" si="26"/>
        <v>191135.23832249598</v>
      </c>
      <c r="H31" s="422">
        <f t="shared" si="26"/>
        <v>166478.78251066915</v>
      </c>
      <c r="I31" s="422">
        <f t="shared" si="23"/>
        <v>172454.98514072606</v>
      </c>
      <c r="J31" s="422">
        <f t="shared" si="23"/>
        <v>194151.376146789</v>
      </c>
      <c r="K31" s="422">
        <f t="shared" si="23"/>
        <v>342069.19238993368</v>
      </c>
      <c r="L31" s="422">
        <f t="shared" si="23"/>
        <v>303166.40467100829</v>
      </c>
      <c r="M31" s="422">
        <f t="shared" si="23"/>
        <v>237549.2539241651</v>
      </c>
      <c r="N31" s="422">
        <f>N22*1000000/N13</f>
        <v>152229.29936305733</v>
      </c>
      <c r="O31" s="422"/>
      <c r="P31" s="422">
        <f t="shared" si="24"/>
        <v>381497.14708150085</v>
      </c>
      <c r="Q31" s="422"/>
      <c r="T31" s="409" t="s">
        <v>249</v>
      </c>
      <c r="U31" s="421">
        <f>B31/B32</f>
        <v>4.0096939797392026E-2</v>
      </c>
      <c r="V31" s="421">
        <f t="shared" ref="V31:AG31" si="27">C31/C32</f>
        <v>2.5966874637760062E-3</v>
      </c>
      <c r="W31" s="421">
        <f t="shared" si="27"/>
        <v>1.6964946528058997E-2</v>
      </c>
      <c r="X31" s="421">
        <f t="shared" si="27"/>
        <v>5.4893947618493102E-2</v>
      </c>
      <c r="Y31" s="421">
        <f t="shared" si="27"/>
        <v>2.0187997651812121E-2</v>
      </c>
      <c r="Z31" s="421">
        <f t="shared" si="27"/>
        <v>1.2654845262323617E-2</v>
      </c>
      <c r="AA31" s="421">
        <f t="shared" si="27"/>
        <v>1.0804269670017389E-2</v>
      </c>
      <c r="AB31" s="421">
        <f t="shared" si="27"/>
        <v>1.0106884644353125E-2</v>
      </c>
      <c r="AC31" s="421">
        <f t="shared" si="27"/>
        <v>9.1142791394918515E-3</v>
      </c>
      <c r="AD31" s="421">
        <f t="shared" si="27"/>
        <v>1.4833252015589998E-2</v>
      </c>
      <c r="AE31" s="421">
        <f t="shared" si="27"/>
        <v>1.184196021230907E-2</v>
      </c>
      <c r="AF31" s="421">
        <f t="shared" si="27"/>
        <v>9.0832099700585388E-3</v>
      </c>
      <c r="AG31" s="421">
        <f t="shared" si="27"/>
        <v>4.3829321021930916E-3</v>
      </c>
      <c r="AH31" s="421"/>
      <c r="AI31" s="421"/>
      <c r="AJ31" s="421">
        <f>AVERAGE(Z31:AG31)</f>
        <v>1.0352704127042086E-2</v>
      </c>
    </row>
    <row r="32" spans="1:36" x14ac:dyDescent="0.6">
      <c r="A32" s="409" t="s">
        <v>248</v>
      </c>
      <c r="B32" s="422">
        <f>B23*1000000/B14</f>
        <v>10477696.499470996</v>
      </c>
      <c r="C32" s="422">
        <f t="shared" si="26"/>
        <v>14707233.104528297</v>
      </c>
      <c r="D32" s="422">
        <f t="shared" si="26"/>
        <v>8957581.0151716694</v>
      </c>
      <c r="E32" s="422">
        <f t="shared" si="26"/>
        <v>11317687.378930114</v>
      </c>
      <c r="F32" s="422">
        <f t="shared" si="26"/>
        <v>15420487.600634659</v>
      </c>
      <c r="G32" s="422">
        <f t="shared" si="26"/>
        <v>15103719.908101089</v>
      </c>
      <c r="H32" s="422">
        <f t="shared" si="26"/>
        <v>15408610.4470957</v>
      </c>
      <c r="I32" s="422">
        <f t="shared" si="23"/>
        <v>17063119.963190574</v>
      </c>
      <c r="J32" s="422">
        <f t="shared" si="23"/>
        <v>21301890.49241842</v>
      </c>
      <c r="K32" s="422">
        <f t="shared" si="23"/>
        <v>23060970.853216354</v>
      </c>
      <c r="L32" s="422">
        <f t="shared" si="23"/>
        <v>25601032.197007671</v>
      </c>
      <c r="M32" s="422">
        <f t="shared" si="23"/>
        <v>26152566.626469184</v>
      </c>
      <c r="N32" s="422">
        <f>N23*1000000/N14</f>
        <v>34732296.96779611</v>
      </c>
      <c r="O32" s="422"/>
      <c r="P32" s="422">
        <f>B154</f>
        <v>36850000</v>
      </c>
      <c r="Q32" s="422"/>
      <c r="T32" s="409" t="s">
        <v>248</v>
      </c>
      <c r="U32" s="421">
        <f>B32/B32</f>
        <v>1</v>
      </c>
      <c r="V32" s="421">
        <f t="shared" ref="V32:AG32" si="28">C32/C32</f>
        <v>1</v>
      </c>
      <c r="W32" s="421">
        <f t="shared" si="28"/>
        <v>1</v>
      </c>
      <c r="X32" s="421">
        <f t="shared" si="28"/>
        <v>1</v>
      </c>
      <c r="Y32" s="421">
        <f t="shared" si="28"/>
        <v>1</v>
      </c>
      <c r="Z32" s="421">
        <f t="shared" si="28"/>
        <v>1</v>
      </c>
      <c r="AA32" s="421">
        <f t="shared" si="28"/>
        <v>1</v>
      </c>
      <c r="AB32" s="421">
        <f t="shared" si="28"/>
        <v>1</v>
      </c>
      <c r="AC32" s="421">
        <f t="shared" si="28"/>
        <v>1</v>
      </c>
      <c r="AD32" s="421">
        <f t="shared" si="28"/>
        <v>1</v>
      </c>
      <c r="AE32" s="421">
        <f t="shared" si="28"/>
        <v>1</v>
      </c>
      <c r="AF32" s="421">
        <f t="shared" si="28"/>
        <v>1</v>
      </c>
      <c r="AG32" s="421">
        <f t="shared" si="28"/>
        <v>1</v>
      </c>
      <c r="AH32" s="421"/>
      <c r="AI32" s="421"/>
      <c r="AJ32" s="421">
        <f>AVERAGE(X32:AG32,V32)</f>
        <v>1</v>
      </c>
    </row>
    <row r="33" spans="1:36" x14ac:dyDescent="0.6">
      <c r="A33" s="409" t="s">
        <v>220</v>
      </c>
      <c r="B33" s="420">
        <f>B24*1000000/B15</f>
        <v>7445179.9656329649</v>
      </c>
      <c r="C33" s="420">
        <v>0</v>
      </c>
      <c r="D33" s="420">
        <v>0</v>
      </c>
      <c r="E33" s="420">
        <f>E24*1000000/E15</f>
        <v>6627128.8318974152</v>
      </c>
      <c r="F33" s="420">
        <v>0</v>
      </c>
      <c r="G33" s="420">
        <v>0</v>
      </c>
      <c r="H33" s="420">
        <v>0</v>
      </c>
      <c r="I33" s="420">
        <v>0</v>
      </c>
      <c r="J33" s="420">
        <v>0</v>
      </c>
      <c r="K33" s="420">
        <v>0</v>
      </c>
      <c r="L33" s="420">
        <v>0</v>
      </c>
      <c r="M33" s="420">
        <v>0</v>
      </c>
      <c r="N33" s="420">
        <v>0</v>
      </c>
      <c r="O33" s="420"/>
      <c r="P33" s="420">
        <f>$P$29*AJ33</f>
        <v>0</v>
      </c>
      <c r="Q33" s="420"/>
      <c r="T33" s="409" t="s">
        <v>220</v>
      </c>
      <c r="U33" s="419">
        <f>B33/B32</f>
        <v>0.71057411960814687</v>
      </c>
      <c r="V33" s="419">
        <f t="shared" ref="V33:AG33" si="29">C33/C32</f>
        <v>0</v>
      </c>
      <c r="W33" s="419">
        <f t="shared" si="29"/>
        <v>0</v>
      </c>
      <c r="X33" s="419">
        <f t="shared" si="29"/>
        <v>0.58555503523051833</v>
      </c>
      <c r="Y33" s="419">
        <f t="shared" si="29"/>
        <v>0</v>
      </c>
      <c r="Z33" s="419">
        <f t="shared" si="29"/>
        <v>0</v>
      </c>
      <c r="AA33" s="419">
        <f t="shared" si="29"/>
        <v>0</v>
      </c>
      <c r="AB33" s="419">
        <f t="shared" si="29"/>
        <v>0</v>
      </c>
      <c r="AC33" s="419">
        <f t="shared" si="29"/>
        <v>0</v>
      </c>
      <c r="AD33" s="419">
        <f t="shared" si="29"/>
        <v>0</v>
      </c>
      <c r="AE33" s="419">
        <f t="shared" si="29"/>
        <v>0</v>
      </c>
      <c r="AF33" s="419">
        <f t="shared" si="29"/>
        <v>0</v>
      </c>
      <c r="AG33" s="419">
        <f t="shared" si="29"/>
        <v>0</v>
      </c>
      <c r="AH33" s="419"/>
      <c r="AI33" s="419"/>
      <c r="AJ33" s="419"/>
    </row>
    <row r="34" spans="1:36" x14ac:dyDescent="0.6">
      <c r="A34" s="418"/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T34" s="418"/>
      <c r="U34" s="417"/>
      <c r="V34" s="417"/>
      <c r="W34" s="417"/>
      <c r="X34" s="417"/>
      <c r="Y34" s="417"/>
      <c r="Z34" s="417"/>
      <c r="AA34" s="417"/>
      <c r="AB34" s="417"/>
      <c r="AC34" s="417"/>
      <c r="AD34" s="417"/>
      <c r="AE34" s="417"/>
      <c r="AF34" s="417"/>
      <c r="AG34" s="417"/>
      <c r="AH34" s="417"/>
      <c r="AI34" s="417"/>
      <c r="AJ34" s="417"/>
    </row>
    <row r="37" spans="1:36" x14ac:dyDescent="0.6">
      <c r="A37" s="409" t="s">
        <v>152</v>
      </c>
      <c r="B37" s="409" t="s">
        <v>151</v>
      </c>
      <c r="C37" s="409" t="s">
        <v>150</v>
      </c>
      <c r="D37" s="409" t="s">
        <v>72</v>
      </c>
      <c r="E37" s="409" t="s">
        <v>71</v>
      </c>
      <c r="F37" s="409" t="s">
        <v>149</v>
      </c>
      <c r="G37" s="409" t="s">
        <v>69</v>
      </c>
      <c r="H37" s="409" t="s">
        <v>68</v>
      </c>
      <c r="I37" s="409" t="s">
        <v>67</v>
      </c>
      <c r="J37" s="409" t="s">
        <v>66</v>
      </c>
    </row>
    <row r="38" spans="1:36" x14ac:dyDescent="0.6">
      <c r="A38" s="409" t="s">
        <v>148</v>
      </c>
      <c r="B38" s="408">
        <v>11258908</v>
      </c>
      <c r="C38" s="408">
        <v>3488391.4088829998</v>
      </c>
      <c r="D38" s="408">
        <v>7115124</v>
      </c>
      <c r="E38" s="408">
        <v>13146079</v>
      </c>
      <c r="F38" s="408">
        <v>17914915</v>
      </c>
      <c r="G38" s="408">
        <v>5581133</v>
      </c>
      <c r="H38" s="408"/>
      <c r="I38" s="408">
        <f>I75</f>
        <v>22173017.345417231</v>
      </c>
      <c r="J38" s="408"/>
      <c r="L38" s="239"/>
    </row>
    <row r="39" spans="1:36" x14ac:dyDescent="0.6">
      <c r="A39" s="409" t="s">
        <v>147</v>
      </c>
      <c r="B39" s="408">
        <v>346053</v>
      </c>
      <c r="C39" s="408">
        <v>116477.47014738977</v>
      </c>
      <c r="D39" s="408">
        <v>167877</v>
      </c>
      <c r="E39" s="408">
        <v>249831</v>
      </c>
      <c r="F39" s="408">
        <v>351668</v>
      </c>
      <c r="G39" s="408">
        <v>145477</v>
      </c>
      <c r="H39" s="408"/>
      <c r="I39" s="408">
        <f>J39-G39</f>
        <v>311691.40000000002</v>
      </c>
      <c r="J39" s="408">
        <f>F39*1.3</f>
        <v>457168.4</v>
      </c>
      <c r="L39" s="239"/>
    </row>
    <row r="40" spans="1:36" x14ac:dyDescent="0.6">
      <c r="A40" s="409" t="s">
        <v>146</v>
      </c>
      <c r="B40" s="408">
        <v>8805446</v>
      </c>
      <c r="C40" s="408">
        <v>2564324.1680801199</v>
      </c>
      <c r="D40" s="408">
        <v>5050999</v>
      </c>
      <c r="E40" s="408">
        <v>7753549</v>
      </c>
      <c r="F40" s="408">
        <v>12539421</v>
      </c>
      <c r="G40" s="408">
        <v>5085058</v>
      </c>
      <c r="H40" s="408"/>
      <c r="I40" s="408">
        <f>J98</f>
        <v>11216189.300000001</v>
      </c>
      <c r="J40" s="408"/>
      <c r="L40" s="239"/>
    </row>
    <row r="41" spans="1:36" x14ac:dyDescent="0.6">
      <c r="A41" s="409" t="s">
        <v>100</v>
      </c>
      <c r="B41" s="408">
        <v>20410407</v>
      </c>
      <c r="C41" s="408">
        <v>6169193.0471105091</v>
      </c>
      <c r="D41" s="408">
        <v>12334000</v>
      </c>
      <c r="E41" s="408">
        <v>21149459</v>
      </c>
      <c r="F41" s="408">
        <v>30806004</v>
      </c>
      <c r="G41" s="408">
        <v>10811668</v>
      </c>
      <c r="H41" s="408"/>
      <c r="I41" s="408">
        <f>SUM(I38:I40)</f>
        <v>33700898.045417234</v>
      </c>
      <c r="J41" s="408"/>
      <c r="L41" s="239"/>
    </row>
    <row r="42" spans="1:36" x14ac:dyDescent="0.6">
      <c r="A42" s="409" t="s">
        <v>145</v>
      </c>
      <c r="B42" s="408">
        <v>-81677</v>
      </c>
      <c r="C42" s="408">
        <v>-18942</v>
      </c>
      <c r="D42" s="408">
        <v>-33033</v>
      </c>
      <c r="E42" s="408">
        <v>-102252</v>
      </c>
      <c r="F42" s="408">
        <v>-178529</v>
      </c>
      <c r="G42" s="408">
        <v>-19307</v>
      </c>
      <c r="H42" s="408"/>
      <c r="I42" s="408">
        <f>J42-G42</f>
        <v>-159222</v>
      </c>
      <c r="J42" s="408">
        <f>F42</f>
        <v>-178529</v>
      </c>
      <c r="L42" s="239"/>
    </row>
    <row r="43" spans="1:36" x14ac:dyDescent="0.6">
      <c r="A43" s="409" t="s">
        <v>144</v>
      </c>
      <c r="B43" s="408">
        <v>20328730</v>
      </c>
      <c r="C43" s="408">
        <v>6150251.0471105091</v>
      </c>
      <c r="D43" s="408">
        <v>12300967</v>
      </c>
      <c r="E43" s="408">
        <v>21047207</v>
      </c>
      <c r="F43" s="408">
        <v>30627475</v>
      </c>
      <c r="G43" s="408">
        <v>10792361</v>
      </c>
      <c r="H43" s="408"/>
      <c r="I43" s="408">
        <f>SUM(I41:I42)</f>
        <v>33541676.045417234</v>
      </c>
      <c r="J43" s="408"/>
      <c r="L43" s="239"/>
    </row>
    <row r="44" spans="1:36" x14ac:dyDescent="0.6">
      <c r="A44" s="409" t="s">
        <v>143</v>
      </c>
      <c r="B44" s="408">
        <v>316671</v>
      </c>
      <c r="C44" s="408"/>
      <c r="D44" s="408">
        <v>0</v>
      </c>
      <c r="E44" s="408">
        <v>94010</v>
      </c>
      <c r="F44" s="408">
        <v>0</v>
      </c>
      <c r="G44" s="408">
        <v>0</v>
      </c>
      <c r="H44" s="408"/>
      <c r="I44" s="408">
        <v>0</v>
      </c>
      <c r="J44" s="408"/>
      <c r="L44" s="239"/>
    </row>
    <row r="45" spans="1:36" x14ac:dyDescent="0.6">
      <c r="A45" s="409" t="s">
        <v>142</v>
      </c>
      <c r="B45" s="408">
        <v>0</v>
      </c>
      <c r="C45" s="408">
        <v>-74961</v>
      </c>
      <c r="D45" s="408">
        <v>-58660</v>
      </c>
      <c r="E45" s="408">
        <v>0</v>
      </c>
      <c r="F45" s="408">
        <v>-282846</v>
      </c>
      <c r="G45" s="408">
        <v>-814663</v>
      </c>
      <c r="H45" s="408"/>
      <c r="I45" s="408">
        <f>G45</f>
        <v>-814663</v>
      </c>
      <c r="J45" s="408"/>
      <c r="L45" s="254"/>
    </row>
    <row r="46" spans="1:36" x14ac:dyDescent="0.6">
      <c r="A46" s="409" t="s">
        <v>141</v>
      </c>
      <c r="B46" s="408">
        <v>0</v>
      </c>
      <c r="C46" s="408"/>
      <c r="D46" s="408">
        <v>0</v>
      </c>
      <c r="E46" s="408">
        <v>0</v>
      </c>
      <c r="F46" s="408">
        <v>0</v>
      </c>
      <c r="G46" s="408">
        <v>0</v>
      </c>
      <c r="H46" s="408"/>
      <c r="I46" s="408">
        <v>0</v>
      </c>
      <c r="J46" s="408"/>
      <c r="L46" s="254"/>
    </row>
    <row r="47" spans="1:36" x14ac:dyDescent="0.6">
      <c r="A47" s="409" t="s">
        <v>140</v>
      </c>
      <c r="B47" s="408">
        <v>20645401</v>
      </c>
      <c r="C47" s="408">
        <v>6075290.0471105091</v>
      </c>
      <c r="D47" s="408">
        <v>12242307</v>
      </c>
      <c r="E47" s="408">
        <v>21141217</v>
      </c>
      <c r="F47" s="408">
        <v>30344629</v>
      </c>
      <c r="G47" s="408">
        <v>9977698</v>
      </c>
      <c r="H47" s="408"/>
      <c r="I47" s="408">
        <f>SUM(I43:I46)</f>
        <v>32727013.045417234</v>
      </c>
      <c r="J47" s="408"/>
      <c r="L47" s="239"/>
    </row>
    <row r="48" spans="1:36" x14ac:dyDescent="0.6">
      <c r="A48" s="409" t="s">
        <v>139</v>
      </c>
      <c r="B48" s="408">
        <v>4058514</v>
      </c>
      <c r="C48" s="408">
        <v>2050552.7832985136</v>
      </c>
      <c r="D48" s="408">
        <v>2099792</v>
      </c>
      <c r="E48" s="408">
        <v>2099792</v>
      </c>
      <c r="F48" s="408">
        <v>2099792</v>
      </c>
      <c r="G48" s="408">
        <v>4811619</v>
      </c>
      <c r="H48" s="408"/>
      <c r="I48" s="408">
        <f>G48</f>
        <v>4811619</v>
      </c>
      <c r="J48" s="408"/>
      <c r="L48" s="239"/>
    </row>
    <row r="49" spans="1:24" x14ac:dyDescent="0.6">
      <c r="A49" s="409" t="s">
        <v>138</v>
      </c>
      <c r="B49" s="408">
        <v>-2099793</v>
      </c>
      <c r="C49" s="408">
        <v>-4037841.406661035</v>
      </c>
      <c r="D49" s="408">
        <v>-3077571</v>
      </c>
      <c r="E49" s="408">
        <v>-6192711</v>
      </c>
      <c r="F49" s="408">
        <v>-4811619</v>
      </c>
      <c r="G49" s="408">
        <v>-4080670</v>
      </c>
      <c r="H49" s="408"/>
      <c r="I49" s="408">
        <f>G49</f>
        <v>-4080670</v>
      </c>
      <c r="J49" s="408"/>
      <c r="L49" s="239"/>
    </row>
    <row r="50" spans="1:24" x14ac:dyDescent="0.6">
      <c r="A50" s="409" t="s">
        <v>137</v>
      </c>
      <c r="B50" s="408">
        <v>22604122</v>
      </c>
      <c r="C50" s="408">
        <v>4088001.423747988</v>
      </c>
      <c r="D50" s="408">
        <v>11264528</v>
      </c>
      <c r="E50" s="408">
        <v>17048298</v>
      </c>
      <c r="F50" s="408">
        <v>27632802</v>
      </c>
      <c r="G50" s="408">
        <v>10708647</v>
      </c>
      <c r="H50" s="408"/>
      <c r="I50" s="408">
        <f>SUM(I47:I49)</f>
        <v>33457962.045417234</v>
      </c>
      <c r="J50" s="408"/>
      <c r="L50" s="239"/>
    </row>
    <row r="51" spans="1:24" x14ac:dyDescent="0.6">
      <c r="A51" s="409" t="s">
        <v>136</v>
      </c>
      <c r="B51" s="408">
        <v>0</v>
      </c>
      <c r="C51" s="408">
        <v>0</v>
      </c>
      <c r="D51" s="408">
        <v>0</v>
      </c>
      <c r="E51" s="408">
        <v>0</v>
      </c>
      <c r="F51" s="408">
        <v>0</v>
      </c>
      <c r="G51" s="408">
        <v>0</v>
      </c>
      <c r="H51" s="408"/>
      <c r="I51" s="408">
        <v>0</v>
      </c>
      <c r="J51" s="408"/>
      <c r="L51" s="254"/>
    </row>
    <row r="52" spans="1:24" x14ac:dyDescent="0.6">
      <c r="A52" s="409" t="s">
        <v>135</v>
      </c>
      <c r="B52" s="408">
        <v>22604122</v>
      </c>
      <c r="C52" s="408">
        <v>4088001.423747988</v>
      </c>
      <c r="D52" s="408">
        <v>11264528</v>
      </c>
      <c r="E52" s="408">
        <v>17048298</v>
      </c>
      <c r="F52" s="408">
        <v>27632802</v>
      </c>
      <c r="G52" s="408">
        <v>10708647</v>
      </c>
      <c r="H52" s="408"/>
      <c r="I52" s="408">
        <f>I50</f>
        <v>33457962.045417234</v>
      </c>
      <c r="J52" s="408">
        <f>I52+G52</f>
        <v>44166609.045417234</v>
      </c>
      <c r="L52" s="239"/>
    </row>
    <row r="55" spans="1:24" x14ac:dyDescent="0.6">
      <c r="A55" s="409" t="s">
        <v>132</v>
      </c>
      <c r="B55" s="409" t="s">
        <v>74</v>
      </c>
      <c r="C55" s="409" t="s">
        <v>73</v>
      </c>
      <c r="D55" s="409" t="s">
        <v>72</v>
      </c>
      <c r="E55" s="409" t="s">
        <v>71</v>
      </c>
      <c r="F55" s="409" t="s">
        <v>70</v>
      </c>
      <c r="G55" s="409" t="s">
        <v>124</v>
      </c>
      <c r="H55" s="409" t="s">
        <v>68</v>
      </c>
      <c r="I55" s="409" t="s">
        <v>123</v>
      </c>
      <c r="J55" s="409" t="s">
        <v>66</v>
      </c>
      <c r="M55" s="409" t="s">
        <v>132</v>
      </c>
      <c r="N55" s="409" t="s">
        <v>74</v>
      </c>
      <c r="O55" s="409" t="s">
        <v>73</v>
      </c>
      <c r="P55" s="409" t="s">
        <v>72</v>
      </c>
      <c r="Q55" s="409" t="s">
        <v>71</v>
      </c>
      <c r="R55" s="409" t="s">
        <v>70</v>
      </c>
      <c r="S55" s="409" t="s">
        <v>124</v>
      </c>
      <c r="T55" s="409" t="s">
        <v>68</v>
      </c>
      <c r="U55" s="409" t="s">
        <v>123</v>
      </c>
      <c r="V55" s="409" t="s">
        <v>66</v>
      </c>
    </row>
    <row r="56" spans="1:24" x14ac:dyDescent="0.6">
      <c r="A56" s="409" t="s">
        <v>120</v>
      </c>
      <c r="B56" s="410">
        <v>2198057.9999999995</v>
      </c>
      <c r="C56" s="410">
        <v>644020</v>
      </c>
      <c r="D56" s="410">
        <v>1250679</v>
      </c>
      <c r="E56" s="410">
        <v>1888520</v>
      </c>
      <c r="F56" s="410">
        <v>2429370</v>
      </c>
      <c r="G56" s="410">
        <v>588088</v>
      </c>
      <c r="H56" s="410"/>
      <c r="I56" s="410">
        <f t="shared" ref="I56:I63" si="30">J56-G56</f>
        <v>2091619.5751912789</v>
      </c>
      <c r="J56" s="410">
        <f>B160</f>
        <v>2679707.5751912789</v>
      </c>
      <c r="M56" s="409" t="s">
        <v>120</v>
      </c>
      <c r="N56" s="416">
        <f t="shared" ref="N56:N62" si="31">B56/$B$64</f>
        <v>1.5292689341179382</v>
      </c>
      <c r="O56" s="416">
        <f t="shared" ref="O56:O62" si="32">C56/$C$64</f>
        <v>1.6222207108834028</v>
      </c>
      <c r="P56" s="416">
        <f t="shared" ref="P56:P62" si="33">D56/$D$64</f>
        <v>1.6994283509139998</v>
      </c>
      <c r="Q56" s="416">
        <f t="shared" ref="Q56:Q62" si="34">E56/$E$64</f>
        <v>1.7357018649981066</v>
      </c>
      <c r="R56" s="416">
        <f t="shared" ref="R56:R62" si="35">F56/$F$64</f>
        <v>1.6778830813093368</v>
      </c>
      <c r="S56" s="416">
        <f t="shared" ref="S56:S62" si="36">G56/$G$64</f>
        <v>1.5267676570998352</v>
      </c>
      <c r="T56" s="415"/>
      <c r="U56" s="415"/>
      <c r="V56" s="416">
        <f t="shared" ref="V56:V62" si="37">AVERAGE(N56:S56)</f>
        <v>1.6318784332204366</v>
      </c>
    </row>
    <row r="57" spans="1:24" x14ac:dyDescent="0.6">
      <c r="A57" s="409" t="s">
        <v>196</v>
      </c>
      <c r="B57" s="410">
        <v>228325.5</v>
      </c>
      <c r="C57" s="410">
        <v>31196.639999999999</v>
      </c>
      <c r="D57" s="410">
        <v>70529</v>
      </c>
      <c r="E57" s="410">
        <v>130603</v>
      </c>
      <c r="F57" s="410">
        <v>168302</v>
      </c>
      <c r="G57" s="410">
        <v>39844</v>
      </c>
      <c r="H57" s="410"/>
      <c r="I57" s="410">
        <f t="shared" si="30"/>
        <v>144341.31722296446</v>
      </c>
      <c r="J57" s="410">
        <f t="shared" ref="J57:J62" si="38">$J$64*V57</f>
        <v>184185.31722296446</v>
      </c>
      <c r="M57" s="409" t="s">
        <v>196</v>
      </c>
      <c r="N57" s="416">
        <f t="shared" si="31"/>
        <v>0.15885435871889883</v>
      </c>
      <c r="O57" s="416">
        <f t="shared" si="32"/>
        <v>7.8581155116259738E-2</v>
      </c>
      <c r="P57" s="416">
        <f t="shared" si="33"/>
        <v>9.583512808771355E-2</v>
      </c>
      <c r="Q57" s="416">
        <f t="shared" si="34"/>
        <v>0.12003466771564385</v>
      </c>
      <c r="R57" s="416">
        <f t="shared" si="35"/>
        <v>0.11624045672356373</v>
      </c>
      <c r="S57" s="416">
        <f t="shared" si="36"/>
        <v>0.10344120357750172</v>
      </c>
      <c r="T57" s="415"/>
      <c r="U57" s="415"/>
      <c r="V57" s="416">
        <f t="shared" si="37"/>
        <v>0.11216449498993025</v>
      </c>
    </row>
    <row r="58" spans="1:24" x14ac:dyDescent="0.6">
      <c r="A58" s="409" t="s">
        <v>246</v>
      </c>
      <c r="B58" s="410">
        <v>183814.141</v>
      </c>
      <c r="C58" s="410">
        <v>54905.554000000004</v>
      </c>
      <c r="D58" s="410">
        <v>111863</v>
      </c>
      <c r="E58" s="410">
        <v>20829</v>
      </c>
      <c r="F58" s="410">
        <v>235275</v>
      </c>
      <c r="G58" s="410">
        <v>63009</v>
      </c>
      <c r="H58" s="410"/>
      <c r="I58" s="410">
        <f t="shared" si="30"/>
        <v>145923.24440534529</v>
      </c>
      <c r="J58" s="410">
        <f t="shared" si="38"/>
        <v>208932.24440534529</v>
      </c>
      <c r="M58" s="409" t="s">
        <v>246</v>
      </c>
      <c r="N58" s="416">
        <f t="shared" si="31"/>
        <v>0.12788618657145281</v>
      </c>
      <c r="O58" s="416">
        <f t="shared" si="32"/>
        <v>0.13830149194330466</v>
      </c>
      <c r="P58" s="416">
        <f t="shared" si="33"/>
        <v>0.15199995651825352</v>
      </c>
      <c r="Q58" s="416">
        <f t="shared" si="34"/>
        <v>1.914352728382308E-2</v>
      </c>
      <c r="R58" s="416">
        <f t="shared" si="35"/>
        <v>0.16249642580383153</v>
      </c>
      <c r="S58" s="416">
        <f t="shared" si="36"/>
        <v>0.16358113633708476</v>
      </c>
      <c r="T58" s="415"/>
      <c r="U58" s="415"/>
      <c r="V58" s="416">
        <f t="shared" si="37"/>
        <v>0.12723478740962504</v>
      </c>
      <c r="W58" s="268"/>
      <c r="X58" s="239"/>
    </row>
    <row r="59" spans="1:24" x14ac:dyDescent="0.6">
      <c r="A59" s="409" t="s">
        <v>245</v>
      </c>
      <c r="B59" s="410">
        <v>7097</v>
      </c>
      <c r="C59" s="410">
        <v>2527.84</v>
      </c>
      <c r="D59" s="410">
        <v>0</v>
      </c>
      <c r="E59" s="410">
        <v>1309</v>
      </c>
      <c r="F59" s="410">
        <v>10100</v>
      </c>
      <c r="G59" s="410">
        <v>8421</v>
      </c>
      <c r="H59" s="410"/>
      <c r="I59" s="410">
        <f t="shared" si="30"/>
        <v>2894.7211169861785</v>
      </c>
      <c r="J59" s="410">
        <f t="shared" si="38"/>
        <v>11315.721116986178</v>
      </c>
      <c r="M59" s="409" t="s">
        <v>245</v>
      </c>
      <c r="N59" s="416">
        <f t="shared" si="31"/>
        <v>4.9376411475197694E-3</v>
      </c>
      <c r="O59" s="416">
        <f t="shared" si="32"/>
        <v>6.3673712024463541E-3</v>
      </c>
      <c r="P59" s="416">
        <f t="shared" si="33"/>
        <v>0</v>
      </c>
      <c r="Q59" s="416">
        <f t="shared" si="34"/>
        <v>1.2030763461771767E-3</v>
      </c>
      <c r="R59" s="416">
        <f t="shared" si="35"/>
        <v>6.9757258553552167E-3</v>
      </c>
      <c r="S59" s="416">
        <f t="shared" si="36"/>
        <v>2.1862222049145216E-2</v>
      </c>
      <c r="T59" s="415"/>
      <c r="U59" s="415"/>
      <c r="V59" s="416">
        <f t="shared" si="37"/>
        <v>6.8910061001072886E-3</v>
      </c>
      <c r="W59" s="268"/>
      <c r="X59" s="254"/>
    </row>
    <row r="60" spans="1:24" x14ac:dyDescent="0.6">
      <c r="A60" s="409" t="s">
        <v>244</v>
      </c>
      <c r="B60" s="410">
        <v>6273.3520000000008</v>
      </c>
      <c r="C60" s="410">
        <v>1328.4430000000002</v>
      </c>
      <c r="D60" s="410">
        <v>3447</v>
      </c>
      <c r="E60" s="410">
        <v>7934</v>
      </c>
      <c r="F60" s="410">
        <v>11500</v>
      </c>
      <c r="G60" s="410">
        <v>998</v>
      </c>
      <c r="H60" s="410"/>
      <c r="I60" s="410">
        <f t="shared" si="30"/>
        <v>7272.7696005577309</v>
      </c>
      <c r="J60" s="410">
        <f t="shared" si="38"/>
        <v>8270.7696005577309</v>
      </c>
      <c r="M60" s="409" t="s">
        <v>244</v>
      </c>
      <c r="N60" s="416">
        <f t="shared" si="31"/>
        <v>4.3645992627977239E-3</v>
      </c>
      <c r="O60" s="416">
        <f t="shared" si="32"/>
        <v>3.346212458973449E-3</v>
      </c>
      <c r="P60" s="416">
        <f t="shared" si="33"/>
        <v>4.683799380656873E-3</v>
      </c>
      <c r="Q60" s="416">
        <f t="shared" si="34"/>
        <v>7.2919845153321004E-3</v>
      </c>
      <c r="R60" s="416">
        <f t="shared" si="35"/>
        <v>7.9426581521371276E-3</v>
      </c>
      <c r="S60" s="416">
        <f t="shared" si="36"/>
        <v>2.590962784116723E-3</v>
      </c>
      <c r="T60" s="415"/>
      <c r="U60" s="415"/>
      <c r="V60" s="416">
        <f t="shared" si="37"/>
        <v>5.0367027590023329E-3</v>
      </c>
      <c r="W60" s="268"/>
      <c r="X60" s="239"/>
    </row>
    <row r="61" spans="1:24" x14ac:dyDescent="0.6">
      <c r="A61" s="409" t="s">
        <v>243</v>
      </c>
      <c r="B61" s="410">
        <v>0</v>
      </c>
      <c r="C61" s="410">
        <v>0</v>
      </c>
      <c r="D61" s="410">
        <v>1247</v>
      </c>
      <c r="E61" s="410">
        <v>2054</v>
      </c>
      <c r="F61" s="410">
        <v>3141</v>
      </c>
      <c r="G61" s="410">
        <v>1030</v>
      </c>
      <c r="H61" s="410"/>
      <c r="I61" s="410">
        <f t="shared" si="30"/>
        <v>1275.9577970611022</v>
      </c>
      <c r="J61" s="410">
        <f t="shared" si="38"/>
        <v>2305.9577970611022</v>
      </c>
      <c r="M61" s="409" t="s">
        <v>243</v>
      </c>
      <c r="N61" s="416">
        <f t="shared" si="31"/>
        <v>0</v>
      </c>
      <c r="O61" s="416">
        <f t="shared" si="32"/>
        <v>0</v>
      </c>
      <c r="P61" s="416">
        <f t="shared" si="33"/>
        <v>1.6944293088712275E-3</v>
      </c>
      <c r="Q61" s="416">
        <f t="shared" si="34"/>
        <v>1.8877913025576172E-3</v>
      </c>
      <c r="R61" s="416">
        <f t="shared" si="35"/>
        <v>2.169381674422845E-3</v>
      </c>
      <c r="S61" s="416">
        <f t="shared" si="36"/>
        <v>2.6740397471344936E-3</v>
      </c>
      <c r="T61" s="415"/>
      <c r="U61" s="415"/>
      <c r="V61" s="416">
        <f t="shared" si="37"/>
        <v>1.404273672164364E-3</v>
      </c>
      <c r="W61" s="268"/>
      <c r="X61" s="239"/>
    </row>
    <row r="62" spans="1:24" x14ac:dyDescent="0.6">
      <c r="A62" s="409" t="s">
        <v>242</v>
      </c>
      <c r="B62" s="410">
        <v>5354.7059999999992</v>
      </c>
      <c r="C62" s="410">
        <v>1357.1810000000003</v>
      </c>
      <c r="D62" s="410">
        <v>2362</v>
      </c>
      <c r="E62" s="410">
        <v>2386</v>
      </c>
      <c r="F62" s="410">
        <v>2386</v>
      </c>
      <c r="G62" s="410">
        <v>0</v>
      </c>
      <c r="H62" s="410"/>
      <c r="I62" s="410">
        <f t="shared" si="30"/>
        <v>3884.7750029998197</v>
      </c>
      <c r="J62" s="410">
        <f t="shared" si="38"/>
        <v>3884.7750029998197</v>
      </c>
      <c r="M62" s="409" t="s">
        <v>242</v>
      </c>
      <c r="N62" s="416">
        <f t="shared" si="31"/>
        <v>3.7254638126632367E-3</v>
      </c>
      <c r="O62" s="416">
        <f t="shared" si="32"/>
        <v>3.4186005506311105E-3</v>
      </c>
      <c r="P62" s="416">
        <f t="shared" si="33"/>
        <v>3.209496413435316E-3</v>
      </c>
      <c r="Q62" s="416">
        <f t="shared" si="34"/>
        <v>2.1929260213741355E-3</v>
      </c>
      <c r="R62" s="416">
        <f t="shared" si="35"/>
        <v>1.6479289000868858E-3</v>
      </c>
      <c r="S62" s="416">
        <f t="shared" si="36"/>
        <v>0</v>
      </c>
      <c r="T62" s="415"/>
      <c r="U62" s="415"/>
      <c r="V62" s="416">
        <f t="shared" si="37"/>
        <v>2.3657359496984469E-3</v>
      </c>
      <c r="W62" s="268"/>
      <c r="X62" s="254"/>
    </row>
    <row r="63" spans="1:24" x14ac:dyDescent="0.6">
      <c r="A63" s="409" t="s">
        <v>45</v>
      </c>
      <c r="B63" s="410">
        <f t="shared" ref="B63:G63" si="39">SUM(B56:B62)</f>
        <v>2628922.6989999991</v>
      </c>
      <c r="C63" s="410">
        <f t="shared" si="39"/>
        <v>735335.65799999994</v>
      </c>
      <c r="D63" s="410">
        <f t="shared" si="39"/>
        <v>1440127</v>
      </c>
      <c r="E63" s="410">
        <f t="shared" si="39"/>
        <v>2053635</v>
      </c>
      <c r="F63" s="410">
        <f t="shared" si="39"/>
        <v>2860074</v>
      </c>
      <c r="G63" s="410">
        <f t="shared" si="39"/>
        <v>701390</v>
      </c>
      <c r="H63" s="410"/>
      <c r="I63" s="410">
        <f t="shared" si="30"/>
        <v>2397212.3603371936</v>
      </c>
      <c r="J63" s="410">
        <f>SUM(J56:J62)</f>
        <v>3098602.3603371936</v>
      </c>
      <c r="M63" s="409" t="s">
        <v>45</v>
      </c>
      <c r="N63" s="415"/>
      <c r="O63" s="415"/>
      <c r="P63" s="415"/>
      <c r="Q63" s="415"/>
      <c r="R63" s="415"/>
      <c r="S63" s="415"/>
      <c r="T63" s="415"/>
      <c r="U63" s="415"/>
      <c r="V63" s="415"/>
      <c r="W63" s="268"/>
      <c r="X63" s="239"/>
    </row>
    <row r="64" spans="1:24" x14ac:dyDescent="0.6">
      <c r="A64" s="274" t="s">
        <v>247</v>
      </c>
      <c r="B64" s="273">
        <f t="shared" ref="B64:G64" si="40">I2</f>
        <v>1437326</v>
      </c>
      <c r="C64" s="273">
        <f t="shared" si="40"/>
        <v>396999</v>
      </c>
      <c r="D64" s="273">
        <f t="shared" si="40"/>
        <v>735941</v>
      </c>
      <c r="E64" s="273">
        <f t="shared" si="40"/>
        <v>1088044</v>
      </c>
      <c r="F64" s="273">
        <f t="shared" si="40"/>
        <v>1447878</v>
      </c>
      <c r="G64" s="273">
        <f t="shared" si="40"/>
        <v>385185</v>
      </c>
      <c r="H64" s="273"/>
      <c r="I64" s="273"/>
      <c r="J64" s="273">
        <f>B152</f>
        <v>1642100</v>
      </c>
      <c r="M64" s="413"/>
      <c r="N64" s="270"/>
      <c r="O64" s="270"/>
      <c r="P64" s="270"/>
      <c r="Q64" s="270"/>
      <c r="R64" s="270"/>
      <c r="S64" s="270"/>
      <c r="T64" s="270"/>
      <c r="U64" s="270"/>
      <c r="V64" s="270"/>
      <c r="W64" s="268"/>
      <c r="X64" s="239"/>
    </row>
    <row r="65" spans="1:24" x14ac:dyDescent="0.6">
      <c r="A65" s="271"/>
      <c r="B65" s="269"/>
      <c r="C65" s="269"/>
      <c r="D65" s="269"/>
      <c r="E65" s="269"/>
      <c r="F65" s="269"/>
      <c r="G65" s="269"/>
      <c r="H65" s="269"/>
      <c r="I65" s="269"/>
      <c r="J65" s="269"/>
      <c r="M65" s="413"/>
      <c r="N65" s="270"/>
      <c r="O65" s="270"/>
      <c r="P65" s="270"/>
      <c r="Q65" s="270"/>
      <c r="R65" s="270"/>
      <c r="S65" s="270"/>
      <c r="T65" s="270"/>
      <c r="U65" s="270"/>
      <c r="V65" s="270"/>
      <c r="W65" s="268"/>
      <c r="X65" s="239"/>
    </row>
    <row r="66" spans="1:24" x14ac:dyDescent="0.6">
      <c r="M66" s="254"/>
      <c r="N66" s="268"/>
      <c r="O66" s="239"/>
      <c r="P66" s="254"/>
      <c r="Q66" s="268"/>
      <c r="R66" s="254"/>
      <c r="T66" s="254"/>
      <c r="V66" s="254"/>
      <c r="W66" s="268"/>
      <c r="X66" s="239"/>
    </row>
    <row r="67" spans="1:24" x14ac:dyDescent="0.6">
      <c r="A67" s="409" t="s">
        <v>131</v>
      </c>
      <c r="B67" s="409" t="s">
        <v>74</v>
      </c>
      <c r="C67" s="409" t="s">
        <v>73</v>
      </c>
      <c r="D67" s="409" t="s">
        <v>72</v>
      </c>
      <c r="E67" s="409" t="s">
        <v>71</v>
      </c>
      <c r="F67" s="409" t="s">
        <v>70</v>
      </c>
      <c r="G67" s="409" t="s">
        <v>124</v>
      </c>
      <c r="H67" s="409" t="s">
        <v>68</v>
      </c>
      <c r="I67" s="409" t="s">
        <v>123</v>
      </c>
      <c r="J67" s="409" t="s">
        <v>66</v>
      </c>
    </row>
    <row r="68" spans="1:24" x14ac:dyDescent="0.6">
      <c r="A68" s="409" t="s">
        <v>120</v>
      </c>
      <c r="B68" s="410">
        <v>8789716.0921609998</v>
      </c>
      <c r="C68" s="410">
        <v>3052288.4328800002</v>
      </c>
      <c r="D68" s="410">
        <v>6219773</v>
      </c>
      <c r="E68" s="410">
        <v>10998980</v>
      </c>
      <c r="F68" s="410">
        <v>14999565</v>
      </c>
      <c r="G68" s="410">
        <v>4679096</v>
      </c>
      <c r="H68" s="410"/>
      <c r="I68" s="410">
        <f t="shared" ref="I68:I74" si="41">I56*I78/1000000</f>
        <v>18785881.214580473</v>
      </c>
      <c r="J68" s="410"/>
      <c r="M68" s="239"/>
      <c r="N68" s="268"/>
      <c r="O68" s="239"/>
      <c r="P68" s="239"/>
      <c r="Q68" s="268"/>
      <c r="R68" s="239"/>
      <c r="S68" s="239"/>
      <c r="T68" s="239"/>
      <c r="U68" s="239"/>
      <c r="V68" s="239"/>
      <c r="W68" s="268"/>
      <c r="X68" s="239"/>
    </row>
    <row r="69" spans="1:24" x14ac:dyDescent="0.6">
      <c r="A69" s="409" t="s">
        <v>196</v>
      </c>
      <c r="B69" s="410">
        <v>2310300.475294</v>
      </c>
      <c r="C69" s="410">
        <v>360888.26070699998</v>
      </c>
      <c r="D69" s="410">
        <v>847181</v>
      </c>
      <c r="E69" s="410">
        <v>2049396</v>
      </c>
      <c r="F69" s="410">
        <v>2606442</v>
      </c>
      <c r="G69" s="410">
        <v>663314</v>
      </c>
      <c r="H69" s="410"/>
      <c r="I69" s="410">
        <f t="shared" si="41"/>
        <v>3172170.3364327629</v>
      </c>
      <c r="J69" s="410"/>
    </row>
    <row r="70" spans="1:24" x14ac:dyDescent="0.6">
      <c r="A70" s="409" t="s">
        <v>246</v>
      </c>
      <c r="B70" s="410">
        <v>44402.677019000002</v>
      </c>
      <c r="C70" s="410">
        <v>11969.779630000001</v>
      </c>
      <c r="D70" s="410">
        <v>24895</v>
      </c>
      <c r="E70" s="410">
        <v>39111</v>
      </c>
      <c r="F70" s="410">
        <v>51250</v>
      </c>
      <c r="G70" s="410">
        <v>41423</v>
      </c>
      <c r="H70" s="410"/>
      <c r="I70" s="410">
        <f t="shared" si="41"/>
        <v>70527.514968352581</v>
      </c>
      <c r="J70" s="410"/>
    </row>
    <row r="71" spans="1:24" x14ac:dyDescent="0.6">
      <c r="A71" s="409" t="s">
        <v>245</v>
      </c>
      <c r="B71" s="410">
        <v>78863.105101000008</v>
      </c>
      <c r="C71" s="410">
        <v>39035.963149000003</v>
      </c>
      <c r="D71" s="410">
        <v>0</v>
      </c>
      <c r="E71" s="410">
        <v>19767</v>
      </c>
      <c r="F71" s="410">
        <v>206414</v>
      </c>
      <c r="G71" s="410">
        <v>188382</v>
      </c>
      <c r="H71" s="410"/>
      <c r="I71" s="410">
        <f t="shared" si="41"/>
        <v>76705.106756216308</v>
      </c>
      <c r="J71" s="410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</row>
    <row r="72" spans="1:24" x14ac:dyDescent="0.6">
      <c r="A72" s="409" t="s">
        <v>244</v>
      </c>
      <c r="B72" s="410">
        <v>14771.039507</v>
      </c>
      <c r="C72" s="410">
        <v>3364.0577880000001</v>
      </c>
      <c r="D72" s="410">
        <v>8162</v>
      </c>
      <c r="E72" s="410">
        <v>19551</v>
      </c>
      <c r="F72" s="410">
        <v>28678</v>
      </c>
      <c r="G72" s="410">
        <v>3157</v>
      </c>
      <c r="H72" s="410"/>
      <c r="I72" s="410">
        <f t="shared" si="41"/>
        <v>30742.259511988952</v>
      </c>
      <c r="J72" s="410"/>
      <c r="O72" s="239"/>
      <c r="R72" s="239"/>
      <c r="U72" s="239"/>
      <c r="X72" s="239"/>
    </row>
    <row r="73" spans="1:24" x14ac:dyDescent="0.6">
      <c r="A73" s="409" t="s">
        <v>243</v>
      </c>
      <c r="B73" s="410">
        <v>8.4381009000000002</v>
      </c>
      <c r="C73" s="410">
        <v>0</v>
      </c>
      <c r="D73" s="410">
        <v>5160</v>
      </c>
      <c r="E73" s="410">
        <v>9219</v>
      </c>
      <c r="F73" s="410">
        <v>15146</v>
      </c>
      <c r="G73" s="410">
        <v>5761</v>
      </c>
      <c r="H73" s="410"/>
      <c r="I73" s="410">
        <f t="shared" si="41"/>
        <v>8843.3143640687649</v>
      </c>
      <c r="J73" s="410"/>
    </row>
    <row r="74" spans="1:24" x14ac:dyDescent="0.6">
      <c r="A74" s="409" t="s">
        <v>242</v>
      </c>
      <c r="B74" s="410">
        <v>20844.914729</v>
      </c>
      <c r="C74" s="410">
        <v>20844.914729</v>
      </c>
      <c r="D74" s="410">
        <v>9953</v>
      </c>
      <c r="E74" s="410">
        <v>10055</v>
      </c>
      <c r="F74" s="410">
        <v>10055</v>
      </c>
      <c r="G74" s="410">
        <v>0</v>
      </c>
      <c r="H74" s="410"/>
      <c r="I74" s="410">
        <f t="shared" si="41"/>
        <v>28147.598803367786</v>
      </c>
      <c r="J74" s="410"/>
    </row>
    <row r="75" spans="1:24" x14ac:dyDescent="0.6">
      <c r="A75" s="409" t="s">
        <v>45</v>
      </c>
      <c r="B75" s="410">
        <f t="shared" ref="B75:G75" si="42">SUM(B68:B74)</f>
        <v>11258906.741911899</v>
      </c>
      <c r="C75" s="410">
        <f t="shared" si="42"/>
        <v>3488391.4088829998</v>
      </c>
      <c r="D75" s="410">
        <f t="shared" si="42"/>
        <v>7115124</v>
      </c>
      <c r="E75" s="410">
        <f t="shared" si="42"/>
        <v>13146079</v>
      </c>
      <c r="F75" s="410">
        <f t="shared" si="42"/>
        <v>17917550</v>
      </c>
      <c r="G75" s="410">
        <f t="shared" si="42"/>
        <v>5581133</v>
      </c>
      <c r="H75" s="410"/>
      <c r="I75" s="410">
        <f>SUM(I68:I74)</f>
        <v>22173017.345417231</v>
      </c>
      <c r="J75" s="410">
        <f>I75+G75</f>
        <v>27754150.345417231</v>
      </c>
    </row>
    <row r="77" spans="1:24" x14ac:dyDescent="0.6">
      <c r="A77" s="409" t="s">
        <v>125</v>
      </c>
      <c r="B77" s="409" t="s">
        <v>74</v>
      </c>
      <c r="C77" s="409" t="s">
        <v>73</v>
      </c>
      <c r="D77" s="409" t="s">
        <v>72</v>
      </c>
      <c r="E77" s="409" t="s">
        <v>71</v>
      </c>
      <c r="F77" s="409" t="s">
        <v>70</v>
      </c>
      <c r="G77" s="409" t="s">
        <v>124</v>
      </c>
      <c r="H77" s="409" t="s">
        <v>68</v>
      </c>
      <c r="I77" s="409" t="s">
        <v>123</v>
      </c>
      <c r="J77" s="409" t="s">
        <v>66</v>
      </c>
      <c r="M77" s="409" t="s">
        <v>125</v>
      </c>
      <c r="N77" s="409" t="s">
        <v>74</v>
      </c>
      <c r="O77" s="409" t="s">
        <v>73</v>
      </c>
      <c r="P77" s="409" t="s">
        <v>72</v>
      </c>
      <c r="Q77" s="409" t="s">
        <v>71</v>
      </c>
      <c r="R77" s="409" t="s">
        <v>70</v>
      </c>
      <c r="S77" s="409" t="s">
        <v>124</v>
      </c>
      <c r="T77" s="409" t="s">
        <v>68</v>
      </c>
      <c r="U77" s="409" t="s">
        <v>123</v>
      </c>
      <c r="V77" s="409" t="s">
        <v>66</v>
      </c>
    </row>
    <row r="78" spans="1:24" x14ac:dyDescent="0.6">
      <c r="A78" s="409" t="s">
        <v>120</v>
      </c>
      <c r="B78" s="410">
        <f t="shared" ref="B78:G80" si="43">B68*1000000/B56</f>
        <v>3998855.395153814</v>
      </c>
      <c r="C78" s="410">
        <f t="shared" si="43"/>
        <v>4739431.1246234588</v>
      </c>
      <c r="D78" s="410">
        <f t="shared" si="43"/>
        <v>4973117.0028440552</v>
      </c>
      <c r="E78" s="410">
        <f t="shared" si="43"/>
        <v>5824126.8294749325</v>
      </c>
      <c r="F78" s="410">
        <f t="shared" si="43"/>
        <v>6174261.2282196619</v>
      </c>
      <c r="G78" s="410">
        <f t="shared" si="43"/>
        <v>7956455.4964563129</v>
      </c>
      <c r="H78" s="410"/>
      <c r="I78" s="410">
        <f>B158</f>
        <v>8981500</v>
      </c>
      <c r="J78" s="410"/>
      <c r="M78" s="409" t="s">
        <v>120</v>
      </c>
      <c r="N78" s="415">
        <f t="shared" ref="N78:N84" si="44">B78/$B$78</f>
        <v>1</v>
      </c>
      <c r="O78" s="415">
        <f t="shared" ref="O78:O84" si="45">C78/$C$78</f>
        <v>1</v>
      </c>
      <c r="P78" s="415">
        <f t="shared" ref="P78:P84" si="46">D78/$D$78</f>
        <v>1</v>
      </c>
      <c r="Q78" s="415">
        <f t="shared" ref="Q78:Q84" si="47">E78/$E$78</f>
        <v>1</v>
      </c>
      <c r="R78" s="415">
        <f t="shared" ref="R78:R84" si="48">F78/$F$78</f>
        <v>1</v>
      </c>
      <c r="S78" s="415">
        <f t="shared" ref="S78:S84" si="49">G78/$G$78</f>
        <v>1</v>
      </c>
      <c r="T78" s="415"/>
      <c r="U78" s="415"/>
      <c r="V78" s="415"/>
    </row>
    <row r="79" spans="1:24" x14ac:dyDescent="0.6">
      <c r="A79" s="409" t="s">
        <v>196</v>
      </c>
      <c r="B79" s="410">
        <f t="shared" si="43"/>
        <v>10118451.400715208</v>
      </c>
      <c r="C79" s="410">
        <f t="shared" si="43"/>
        <v>11568177.236619072</v>
      </c>
      <c r="D79" s="410">
        <f t="shared" si="43"/>
        <v>12011810.74451644</v>
      </c>
      <c r="E79" s="410">
        <f t="shared" si="43"/>
        <v>15691798.81013453</v>
      </c>
      <c r="F79" s="410">
        <f t="shared" si="43"/>
        <v>15486696.533612197</v>
      </c>
      <c r="G79" s="410">
        <f t="shared" si="43"/>
        <v>16647776.327677945</v>
      </c>
      <c r="H79" s="410"/>
      <c r="I79" s="410">
        <f t="shared" ref="I79:I84" si="50">$I$78*V79</f>
        <v>21976869.807365704</v>
      </c>
      <c r="J79" s="410"/>
      <c r="M79" s="409" t="s">
        <v>196</v>
      </c>
      <c r="N79" s="415">
        <f t="shared" si="44"/>
        <v>2.5303369091509764</v>
      </c>
      <c r="O79" s="415">
        <f t="shared" si="45"/>
        <v>2.4408366600196447</v>
      </c>
      <c r="P79" s="415">
        <f t="shared" si="46"/>
        <v>2.4153485103300518</v>
      </c>
      <c r="Q79" s="415">
        <f t="shared" si="47"/>
        <v>2.694274913575192</v>
      </c>
      <c r="R79" s="415">
        <f t="shared" si="48"/>
        <v>2.5082671369377354</v>
      </c>
      <c r="S79" s="415">
        <f t="shared" si="49"/>
        <v>2.0923608929997304</v>
      </c>
      <c r="T79" s="415"/>
      <c r="U79" s="415"/>
      <c r="V79" s="415">
        <f>AVERAGE(N79:S79)</f>
        <v>2.4469041705022216</v>
      </c>
    </row>
    <row r="80" spans="1:24" x14ac:dyDescent="0.6">
      <c r="A80" s="409" t="s">
        <v>246</v>
      </c>
      <c r="B80" s="410">
        <f t="shared" si="43"/>
        <v>241562.90031570531</v>
      </c>
      <c r="C80" s="410">
        <f t="shared" si="43"/>
        <v>218006.71804531832</v>
      </c>
      <c r="D80" s="410">
        <f t="shared" si="43"/>
        <v>222549.01084362122</v>
      </c>
      <c r="E80" s="410">
        <f t="shared" si="43"/>
        <v>1877718.565461616</v>
      </c>
      <c r="F80" s="410">
        <f t="shared" si="43"/>
        <v>217830.19870364468</v>
      </c>
      <c r="G80" s="410">
        <f t="shared" si="43"/>
        <v>657414.0202193337</v>
      </c>
      <c r="H80" s="410"/>
      <c r="I80" s="410">
        <f t="shared" si="50"/>
        <v>483319.26319045783</v>
      </c>
      <c r="J80" s="410"/>
      <c r="M80" s="409" t="s">
        <v>246</v>
      </c>
      <c r="N80" s="415">
        <f t="shared" si="44"/>
        <v>6.0408010904433748E-2</v>
      </c>
      <c r="O80" s="415">
        <f t="shared" si="45"/>
        <v>4.5998499041936945E-2</v>
      </c>
      <c r="P80" s="415">
        <f t="shared" si="46"/>
        <v>4.4750407182527291E-2</v>
      </c>
      <c r="Q80" s="415">
        <f t="shared" si="47"/>
        <v>0.32240344697831719</v>
      </c>
      <c r="R80" s="415">
        <f t="shared" si="48"/>
        <v>3.5280366452271998E-2</v>
      </c>
      <c r="S80" s="415">
        <f t="shared" si="49"/>
        <v>8.2626493733564663E-2</v>
      </c>
      <c r="T80" s="415"/>
      <c r="U80" s="415"/>
      <c r="V80" s="415">
        <f>AVERAGE(R80:S80,N80:P80)</f>
        <v>5.3812755462946928E-2</v>
      </c>
    </row>
    <row r="81" spans="1:23" x14ac:dyDescent="0.6">
      <c r="A81" s="409" t="s">
        <v>245</v>
      </c>
      <c r="B81" s="410">
        <f>B71*1000000/B59</f>
        <v>11112174.876849376</v>
      </c>
      <c r="C81" s="410">
        <f>C71*1000000/C59</f>
        <v>15442418.487325147</v>
      </c>
      <c r="D81" s="410">
        <v>0</v>
      </c>
      <c r="E81" s="410">
        <f t="shared" ref="E81:G83" si="51">E71*1000000/E59</f>
        <v>15100840.336134454</v>
      </c>
      <c r="F81" s="410">
        <f t="shared" si="51"/>
        <v>20437029.702970296</v>
      </c>
      <c r="G81" s="410">
        <f t="shared" si="51"/>
        <v>22370502.315639473</v>
      </c>
      <c r="H81" s="410"/>
      <c r="I81" s="410">
        <f t="shared" si="50"/>
        <v>26498271.735440049</v>
      </c>
      <c r="J81" s="410"/>
      <c r="M81" s="409" t="s">
        <v>245</v>
      </c>
      <c r="N81" s="415">
        <f t="shared" si="44"/>
        <v>2.778838887326645</v>
      </c>
      <c r="O81" s="415">
        <f t="shared" si="45"/>
        <v>3.2582852416811998</v>
      </c>
      <c r="P81" s="415">
        <f t="shared" si="46"/>
        <v>0</v>
      </c>
      <c r="Q81" s="415">
        <f t="shared" si="47"/>
        <v>2.5928076050321613</v>
      </c>
      <c r="R81" s="415">
        <f t="shared" si="48"/>
        <v>3.3100364476906461</v>
      </c>
      <c r="S81" s="415">
        <f t="shared" si="49"/>
        <v>2.8116165955560191</v>
      </c>
      <c r="T81" s="415"/>
      <c r="U81" s="415"/>
      <c r="V81" s="415">
        <f>AVERAGE(Q81:S81,N81:O81)</f>
        <v>2.9503169554573345</v>
      </c>
    </row>
    <row r="82" spans="1:23" x14ac:dyDescent="0.6">
      <c r="A82" s="409" t="s">
        <v>244</v>
      </c>
      <c r="B82" s="410">
        <f>B72*1000000/B60</f>
        <v>2354568.8982540751</v>
      </c>
      <c r="C82" s="410">
        <f>C72*1000000/C60</f>
        <v>2532331.2991223554</v>
      </c>
      <c r="D82" s="410">
        <f>D72*1000000/D60</f>
        <v>2367856.1067595012</v>
      </c>
      <c r="E82" s="410">
        <f t="shared" si="51"/>
        <v>2464204.6886816234</v>
      </c>
      <c r="F82" s="410">
        <f t="shared" si="51"/>
        <v>2493739.1304347827</v>
      </c>
      <c r="G82" s="410">
        <f t="shared" si="51"/>
        <v>3163326.6533066132</v>
      </c>
      <c r="H82" s="410"/>
      <c r="I82" s="410">
        <f t="shared" si="50"/>
        <v>4227036.0812243251</v>
      </c>
      <c r="J82" s="410"/>
      <c r="M82" s="409" t="s">
        <v>244</v>
      </c>
      <c r="N82" s="415">
        <f t="shared" si="44"/>
        <v>0.58881071346254765</v>
      </c>
      <c r="O82" s="415">
        <f t="shared" si="45"/>
        <v>0.5343112353644649</v>
      </c>
      <c r="P82" s="415">
        <f t="shared" si="46"/>
        <v>0.47613118802661547</v>
      </c>
      <c r="Q82" s="415">
        <f t="shared" si="47"/>
        <v>0.42310285487099891</v>
      </c>
      <c r="R82" s="415">
        <f t="shared" si="48"/>
        <v>0.40389271497569085</v>
      </c>
      <c r="S82" s="415">
        <f t="shared" si="49"/>
        <v>0.39757988399677618</v>
      </c>
      <c r="T82" s="415"/>
      <c r="U82" s="415"/>
      <c r="V82" s="415">
        <f>AVERAGE(N82:S82)</f>
        <v>0.47063809844951571</v>
      </c>
    </row>
    <row r="83" spans="1:23" x14ac:dyDescent="0.6">
      <c r="A83" s="409" t="s">
        <v>243</v>
      </c>
      <c r="B83" s="410">
        <v>0</v>
      </c>
      <c r="C83" s="410">
        <v>0</v>
      </c>
      <c r="D83" s="410">
        <f>D73*1000000/D61</f>
        <v>4137931.0344827585</v>
      </c>
      <c r="E83" s="410">
        <f t="shared" si="51"/>
        <v>4488315.4819863681</v>
      </c>
      <c r="F83" s="410">
        <f t="shared" si="51"/>
        <v>4822031.2002546964</v>
      </c>
      <c r="G83" s="410">
        <f t="shared" si="51"/>
        <v>5593203.8834951455</v>
      </c>
      <c r="H83" s="410"/>
      <c r="I83" s="410">
        <f t="shared" si="50"/>
        <v>6930726.3801651299</v>
      </c>
      <c r="J83" s="410"/>
      <c r="M83" s="409" t="s">
        <v>243</v>
      </c>
      <c r="N83" s="415">
        <f t="shared" si="44"/>
        <v>0</v>
      </c>
      <c r="O83" s="415">
        <f t="shared" si="45"/>
        <v>0</v>
      </c>
      <c r="P83" s="415">
        <f t="shared" si="46"/>
        <v>0.83205985946365912</v>
      </c>
      <c r="Q83" s="415">
        <f t="shared" si="47"/>
        <v>0.77064178260537763</v>
      </c>
      <c r="R83" s="415">
        <f t="shared" si="48"/>
        <v>0.78098917781700683</v>
      </c>
      <c r="S83" s="415">
        <f t="shared" si="49"/>
        <v>0.70297683258409172</v>
      </c>
      <c r="T83" s="415"/>
      <c r="U83" s="415"/>
      <c r="V83" s="415">
        <f>AVERAGE(P83:S83)</f>
        <v>0.77166691311753377</v>
      </c>
    </row>
    <row r="84" spans="1:23" x14ac:dyDescent="0.6">
      <c r="A84" s="409" t="s">
        <v>242</v>
      </c>
      <c r="B84" s="410">
        <f>B74*1000000/B62</f>
        <v>3892821.5160645614</v>
      </c>
      <c r="C84" s="410">
        <f>C74*1000000/C62</f>
        <v>15358979.18479554</v>
      </c>
      <c r="D84" s="410">
        <f>D74*1000000/D62</f>
        <v>4213801.8628281122</v>
      </c>
      <c r="E84" s="410">
        <f>E74*1000000/E62</f>
        <v>4214165.9681475274</v>
      </c>
      <c r="F84" s="410">
        <f>F74*1000000/F62</f>
        <v>4214165.9681475274</v>
      </c>
      <c r="G84" s="410">
        <v>0</v>
      </c>
      <c r="H84" s="410"/>
      <c r="I84" s="410">
        <f t="shared" si="50"/>
        <v>7245618.8020238588</v>
      </c>
      <c r="J84" s="410"/>
      <c r="M84" s="409" t="s">
        <v>242</v>
      </c>
      <c r="N84" s="415">
        <f t="shared" si="44"/>
        <v>0.97348394262574378</v>
      </c>
      <c r="O84" s="415">
        <f t="shared" si="45"/>
        <v>3.2406799003785056</v>
      </c>
      <c r="P84" s="415">
        <f t="shared" si="46"/>
        <v>0.84731605156651224</v>
      </c>
      <c r="Q84" s="415">
        <f t="shared" si="47"/>
        <v>0.72357043236427099</v>
      </c>
      <c r="R84" s="415">
        <f t="shared" si="48"/>
        <v>0.68253768546211568</v>
      </c>
      <c r="S84" s="415">
        <f t="shared" si="49"/>
        <v>0</v>
      </c>
      <c r="T84" s="415"/>
      <c r="U84" s="415"/>
      <c r="V84" s="415">
        <f>AVERAGE(P84:R84,N84)</f>
        <v>0.80672702800466056</v>
      </c>
    </row>
    <row r="85" spans="1:23" x14ac:dyDescent="0.6">
      <c r="B85" s="235"/>
      <c r="C85" s="235"/>
      <c r="D85" s="235"/>
      <c r="E85" s="235"/>
      <c r="F85" s="235"/>
      <c r="G85" s="235"/>
      <c r="H85" s="235"/>
      <c r="I85" s="235"/>
      <c r="J85" s="235"/>
    </row>
    <row r="87" spans="1:23" x14ac:dyDescent="0.6">
      <c r="A87" s="409" t="s">
        <v>114</v>
      </c>
      <c r="B87" s="409" t="s">
        <v>74</v>
      </c>
      <c r="C87" s="409" t="s">
        <v>73</v>
      </c>
      <c r="D87" s="409" t="s">
        <v>72</v>
      </c>
      <c r="E87" s="409" t="s">
        <v>71</v>
      </c>
      <c r="F87" s="409" t="s">
        <v>70</v>
      </c>
      <c r="G87" s="409" t="s">
        <v>69</v>
      </c>
      <c r="H87" s="409" t="s">
        <v>111</v>
      </c>
      <c r="I87" s="409" t="s">
        <v>68</v>
      </c>
      <c r="J87" s="409" t="s">
        <v>67</v>
      </c>
      <c r="K87" s="409" t="s">
        <v>66</v>
      </c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</row>
    <row r="88" spans="1:23" ht="22.5" customHeight="1" x14ac:dyDescent="0.6">
      <c r="A88" s="409" t="s">
        <v>110</v>
      </c>
      <c r="B88" s="410">
        <v>1012879</v>
      </c>
      <c r="C88" s="410">
        <v>402786.60644516698</v>
      </c>
      <c r="D88" s="410">
        <v>631650</v>
      </c>
      <c r="E88" s="410">
        <v>894709</v>
      </c>
      <c r="F88" s="410">
        <v>1233397</v>
      </c>
      <c r="G88" s="410">
        <v>476515</v>
      </c>
      <c r="H88" s="410">
        <v>1540209</v>
      </c>
      <c r="I88" s="410"/>
      <c r="J88" s="410">
        <f t="shared" ref="J88:J98" si="52">K88-G88</f>
        <v>1126901.1000000001</v>
      </c>
      <c r="K88" s="410">
        <f t="shared" ref="K88:K97" si="53">F88*1.3</f>
        <v>1603416.1</v>
      </c>
      <c r="M88" s="271"/>
      <c r="N88" s="271"/>
      <c r="O88" s="271"/>
      <c r="P88" s="271"/>
      <c r="Q88" s="271"/>
      <c r="R88" s="271"/>
      <c r="S88" s="271"/>
      <c r="T88" s="271"/>
      <c r="U88" s="271"/>
      <c r="V88" s="271"/>
      <c r="W88" s="271"/>
    </row>
    <row r="89" spans="1:23" x14ac:dyDescent="0.6">
      <c r="A89" s="409" t="s">
        <v>109</v>
      </c>
      <c r="B89" s="410">
        <v>830961</v>
      </c>
      <c r="C89" s="410">
        <v>201574.97260120965</v>
      </c>
      <c r="D89" s="410">
        <v>397981</v>
      </c>
      <c r="E89" s="410">
        <v>600266</v>
      </c>
      <c r="F89" s="410">
        <v>891008</v>
      </c>
      <c r="G89" s="410">
        <v>194545</v>
      </c>
      <c r="H89" s="410">
        <v>583635</v>
      </c>
      <c r="I89" s="410"/>
      <c r="J89" s="410">
        <f t="shared" si="52"/>
        <v>963765.40000000014</v>
      </c>
      <c r="K89" s="410">
        <f t="shared" si="53"/>
        <v>1158310.4000000001</v>
      </c>
      <c r="M89" s="414"/>
      <c r="N89" s="271"/>
      <c r="O89" s="414"/>
      <c r="P89" s="414"/>
      <c r="Q89" s="271"/>
      <c r="R89" s="414"/>
      <c r="S89" s="414"/>
      <c r="T89" s="414"/>
      <c r="U89" s="271"/>
      <c r="V89" s="271"/>
      <c r="W89" s="271"/>
    </row>
    <row r="90" spans="1:23" x14ac:dyDescent="0.6">
      <c r="A90" s="409" t="s">
        <v>108</v>
      </c>
      <c r="B90" s="410">
        <v>1640636</v>
      </c>
      <c r="C90" s="410">
        <v>391691.23009289999</v>
      </c>
      <c r="D90" s="410">
        <v>922969</v>
      </c>
      <c r="E90" s="410">
        <v>1476804</v>
      </c>
      <c r="F90" s="410">
        <v>2276367</v>
      </c>
      <c r="G90" s="410">
        <v>441464</v>
      </c>
      <c r="H90" s="410">
        <v>1326399</v>
      </c>
      <c r="I90" s="410"/>
      <c r="J90" s="410">
        <f t="shared" si="52"/>
        <v>2517813.1</v>
      </c>
      <c r="K90" s="410">
        <f t="shared" si="53"/>
        <v>2959277.1</v>
      </c>
      <c r="M90" s="414"/>
      <c r="N90" s="271"/>
      <c r="O90" s="414"/>
      <c r="P90" s="414"/>
      <c r="Q90" s="271"/>
      <c r="R90" s="414"/>
      <c r="S90" s="414"/>
      <c r="T90" s="414"/>
      <c r="U90" s="271"/>
      <c r="V90" s="271"/>
      <c r="W90" s="271"/>
    </row>
    <row r="91" spans="1:23" x14ac:dyDescent="0.6">
      <c r="A91" s="409" t="s">
        <v>107</v>
      </c>
      <c r="B91" s="410">
        <v>2480719</v>
      </c>
      <c r="C91" s="410">
        <v>817521.53784720018</v>
      </c>
      <c r="D91" s="410">
        <v>1534869</v>
      </c>
      <c r="E91" s="410">
        <v>3054543</v>
      </c>
      <c r="F91" s="410">
        <v>3933657</v>
      </c>
      <c r="G91" s="410">
        <v>1709090</v>
      </c>
      <c r="H91" s="410">
        <v>5394668</v>
      </c>
      <c r="I91" s="410"/>
      <c r="J91" s="410">
        <f t="shared" si="52"/>
        <v>3404664.1000000006</v>
      </c>
      <c r="K91" s="410">
        <f t="shared" si="53"/>
        <v>5113754.1000000006</v>
      </c>
      <c r="M91" s="414"/>
      <c r="N91" s="271"/>
      <c r="O91" s="414"/>
      <c r="P91" s="414"/>
      <c r="Q91" s="271"/>
      <c r="R91" s="413"/>
      <c r="S91" s="413"/>
      <c r="T91" s="413"/>
      <c r="U91" s="271"/>
      <c r="V91" s="271"/>
      <c r="W91" s="271"/>
    </row>
    <row r="92" spans="1:23" x14ac:dyDescent="0.6">
      <c r="A92" s="409" t="s">
        <v>106</v>
      </c>
      <c r="B92" s="410">
        <v>0</v>
      </c>
      <c r="C92" s="410">
        <v>0</v>
      </c>
      <c r="D92" s="410">
        <v>0</v>
      </c>
      <c r="E92" s="410">
        <v>0</v>
      </c>
      <c r="F92" s="410">
        <v>0</v>
      </c>
      <c r="G92" s="410">
        <v>0</v>
      </c>
      <c r="H92" s="410">
        <v>0</v>
      </c>
      <c r="I92" s="410"/>
      <c r="J92" s="410">
        <f t="shared" si="52"/>
        <v>0</v>
      </c>
      <c r="K92" s="410">
        <f t="shared" si="53"/>
        <v>0</v>
      </c>
      <c r="M92" s="414"/>
      <c r="N92" s="271"/>
      <c r="O92" s="414"/>
      <c r="P92" s="414"/>
      <c r="Q92" s="271"/>
      <c r="R92" s="413"/>
      <c r="S92" s="413"/>
      <c r="T92" s="413"/>
      <c r="U92" s="271"/>
      <c r="V92" s="271"/>
      <c r="W92" s="271"/>
    </row>
    <row r="93" spans="1:23" x14ac:dyDescent="0.6">
      <c r="A93" s="409" t="s">
        <v>105</v>
      </c>
      <c r="B93" s="410">
        <v>0</v>
      </c>
      <c r="C93" s="410">
        <v>0</v>
      </c>
      <c r="D93" s="410">
        <v>0</v>
      </c>
      <c r="E93" s="410">
        <v>0</v>
      </c>
      <c r="F93" s="410">
        <v>0</v>
      </c>
      <c r="G93" s="410">
        <v>0</v>
      </c>
      <c r="H93" s="410">
        <v>0</v>
      </c>
      <c r="I93" s="410"/>
      <c r="J93" s="410">
        <f t="shared" si="52"/>
        <v>0</v>
      </c>
      <c r="K93" s="410">
        <f t="shared" si="53"/>
        <v>0</v>
      </c>
      <c r="M93" s="413"/>
      <c r="N93" s="271"/>
      <c r="O93" s="413"/>
      <c r="P93" s="413"/>
      <c r="Q93" s="271"/>
      <c r="R93" s="413"/>
      <c r="S93" s="413"/>
      <c r="T93" s="413"/>
      <c r="U93" s="271"/>
      <c r="V93" s="271"/>
      <c r="W93" s="271"/>
    </row>
    <row r="94" spans="1:23" x14ac:dyDescent="0.6">
      <c r="A94" s="409" t="s">
        <v>104</v>
      </c>
      <c r="B94" s="410">
        <v>0</v>
      </c>
      <c r="C94" s="410">
        <v>0</v>
      </c>
      <c r="D94" s="410">
        <v>0</v>
      </c>
      <c r="E94" s="410">
        <v>0</v>
      </c>
      <c r="F94" s="410">
        <v>0</v>
      </c>
      <c r="G94" s="410">
        <v>0</v>
      </c>
      <c r="H94" s="410">
        <v>0</v>
      </c>
      <c r="I94" s="410"/>
      <c r="J94" s="410">
        <f t="shared" si="52"/>
        <v>0</v>
      </c>
      <c r="K94" s="410">
        <f t="shared" si="53"/>
        <v>0</v>
      </c>
      <c r="M94" s="413"/>
      <c r="N94" s="271"/>
      <c r="O94" s="413"/>
      <c r="P94" s="413"/>
      <c r="Q94" s="271"/>
      <c r="R94" s="413"/>
      <c r="S94" s="413"/>
      <c r="T94" s="413"/>
      <c r="U94" s="271"/>
      <c r="V94" s="271"/>
      <c r="W94" s="271"/>
    </row>
    <row r="95" spans="1:23" x14ac:dyDescent="0.6">
      <c r="A95" s="409" t="s">
        <v>103</v>
      </c>
      <c r="B95" s="410">
        <v>0</v>
      </c>
      <c r="C95" s="410">
        <v>0</v>
      </c>
      <c r="D95" s="410">
        <v>0</v>
      </c>
      <c r="E95" s="410">
        <v>0</v>
      </c>
      <c r="F95" s="410">
        <v>0</v>
      </c>
      <c r="G95" s="410">
        <v>0</v>
      </c>
      <c r="H95" s="410">
        <v>0</v>
      </c>
      <c r="I95" s="410"/>
      <c r="J95" s="410">
        <f t="shared" si="52"/>
        <v>0</v>
      </c>
      <c r="K95" s="410">
        <f t="shared" si="53"/>
        <v>0</v>
      </c>
      <c r="M95" s="413"/>
      <c r="N95" s="271"/>
      <c r="O95" s="413"/>
      <c r="P95" s="413"/>
      <c r="Q95" s="271"/>
      <c r="R95" s="413"/>
      <c r="S95" s="413"/>
      <c r="T95" s="413"/>
      <c r="U95" s="271"/>
      <c r="V95" s="271"/>
      <c r="W95" s="271"/>
    </row>
    <row r="96" spans="1:23" x14ac:dyDescent="0.6">
      <c r="A96" s="409" t="s">
        <v>102</v>
      </c>
      <c r="B96" s="410">
        <v>0</v>
      </c>
      <c r="C96" s="410">
        <v>0</v>
      </c>
      <c r="D96" s="410">
        <v>0</v>
      </c>
      <c r="E96" s="410">
        <v>0</v>
      </c>
      <c r="F96" s="410">
        <v>0</v>
      </c>
      <c r="G96" s="410">
        <v>0</v>
      </c>
      <c r="H96" s="410">
        <v>0</v>
      </c>
      <c r="I96" s="410"/>
      <c r="J96" s="410">
        <f t="shared" si="52"/>
        <v>0</v>
      </c>
      <c r="K96" s="410">
        <f t="shared" si="53"/>
        <v>0</v>
      </c>
      <c r="M96" s="413"/>
      <c r="N96" s="271"/>
      <c r="O96" s="413"/>
      <c r="P96" s="413"/>
      <c r="Q96" s="271"/>
      <c r="R96" s="413"/>
      <c r="S96" s="413"/>
      <c r="T96" s="413"/>
      <c r="U96" s="271"/>
      <c r="V96" s="271"/>
      <c r="W96" s="271"/>
    </row>
    <row r="97" spans="1:23" x14ac:dyDescent="0.6">
      <c r="A97" s="409" t="s">
        <v>101</v>
      </c>
      <c r="B97" s="410">
        <v>2840251</v>
      </c>
      <c r="C97" s="410">
        <v>750749.82109364343</v>
      </c>
      <c r="D97" s="410">
        <v>1563530</v>
      </c>
      <c r="E97" s="410">
        <v>1727227</v>
      </c>
      <c r="F97" s="410">
        <v>4204992</v>
      </c>
      <c r="G97" s="410">
        <v>2263444</v>
      </c>
      <c r="H97" s="410">
        <v>7140137</v>
      </c>
      <c r="I97" s="410"/>
      <c r="J97" s="410">
        <f t="shared" si="52"/>
        <v>3203045.6000000006</v>
      </c>
      <c r="K97" s="410">
        <f t="shared" si="53"/>
        <v>5466489.6000000006</v>
      </c>
      <c r="M97" s="413"/>
      <c r="N97" s="271"/>
      <c r="O97" s="413"/>
      <c r="P97" s="413"/>
      <c r="Q97" s="271"/>
      <c r="R97" s="413"/>
      <c r="S97" s="413"/>
      <c r="T97" s="413"/>
      <c r="U97" s="271"/>
      <c r="V97" s="271"/>
      <c r="W97" s="271"/>
    </row>
    <row r="98" spans="1:23" x14ac:dyDescent="0.6">
      <c r="A98" s="409" t="s">
        <v>100</v>
      </c>
      <c r="B98" s="410">
        <v>8805446</v>
      </c>
      <c r="C98" s="410">
        <f>SUM(C88:C97)</f>
        <v>2564324.1680801203</v>
      </c>
      <c r="D98" s="410">
        <v>5050999</v>
      </c>
      <c r="E98" s="410">
        <v>7753549</v>
      </c>
      <c r="F98" s="410">
        <v>12539421</v>
      </c>
      <c r="G98" s="410">
        <v>5085058</v>
      </c>
      <c r="H98" s="410">
        <v>15985048</v>
      </c>
      <c r="I98" s="410"/>
      <c r="J98" s="410">
        <f t="shared" si="52"/>
        <v>11216189.300000001</v>
      </c>
      <c r="K98" s="410">
        <f>SUM(K88:K97)</f>
        <v>16301247.300000001</v>
      </c>
      <c r="M98" s="414"/>
      <c r="N98" s="271"/>
      <c r="O98" s="414"/>
      <c r="P98" s="414"/>
      <c r="Q98" s="271"/>
      <c r="R98" s="414"/>
      <c r="S98" s="414"/>
      <c r="T98" s="414"/>
      <c r="U98" s="271"/>
      <c r="V98" s="271"/>
      <c r="W98" s="271"/>
    </row>
    <row r="99" spans="1:23" x14ac:dyDescent="0.6">
      <c r="M99" s="414"/>
      <c r="N99" s="271"/>
      <c r="O99" s="414"/>
      <c r="P99" s="414"/>
      <c r="Q99" s="271"/>
      <c r="R99" s="414"/>
      <c r="S99" s="414"/>
      <c r="T99" s="414"/>
      <c r="U99" s="271"/>
      <c r="V99" s="271"/>
      <c r="W99" s="271"/>
    </row>
    <row r="100" spans="1:23" x14ac:dyDescent="0.6"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413"/>
    </row>
    <row r="101" spans="1:23" x14ac:dyDescent="0.6">
      <c r="A101" s="409" t="s">
        <v>112</v>
      </c>
      <c r="B101" s="409" t="s">
        <v>74</v>
      </c>
      <c r="C101" s="409" t="s">
        <v>73</v>
      </c>
      <c r="D101" s="409" t="s">
        <v>72</v>
      </c>
      <c r="E101" s="409" t="s">
        <v>71</v>
      </c>
      <c r="F101" s="409" t="s">
        <v>70</v>
      </c>
      <c r="G101" s="409" t="s">
        <v>69</v>
      </c>
      <c r="H101" s="409" t="s">
        <v>111</v>
      </c>
      <c r="I101" s="409" t="s">
        <v>68</v>
      </c>
      <c r="J101" s="409" t="s">
        <v>67</v>
      </c>
      <c r="K101" s="409" t="s">
        <v>66</v>
      </c>
      <c r="M101" s="271"/>
      <c r="N101" s="271"/>
      <c r="O101" s="271"/>
      <c r="P101" s="271"/>
      <c r="Q101" s="271"/>
      <c r="R101" s="271"/>
      <c r="S101" s="271"/>
      <c r="T101" s="271"/>
      <c r="U101" s="271"/>
      <c r="V101" s="271"/>
      <c r="W101" s="271"/>
    </row>
    <row r="102" spans="1:23" x14ac:dyDescent="0.6">
      <c r="A102" s="409" t="s">
        <v>110</v>
      </c>
      <c r="B102" s="410">
        <v>285980</v>
      </c>
      <c r="C102" s="410">
        <v>17659.487409442965</v>
      </c>
      <c r="D102" s="410">
        <v>193994</v>
      </c>
      <c r="E102" s="410">
        <v>281770</v>
      </c>
      <c r="F102" s="410">
        <v>391711</v>
      </c>
      <c r="G102" s="410">
        <v>149458</v>
      </c>
      <c r="H102" s="410">
        <v>484478</v>
      </c>
      <c r="I102" s="410"/>
      <c r="J102" s="410">
        <f t="shared" ref="J102:J112" si="54">K102-G102</f>
        <v>359766.3</v>
      </c>
      <c r="K102" s="410">
        <f t="shared" ref="K102:K112" si="55">F102*1.3</f>
        <v>509224.3</v>
      </c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</row>
    <row r="103" spans="1:23" x14ac:dyDescent="0.6">
      <c r="A103" s="409" t="s">
        <v>109</v>
      </c>
      <c r="B103" s="410">
        <v>32259</v>
      </c>
      <c r="C103" s="410">
        <v>454.06222160000004</v>
      </c>
      <c r="D103" s="410">
        <v>23429</v>
      </c>
      <c r="E103" s="410">
        <v>35733</v>
      </c>
      <c r="F103" s="410">
        <v>47637</v>
      </c>
      <c r="G103" s="410">
        <v>9873</v>
      </c>
      <c r="H103" s="410">
        <v>29619</v>
      </c>
      <c r="I103" s="410"/>
      <c r="J103" s="410">
        <f t="shared" si="54"/>
        <v>52055.1</v>
      </c>
      <c r="K103" s="410">
        <f t="shared" si="55"/>
        <v>61928.1</v>
      </c>
      <c r="M103" s="271"/>
      <c r="N103" s="271"/>
      <c r="O103" s="271"/>
      <c r="P103" s="271"/>
      <c r="Q103" s="271"/>
      <c r="R103" s="271"/>
      <c r="S103" s="271"/>
      <c r="T103" s="271"/>
      <c r="U103" s="271"/>
      <c r="V103" s="271"/>
      <c r="W103" s="271"/>
    </row>
    <row r="104" spans="1:23" x14ac:dyDescent="0.6">
      <c r="A104" s="409" t="s">
        <v>108</v>
      </c>
      <c r="B104" s="410">
        <v>374</v>
      </c>
      <c r="C104" s="410">
        <v>174</v>
      </c>
      <c r="D104" s="410">
        <v>126</v>
      </c>
      <c r="E104" s="410">
        <v>188</v>
      </c>
      <c r="F104" s="410">
        <v>454</v>
      </c>
      <c r="G104" s="410">
        <v>103</v>
      </c>
      <c r="H104" s="410">
        <v>365</v>
      </c>
      <c r="I104" s="410"/>
      <c r="J104" s="410">
        <f t="shared" si="54"/>
        <v>487.20000000000005</v>
      </c>
      <c r="K104" s="410">
        <f t="shared" si="55"/>
        <v>590.20000000000005</v>
      </c>
      <c r="M104" s="271"/>
      <c r="N104" s="271"/>
      <c r="O104" s="271"/>
      <c r="P104" s="271"/>
      <c r="Q104" s="271"/>
      <c r="R104" s="271"/>
      <c r="S104" s="271"/>
      <c r="T104" s="271"/>
      <c r="U104" s="271"/>
      <c r="V104" s="271"/>
      <c r="W104" s="271"/>
    </row>
    <row r="105" spans="1:23" x14ac:dyDescent="0.6">
      <c r="A105" s="409" t="s">
        <v>107</v>
      </c>
      <c r="B105" s="410">
        <v>0</v>
      </c>
      <c r="C105" s="410">
        <v>0</v>
      </c>
      <c r="D105" s="410">
        <v>0</v>
      </c>
      <c r="E105" s="410">
        <v>0</v>
      </c>
      <c r="F105" s="410">
        <v>0</v>
      </c>
      <c r="G105" s="410">
        <v>0</v>
      </c>
      <c r="H105" s="410">
        <v>0</v>
      </c>
      <c r="I105" s="410"/>
      <c r="J105" s="410">
        <f t="shared" si="54"/>
        <v>0</v>
      </c>
      <c r="K105" s="410">
        <f t="shared" si="55"/>
        <v>0</v>
      </c>
      <c r="M105" s="271"/>
      <c r="N105" s="271"/>
      <c r="O105" s="271"/>
      <c r="P105" s="271"/>
      <c r="Q105" s="271"/>
      <c r="R105" s="271"/>
      <c r="S105" s="271"/>
      <c r="T105" s="271"/>
      <c r="U105" s="271"/>
      <c r="V105" s="271"/>
      <c r="W105" s="271"/>
    </row>
    <row r="106" spans="1:23" x14ac:dyDescent="0.6">
      <c r="A106" s="409" t="s">
        <v>106</v>
      </c>
      <c r="B106" s="410">
        <v>0</v>
      </c>
      <c r="C106" s="410">
        <v>0</v>
      </c>
      <c r="D106" s="410">
        <v>0</v>
      </c>
      <c r="E106" s="410">
        <v>0</v>
      </c>
      <c r="F106" s="410">
        <v>0</v>
      </c>
      <c r="G106" s="410">
        <v>0</v>
      </c>
      <c r="H106" s="410">
        <v>0</v>
      </c>
      <c r="I106" s="410"/>
      <c r="J106" s="410">
        <f t="shared" si="54"/>
        <v>0</v>
      </c>
      <c r="K106" s="410">
        <f t="shared" si="55"/>
        <v>0</v>
      </c>
      <c r="M106" s="271"/>
      <c r="N106" s="271"/>
      <c r="O106" s="271"/>
      <c r="P106" s="271"/>
      <c r="Q106" s="271"/>
      <c r="R106" s="271"/>
      <c r="S106" s="271"/>
      <c r="T106" s="271"/>
      <c r="U106" s="271"/>
      <c r="V106" s="271"/>
      <c r="W106" s="271"/>
    </row>
    <row r="107" spans="1:23" x14ac:dyDescent="0.6">
      <c r="A107" s="409" t="s">
        <v>105</v>
      </c>
      <c r="B107" s="410">
        <v>0</v>
      </c>
      <c r="C107" s="410">
        <v>0</v>
      </c>
      <c r="D107" s="410">
        <v>0</v>
      </c>
      <c r="E107" s="410">
        <v>0</v>
      </c>
      <c r="F107" s="410">
        <v>0</v>
      </c>
      <c r="G107" s="410">
        <v>0</v>
      </c>
      <c r="H107" s="410">
        <v>0</v>
      </c>
      <c r="I107" s="410"/>
      <c r="J107" s="410">
        <f t="shared" si="54"/>
        <v>0</v>
      </c>
      <c r="K107" s="410">
        <f t="shared" si="55"/>
        <v>0</v>
      </c>
      <c r="N107" s="412"/>
    </row>
    <row r="108" spans="1:23" x14ac:dyDescent="0.6">
      <c r="A108" s="409" t="s">
        <v>104</v>
      </c>
      <c r="B108" s="410">
        <v>0</v>
      </c>
      <c r="C108" s="410">
        <v>0</v>
      </c>
      <c r="D108" s="410">
        <v>0</v>
      </c>
      <c r="E108" s="410">
        <v>0</v>
      </c>
      <c r="F108" s="410">
        <v>0</v>
      </c>
      <c r="G108" s="410">
        <v>0</v>
      </c>
      <c r="H108" s="410">
        <v>0</v>
      </c>
      <c r="I108" s="410"/>
      <c r="J108" s="410">
        <f t="shared" si="54"/>
        <v>0</v>
      </c>
      <c r="K108" s="410">
        <f t="shared" si="55"/>
        <v>0</v>
      </c>
    </row>
    <row r="109" spans="1:23" x14ac:dyDescent="0.6">
      <c r="A109" s="409" t="s">
        <v>103</v>
      </c>
      <c r="B109" s="410">
        <v>0</v>
      </c>
      <c r="C109" s="410">
        <v>0</v>
      </c>
      <c r="D109" s="410">
        <v>0</v>
      </c>
      <c r="E109" s="410">
        <v>0</v>
      </c>
      <c r="F109" s="410">
        <v>0</v>
      </c>
      <c r="G109" s="410">
        <v>0</v>
      </c>
      <c r="H109" s="410">
        <v>0</v>
      </c>
      <c r="I109" s="410"/>
      <c r="J109" s="410">
        <f t="shared" si="54"/>
        <v>0</v>
      </c>
      <c r="K109" s="410">
        <f t="shared" si="55"/>
        <v>0</v>
      </c>
      <c r="N109" s="411"/>
    </row>
    <row r="110" spans="1:23" x14ac:dyDescent="0.6">
      <c r="A110" s="409" t="s">
        <v>102</v>
      </c>
      <c r="B110" s="410">
        <v>0</v>
      </c>
      <c r="C110" s="410">
        <v>0</v>
      </c>
      <c r="D110" s="410">
        <v>0</v>
      </c>
      <c r="E110" s="410">
        <v>0</v>
      </c>
      <c r="F110" s="410">
        <v>0</v>
      </c>
      <c r="G110" s="410">
        <v>0</v>
      </c>
      <c r="H110" s="410">
        <v>0</v>
      </c>
      <c r="I110" s="410"/>
      <c r="J110" s="410">
        <f t="shared" si="54"/>
        <v>0</v>
      </c>
      <c r="K110" s="410">
        <f t="shared" si="55"/>
        <v>0</v>
      </c>
    </row>
    <row r="111" spans="1:23" x14ac:dyDescent="0.6">
      <c r="A111" s="409" t="s">
        <v>101</v>
      </c>
      <c r="B111" s="410">
        <v>751848</v>
      </c>
      <c r="C111" s="410">
        <v>339045.29984509997</v>
      </c>
      <c r="D111" s="410">
        <v>721620</v>
      </c>
      <c r="E111" s="410">
        <v>885887</v>
      </c>
      <c r="F111" s="410">
        <v>1082351</v>
      </c>
      <c r="G111" s="410">
        <v>483354</v>
      </c>
      <c r="H111" s="410">
        <v>1450065</v>
      </c>
      <c r="I111" s="410"/>
      <c r="J111" s="410">
        <f t="shared" si="54"/>
        <v>923702.3</v>
      </c>
      <c r="K111" s="410">
        <f t="shared" si="55"/>
        <v>1407056.3</v>
      </c>
    </row>
    <row r="112" spans="1:23" x14ac:dyDescent="0.6">
      <c r="A112" s="409" t="s">
        <v>100</v>
      </c>
      <c r="B112" s="410">
        <v>1070461</v>
      </c>
      <c r="C112" s="410">
        <f>SUM(C102:C111)</f>
        <v>357332.84947614296</v>
      </c>
      <c r="D112" s="410">
        <v>939169</v>
      </c>
      <c r="E112" s="410">
        <v>1203578</v>
      </c>
      <c r="F112" s="410">
        <v>1522153</v>
      </c>
      <c r="G112" s="410">
        <v>642788</v>
      </c>
      <c r="H112" s="410">
        <v>1964527</v>
      </c>
      <c r="I112" s="410"/>
      <c r="J112" s="410">
        <f t="shared" si="54"/>
        <v>1336010.9000000001</v>
      </c>
      <c r="K112" s="410">
        <f t="shared" si="55"/>
        <v>1978798.9000000001</v>
      </c>
    </row>
    <row r="115" spans="1:22" x14ac:dyDescent="0.6">
      <c r="A115" s="409" t="s">
        <v>99</v>
      </c>
      <c r="B115" s="409" t="s">
        <v>81</v>
      </c>
      <c r="C115" s="409" t="s">
        <v>80</v>
      </c>
      <c r="D115" s="409" t="s">
        <v>79</v>
      </c>
      <c r="E115" s="409" t="s">
        <v>78</v>
      </c>
      <c r="F115" s="409" t="s">
        <v>77</v>
      </c>
      <c r="G115" s="409" t="s">
        <v>76</v>
      </c>
      <c r="H115" s="409" t="s">
        <v>75</v>
      </c>
      <c r="I115" s="409" t="s">
        <v>74</v>
      </c>
      <c r="J115" s="409" t="s">
        <v>73</v>
      </c>
      <c r="K115" s="409" t="s">
        <v>72</v>
      </c>
      <c r="L115" s="409" t="s">
        <v>71</v>
      </c>
      <c r="M115" s="409" t="s">
        <v>70</v>
      </c>
      <c r="N115" s="409" t="s">
        <v>69</v>
      </c>
      <c r="O115" s="409" t="s">
        <v>68</v>
      </c>
      <c r="P115" s="409" t="s">
        <v>67</v>
      </c>
      <c r="Q115" s="409" t="s">
        <v>66</v>
      </c>
    </row>
    <row r="116" spans="1:22" x14ac:dyDescent="0.6">
      <c r="A116" s="409" t="s">
        <v>98</v>
      </c>
      <c r="B116" s="408">
        <v>12828598</v>
      </c>
      <c r="C116" s="408">
        <v>18425961</v>
      </c>
      <c r="D116" s="408">
        <v>10190803</v>
      </c>
      <c r="E116" s="408">
        <v>15283844</v>
      </c>
      <c r="F116" s="408">
        <v>5280358</v>
      </c>
      <c r="G116" s="408">
        <v>11900789</v>
      </c>
      <c r="H116" s="408">
        <v>19123485</v>
      </c>
      <c r="I116" s="408">
        <v>27487990</v>
      </c>
      <c r="J116" s="408">
        <v>5746164</v>
      </c>
      <c r="K116" s="408">
        <v>16572305</v>
      </c>
      <c r="L116" s="408">
        <v>24870046</v>
      </c>
      <c r="M116" s="408">
        <v>37261195</v>
      </c>
      <c r="N116" s="408">
        <v>14792868</v>
      </c>
      <c r="O116" s="408"/>
      <c r="P116" s="408">
        <f>P25</f>
        <v>42969281.105224609</v>
      </c>
      <c r="Q116" s="408">
        <f>P116+N116</f>
        <v>57762149.105224609</v>
      </c>
      <c r="V116" s="239"/>
    </row>
    <row r="117" spans="1:22" x14ac:dyDescent="0.6">
      <c r="A117" s="409" t="s">
        <v>97</v>
      </c>
      <c r="B117" s="408">
        <v>-10575934</v>
      </c>
      <c r="C117" s="408">
        <v>-15994797</v>
      </c>
      <c r="D117" s="408">
        <v>-11307060</v>
      </c>
      <c r="E117" s="408">
        <v>-15122376</v>
      </c>
      <c r="F117" s="408">
        <v>-4439206</v>
      </c>
      <c r="G117" s="408">
        <v>-9938728</v>
      </c>
      <c r="H117" s="408">
        <v>-16549228</v>
      </c>
      <c r="I117" s="408">
        <v>-22604122</v>
      </c>
      <c r="J117" s="408">
        <v>-4088001</v>
      </c>
      <c r="K117" s="408">
        <v>-11264528</v>
      </c>
      <c r="L117" s="408">
        <v>-17048298</v>
      </c>
      <c r="M117" s="408">
        <v>-27632802</v>
      </c>
      <c r="N117" s="408">
        <v>-10708647</v>
      </c>
      <c r="O117" s="408"/>
      <c r="P117" s="408">
        <f>-I52</f>
        <v>-33457962.045417234</v>
      </c>
      <c r="Q117" s="408">
        <f>P117+N117</f>
        <v>-44166609.045417234</v>
      </c>
      <c r="V117" s="239"/>
    </row>
    <row r="118" spans="1:22" x14ac:dyDescent="0.6">
      <c r="A118" s="409" t="s">
        <v>96</v>
      </c>
      <c r="B118" s="408">
        <v>2252664</v>
      </c>
      <c r="C118" s="408">
        <v>2431164</v>
      </c>
      <c r="D118" s="408">
        <v>-1116257</v>
      </c>
      <c r="E118" s="408">
        <v>161468</v>
      </c>
      <c r="F118" s="408">
        <v>841152</v>
      </c>
      <c r="G118" s="408">
        <v>1962061</v>
      </c>
      <c r="H118" s="408">
        <v>2574257</v>
      </c>
      <c r="I118" s="408">
        <v>4883868</v>
      </c>
      <c r="J118" s="408">
        <v>1658163</v>
      </c>
      <c r="K118" s="408">
        <v>5307777</v>
      </c>
      <c r="L118" s="408">
        <v>7821748</v>
      </c>
      <c r="M118" s="408">
        <v>9628393</v>
      </c>
      <c r="N118" s="408">
        <v>4084221</v>
      </c>
      <c r="O118" s="408"/>
      <c r="P118" s="408">
        <f>SUM(P116:P117)</f>
        <v>9511319.0598073751</v>
      </c>
      <c r="Q118" s="408">
        <f>SUM(Q116:Q117)</f>
        <v>13595540.059807375</v>
      </c>
      <c r="V118" s="239"/>
    </row>
    <row r="119" spans="1:22" x14ac:dyDescent="0.6">
      <c r="A119" s="409" t="s">
        <v>95</v>
      </c>
      <c r="B119" s="408">
        <v>-109131</v>
      </c>
      <c r="C119" s="408">
        <v>-156797</v>
      </c>
      <c r="D119" s="408">
        <v>-181307</v>
      </c>
      <c r="E119" s="408">
        <v>-178840</v>
      </c>
      <c r="F119" s="408">
        <v>-46289</v>
      </c>
      <c r="G119" s="408">
        <v>-474095</v>
      </c>
      <c r="H119" s="408">
        <v>-411562</v>
      </c>
      <c r="I119" s="408">
        <v>-1070461</v>
      </c>
      <c r="J119" s="408">
        <v>-357333</v>
      </c>
      <c r="K119" s="408">
        <v>-939169</v>
      </c>
      <c r="L119" s="408">
        <v>-1203578</v>
      </c>
      <c r="M119" s="408">
        <v>-1522153</v>
      </c>
      <c r="N119" s="408">
        <v>-642788</v>
      </c>
      <c r="O119" s="408"/>
      <c r="P119" s="408">
        <f>-J112</f>
        <v>-1336010.9000000001</v>
      </c>
      <c r="Q119" s="408">
        <f>P119+N119</f>
        <v>-1978798.9000000001</v>
      </c>
      <c r="V119" s="239"/>
    </row>
    <row r="120" spans="1:22" x14ac:dyDescent="0.6">
      <c r="A120" s="409" t="s">
        <v>94</v>
      </c>
      <c r="B120" s="408">
        <v>28998</v>
      </c>
      <c r="C120" s="408">
        <v>-113237</v>
      </c>
      <c r="D120" s="408">
        <v>121046</v>
      </c>
      <c r="E120" s="408">
        <v>37204</v>
      </c>
      <c r="F120" s="408">
        <v>2870</v>
      </c>
      <c r="G120" s="408">
        <v>180852</v>
      </c>
      <c r="H120" s="408">
        <v>482495</v>
      </c>
      <c r="I120" s="408">
        <v>864464</v>
      </c>
      <c r="J120" s="408">
        <v>40212</v>
      </c>
      <c r="K120" s="408">
        <v>8897569</v>
      </c>
      <c r="L120" s="408">
        <v>8924460</v>
      </c>
      <c r="M120" s="408">
        <v>10980097</v>
      </c>
      <c r="N120" s="408">
        <v>72872</v>
      </c>
      <c r="O120" s="408"/>
      <c r="P120" s="408">
        <f>Q120-N120</f>
        <v>791592</v>
      </c>
      <c r="Q120" s="408">
        <f>I120</f>
        <v>864464</v>
      </c>
      <c r="V120" s="239"/>
    </row>
    <row r="121" spans="1:22" x14ac:dyDescent="0.6">
      <c r="A121" s="409" t="s">
        <v>93</v>
      </c>
      <c r="B121" s="408">
        <v>-80133</v>
      </c>
      <c r="C121" s="408">
        <v>-270034</v>
      </c>
      <c r="D121" s="408">
        <v>-181839</v>
      </c>
      <c r="E121" s="408">
        <v>-187053</v>
      </c>
      <c r="F121" s="408">
        <v>-41653</v>
      </c>
      <c r="G121" s="408">
        <v>-79646</v>
      </c>
      <c r="H121" s="408">
        <v>-111552</v>
      </c>
      <c r="I121" s="408">
        <f>J121-164466</f>
        <v>-204105</v>
      </c>
      <c r="J121" s="408">
        <v>-39639</v>
      </c>
      <c r="K121" s="408">
        <v>-105421</v>
      </c>
      <c r="L121" s="408">
        <v>-240490</v>
      </c>
      <c r="M121" s="408">
        <v>-406546</v>
      </c>
      <c r="N121" s="408">
        <v>-68011</v>
      </c>
      <c r="O121" s="408"/>
      <c r="P121" s="408">
        <f>Q121-N121</f>
        <v>-338535</v>
      </c>
      <c r="Q121" s="408">
        <f>M121</f>
        <v>-406546</v>
      </c>
      <c r="V121" s="239"/>
    </row>
    <row r="122" spans="1:22" x14ac:dyDescent="0.6">
      <c r="A122" s="409" t="s">
        <v>92</v>
      </c>
      <c r="B122" s="408">
        <v>2172531</v>
      </c>
      <c r="C122" s="408">
        <v>2161130</v>
      </c>
      <c r="D122" s="408">
        <v>-1358357</v>
      </c>
      <c r="E122" s="408">
        <v>-167221</v>
      </c>
      <c r="F122" s="408">
        <v>756080</v>
      </c>
      <c r="G122" s="408">
        <v>1589172</v>
      </c>
      <c r="H122" s="408">
        <v>2533638</v>
      </c>
      <c r="I122" s="408">
        <v>4513405</v>
      </c>
      <c r="J122" s="408">
        <v>1301403</v>
      </c>
      <c r="K122" s="408">
        <v>13160756</v>
      </c>
      <c r="L122" s="408">
        <v>15302140</v>
      </c>
      <c r="M122" s="408">
        <v>18679791</v>
      </c>
      <c r="N122" s="408">
        <v>3446294</v>
      </c>
      <c r="O122" s="408"/>
      <c r="P122" s="408">
        <f>SUM(P118:P121)</f>
        <v>8628365.1598073747</v>
      </c>
      <c r="Q122" s="408">
        <f>SUM(Q118:Q121)</f>
        <v>12074659.159807375</v>
      </c>
      <c r="V122" s="239"/>
    </row>
    <row r="123" spans="1:22" x14ac:dyDescent="0.6">
      <c r="A123" s="409" t="s">
        <v>91</v>
      </c>
      <c r="B123" s="408">
        <v>-501461</v>
      </c>
      <c r="C123" s="408">
        <v>-1004906</v>
      </c>
      <c r="D123" s="408">
        <v>-1109293</v>
      </c>
      <c r="E123" s="408">
        <v>-1103527</v>
      </c>
      <c r="F123" s="408">
        <v>-224367</v>
      </c>
      <c r="G123" s="408">
        <v>-433886</v>
      </c>
      <c r="H123" s="408">
        <v>-569498</v>
      </c>
      <c r="I123" s="408">
        <v>-761745</v>
      </c>
      <c r="J123" s="408">
        <v>-145106</v>
      </c>
      <c r="K123" s="408">
        <v>-373569</v>
      </c>
      <c r="L123" s="408">
        <v>-548998</v>
      </c>
      <c r="M123" s="408">
        <v>-760801</v>
      </c>
      <c r="N123" s="408">
        <v>-182732</v>
      </c>
      <c r="O123" s="408"/>
      <c r="P123" s="408">
        <f>Q123-N123</f>
        <v>-806309.3</v>
      </c>
      <c r="Q123" s="408">
        <f>M123*1.3</f>
        <v>-989041.3</v>
      </c>
      <c r="V123" s="239"/>
    </row>
    <row r="124" spans="1:22" x14ac:dyDescent="0.6">
      <c r="A124" s="409" t="s">
        <v>89</v>
      </c>
      <c r="B124" s="408">
        <v>-13618</v>
      </c>
      <c r="C124" s="408">
        <v>-21717</v>
      </c>
      <c r="D124" s="408">
        <v>171793</v>
      </c>
      <c r="E124" s="408">
        <v>50669</v>
      </c>
      <c r="F124" s="408">
        <v>0</v>
      </c>
      <c r="G124" s="408">
        <v>11410</v>
      </c>
      <c r="H124" s="408">
        <v>16767</v>
      </c>
      <c r="I124" s="408">
        <v>24065</v>
      </c>
      <c r="J124" s="408">
        <v>9289</v>
      </c>
      <c r="K124" s="408">
        <v>23361</v>
      </c>
      <c r="L124" s="408">
        <v>64952</v>
      </c>
      <c r="M124" s="408">
        <v>75196</v>
      </c>
      <c r="N124" s="408">
        <v>7555</v>
      </c>
      <c r="O124" s="408"/>
      <c r="P124" s="408">
        <f>Q124-N124</f>
        <v>16510</v>
      </c>
      <c r="Q124" s="408">
        <f>I124</f>
        <v>24065</v>
      </c>
      <c r="V124" s="239"/>
    </row>
    <row r="125" spans="1:22" x14ac:dyDescent="0.6">
      <c r="A125" s="409" t="s">
        <v>88</v>
      </c>
      <c r="B125" s="408"/>
      <c r="C125" s="408"/>
      <c r="D125" s="408">
        <v>0</v>
      </c>
      <c r="E125" s="408">
        <v>0</v>
      </c>
      <c r="F125" s="408">
        <v>-19379</v>
      </c>
      <c r="G125" s="408">
        <v>23950</v>
      </c>
      <c r="H125" s="408">
        <v>-20895</v>
      </c>
      <c r="I125" s="408">
        <v>3037</v>
      </c>
      <c r="J125" s="408">
        <v>97</v>
      </c>
      <c r="K125" s="408">
        <v>116557</v>
      </c>
      <c r="L125" s="408">
        <v>131753</v>
      </c>
      <c r="M125" s="408">
        <v>-493040</v>
      </c>
      <c r="N125" s="408">
        <v>153550</v>
      </c>
      <c r="O125" s="408"/>
      <c r="P125" s="408">
        <f>Q125+N125</f>
        <v>-339490</v>
      </c>
      <c r="Q125" s="408">
        <f>M125</f>
        <v>-493040</v>
      </c>
      <c r="V125" s="239"/>
    </row>
    <row r="126" spans="1:22" x14ac:dyDescent="0.6">
      <c r="A126" s="409" t="s">
        <v>87</v>
      </c>
      <c r="B126" s="408">
        <v>1657452</v>
      </c>
      <c r="C126" s="408">
        <v>1134507</v>
      </c>
      <c r="D126" s="408">
        <v>-2295857</v>
      </c>
      <c r="E126" s="408">
        <v>-1220079</v>
      </c>
      <c r="F126" s="408">
        <v>512334</v>
      </c>
      <c r="G126" s="408">
        <v>1190646</v>
      </c>
      <c r="H126" s="408">
        <v>1960012</v>
      </c>
      <c r="I126" s="408">
        <v>3778762</v>
      </c>
      <c r="J126" s="408">
        <v>1165683</v>
      </c>
      <c r="K126" s="408">
        <v>12927105</v>
      </c>
      <c r="L126" s="408">
        <v>14949847</v>
      </c>
      <c r="M126" s="408">
        <v>17501146</v>
      </c>
      <c r="N126" s="408">
        <v>3424667</v>
      </c>
      <c r="O126" s="408"/>
      <c r="P126" s="408">
        <f>SUM(P122:P125)</f>
        <v>7499075.8598073749</v>
      </c>
      <c r="Q126" s="408">
        <f>SUM(Q122:Q125)</f>
        <v>10616642.859807374</v>
      </c>
      <c r="V126" s="239"/>
    </row>
    <row r="127" spans="1:22" x14ac:dyDescent="0.6">
      <c r="A127" s="409" t="s">
        <v>83</v>
      </c>
      <c r="B127" s="408">
        <v>-313816</v>
      </c>
      <c r="C127" s="408">
        <v>-106831</v>
      </c>
      <c r="D127" s="408">
        <v>0</v>
      </c>
      <c r="E127" s="408">
        <v>0</v>
      </c>
      <c r="F127" s="408">
        <v>-22040</v>
      </c>
      <c r="G127" s="408">
        <v>0</v>
      </c>
      <c r="H127" s="408">
        <v>0</v>
      </c>
      <c r="I127" s="408">
        <v>0</v>
      </c>
      <c r="J127" s="408">
        <v>0</v>
      </c>
      <c r="K127" s="408">
        <v>-400834</v>
      </c>
      <c r="L127" s="408">
        <v>-651685</v>
      </c>
      <c r="M127" s="408">
        <v>-1064944</v>
      </c>
      <c r="N127" s="408">
        <v>-119283</v>
      </c>
      <c r="O127" s="408"/>
      <c r="P127" s="408">
        <f>Q127-N127</f>
        <v>-526739.27269543975</v>
      </c>
      <c r="Q127" s="408">
        <f>Q126*Q131</f>
        <v>-646022.27269543975</v>
      </c>
      <c r="V127" s="254"/>
    </row>
    <row r="128" spans="1:22" x14ac:dyDescent="0.6">
      <c r="A128" s="409" t="s">
        <v>86</v>
      </c>
      <c r="B128" s="408">
        <v>1343636</v>
      </c>
      <c r="C128" s="408">
        <v>1027676</v>
      </c>
      <c r="D128" s="408">
        <v>-2295857</v>
      </c>
      <c r="E128" s="408">
        <v>-1220079</v>
      </c>
      <c r="F128" s="408">
        <v>490294</v>
      </c>
      <c r="G128" s="408">
        <v>1190646</v>
      </c>
      <c r="H128" s="408">
        <v>1960012</v>
      </c>
      <c r="I128" s="408">
        <v>3778762</v>
      </c>
      <c r="J128" s="408">
        <v>1165683</v>
      </c>
      <c r="K128" s="408">
        <v>12526271</v>
      </c>
      <c r="L128" s="408">
        <v>14298162</v>
      </c>
      <c r="M128" s="408">
        <v>16436202</v>
      </c>
      <c r="N128" s="408">
        <v>3305384</v>
      </c>
      <c r="O128" s="408"/>
      <c r="P128" s="408">
        <f>SUM(P126:P127)</f>
        <v>6972336.587111935</v>
      </c>
      <c r="Q128" s="408">
        <f>SUM(Q126:Q127)</f>
        <v>9970620.587111935</v>
      </c>
      <c r="V128" s="239"/>
    </row>
    <row r="129" spans="1:22" x14ac:dyDescent="0.6">
      <c r="A129" s="409" t="s">
        <v>85</v>
      </c>
      <c r="B129" s="408">
        <v>90</v>
      </c>
      <c r="C129" s="408">
        <v>69</v>
      </c>
      <c r="D129" s="408">
        <v>-153</v>
      </c>
      <c r="E129" s="408">
        <v>-81</v>
      </c>
      <c r="F129" s="408">
        <v>33</v>
      </c>
      <c r="G129" s="408">
        <v>79</v>
      </c>
      <c r="H129" s="408">
        <v>131</v>
      </c>
      <c r="I129" s="408">
        <v>252</v>
      </c>
      <c r="J129" s="408">
        <v>78</v>
      </c>
      <c r="K129" s="408">
        <v>835</v>
      </c>
      <c r="L129" s="408">
        <v>953</v>
      </c>
      <c r="M129" s="408">
        <v>1096</v>
      </c>
      <c r="N129" s="408">
        <v>220</v>
      </c>
      <c r="O129" s="408"/>
      <c r="P129" s="408">
        <f>P128*1000/P130</f>
        <v>464.82243914079567</v>
      </c>
      <c r="Q129" s="408">
        <f>Q128*1000/Q130</f>
        <v>664.70803914079568</v>
      </c>
      <c r="V129" s="254"/>
    </row>
    <row r="130" spans="1:22" x14ac:dyDescent="0.6">
      <c r="A130" s="409" t="s">
        <v>84</v>
      </c>
      <c r="B130" s="408">
        <v>15000000</v>
      </c>
      <c r="C130" s="408">
        <v>15000000</v>
      </c>
      <c r="D130" s="408">
        <v>15000000</v>
      </c>
      <c r="E130" s="408">
        <v>15000000</v>
      </c>
      <c r="F130" s="408">
        <v>15000000</v>
      </c>
      <c r="G130" s="408">
        <v>15000000</v>
      </c>
      <c r="H130" s="408">
        <v>15000000</v>
      </c>
      <c r="I130" s="408">
        <v>15000000</v>
      </c>
      <c r="J130" s="408">
        <v>15000000</v>
      </c>
      <c r="K130" s="408">
        <v>15000000</v>
      </c>
      <c r="L130" s="408">
        <v>15000000</v>
      </c>
      <c r="M130" s="408">
        <v>15000000</v>
      </c>
      <c r="N130" s="408">
        <v>15000000</v>
      </c>
      <c r="O130" s="408">
        <v>15000000</v>
      </c>
      <c r="P130" s="408">
        <v>15000000</v>
      </c>
      <c r="Q130" s="408">
        <v>15000000</v>
      </c>
      <c r="V130" s="239"/>
    </row>
    <row r="131" spans="1:22" x14ac:dyDescent="0.6">
      <c r="A131" s="3" t="s">
        <v>83</v>
      </c>
      <c r="B131" s="407">
        <f t="shared" ref="B131:N131" si="56">B127/B126</f>
        <v>-0.18933640310548963</v>
      </c>
      <c r="C131" s="407">
        <f t="shared" si="56"/>
        <v>-9.4165130757236398E-2</v>
      </c>
      <c r="D131" s="407">
        <f t="shared" si="56"/>
        <v>0</v>
      </c>
      <c r="E131" s="407">
        <f t="shared" si="56"/>
        <v>0</v>
      </c>
      <c r="F131" s="407">
        <f t="shared" si="56"/>
        <v>-4.3018811946894019E-2</v>
      </c>
      <c r="G131" s="407">
        <f t="shared" si="56"/>
        <v>0</v>
      </c>
      <c r="H131" s="407">
        <f t="shared" si="56"/>
        <v>0</v>
      </c>
      <c r="I131" s="407">
        <f t="shared" si="56"/>
        <v>0</v>
      </c>
      <c r="J131" s="407">
        <f t="shared" si="56"/>
        <v>0</v>
      </c>
      <c r="K131" s="407">
        <f t="shared" si="56"/>
        <v>-3.100725181701549E-2</v>
      </c>
      <c r="L131" s="407">
        <f t="shared" si="56"/>
        <v>-4.3591416019173976E-2</v>
      </c>
      <c r="M131" s="407">
        <f t="shared" si="56"/>
        <v>-6.0849958054175424E-2</v>
      </c>
      <c r="N131" s="407">
        <f t="shared" si="56"/>
        <v>-3.4830539728388191E-2</v>
      </c>
      <c r="Q131" s="406">
        <f>M131</f>
        <v>-6.0849958054175424E-2</v>
      </c>
    </row>
    <row r="132" spans="1:22" ht="40.5" x14ac:dyDescent="1.05">
      <c r="A132" s="95" t="s">
        <v>82</v>
      </c>
      <c r="B132" s="405" t="s">
        <v>81</v>
      </c>
      <c r="C132" s="405" t="s">
        <v>80</v>
      </c>
      <c r="D132" s="405" t="s">
        <v>79</v>
      </c>
      <c r="E132" s="405" t="s">
        <v>78</v>
      </c>
      <c r="F132" s="405" t="s">
        <v>77</v>
      </c>
      <c r="G132" s="405" t="s">
        <v>76</v>
      </c>
      <c r="H132" s="405" t="s">
        <v>75</v>
      </c>
      <c r="I132" s="405" t="s">
        <v>74</v>
      </c>
      <c r="J132" s="405" t="s">
        <v>73</v>
      </c>
      <c r="K132" s="405" t="s">
        <v>72</v>
      </c>
      <c r="L132" s="405" t="s">
        <v>71</v>
      </c>
      <c r="M132" s="405" t="s">
        <v>70</v>
      </c>
      <c r="N132" s="405" t="s">
        <v>69</v>
      </c>
      <c r="O132" s="405" t="s">
        <v>68</v>
      </c>
      <c r="P132" s="405" t="s">
        <v>67</v>
      </c>
      <c r="Q132" s="405" t="s">
        <v>66</v>
      </c>
    </row>
    <row r="133" spans="1:22" x14ac:dyDescent="0.6">
      <c r="A133" s="93" t="s">
        <v>65</v>
      </c>
      <c r="B133" s="247">
        <f t="shared" ref="B133:N133" si="57">B118/B116</f>
        <v>0.17559705277225149</v>
      </c>
      <c r="C133" s="247">
        <f t="shared" si="57"/>
        <v>0.1319423176896988</v>
      </c>
      <c r="D133" s="247">
        <f t="shared" si="57"/>
        <v>-0.10953572549680335</v>
      </c>
      <c r="E133" s="247">
        <f t="shared" si="57"/>
        <v>1.0564619738332844E-2</v>
      </c>
      <c r="F133" s="247">
        <f t="shared" si="57"/>
        <v>0.15929829000230666</v>
      </c>
      <c r="G133" s="247">
        <f t="shared" si="57"/>
        <v>0.16486814445664064</v>
      </c>
      <c r="H133" s="247">
        <f t="shared" si="57"/>
        <v>0.13461233661124006</v>
      </c>
      <c r="I133" s="247">
        <f t="shared" si="57"/>
        <v>0.17767279455500384</v>
      </c>
      <c r="J133" s="247">
        <f t="shared" si="57"/>
        <v>0.28856868686657744</v>
      </c>
      <c r="K133" s="247">
        <f t="shared" si="57"/>
        <v>0.32027994898718071</v>
      </c>
      <c r="L133" s="247">
        <f t="shared" si="57"/>
        <v>0.314504766094924</v>
      </c>
      <c r="M133" s="247">
        <f t="shared" si="57"/>
        <v>0.25840268944675554</v>
      </c>
      <c r="N133" s="247">
        <f t="shared" si="57"/>
        <v>0.27609392580262326</v>
      </c>
      <c r="O133" s="247"/>
      <c r="P133" s="247">
        <f>P118/P116</f>
        <v>0.22135159851792119</v>
      </c>
      <c r="Q133" s="247">
        <f>Q118/Q116</f>
        <v>0.23537109111090282</v>
      </c>
    </row>
    <row r="134" spans="1:22" x14ac:dyDescent="0.6">
      <c r="A134" s="91" t="s">
        <v>64</v>
      </c>
      <c r="B134" s="246">
        <f t="shared" ref="B134:N134" si="58">B122/B116</f>
        <v>0.16935061804883123</v>
      </c>
      <c r="C134" s="246">
        <f t="shared" si="58"/>
        <v>0.11728723402811934</v>
      </c>
      <c r="D134" s="246">
        <f t="shared" si="58"/>
        <v>-0.1332924402522549</v>
      </c>
      <c r="E134" s="246">
        <f t="shared" si="58"/>
        <v>-1.0941030280078754E-2</v>
      </c>
      <c r="F134" s="246">
        <f t="shared" si="58"/>
        <v>0.14318726116676181</v>
      </c>
      <c r="G134" s="246">
        <f t="shared" si="58"/>
        <v>0.13353501183829072</v>
      </c>
      <c r="H134" s="246">
        <f t="shared" si="58"/>
        <v>0.13248829907310306</v>
      </c>
      <c r="I134" s="246">
        <f t="shared" si="58"/>
        <v>0.16419552684645186</v>
      </c>
      <c r="J134" s="246">
        <f t="shared" si="58"/>
        <v>0.22648204958995252</v>
      </c>
      <c r="K134" s="246">
        <f t="shared" si="58"/>
        <v>0.79414155122054542</v>
      </c>
      <c r="L134" s="246">
        <f t="shared" si="58"/>
        <v>0.61528394438836176</v>
      </c>
      <c r="M134" s="246">
        <f t="shared" si="58"/>
        <v>0.50132023409340465</v>
      </c>
      <c r="N134" s="246">
        <f t="shared" si="58"/>
        <v>0.23296996904183828</v>
      </c>
      <c r="O134" s="246"/>
      <c r="P134" s="246">
        <f>P122/P116</f>
        <v>0.20080310719367042</v>
      </c>
      <c r="Q134" s="246">
        <f>Q122/Q116</f>
        <v>0.20904103027418725</v>
      </c>
    </row>
    <row r="135" spans="1:22" x14ac:dyDescent="0.6">
      <c r="A135" s="89" t="s">
        <v>63</v>
      </c>
      <c r="B135" s="245">
        <f t="shared" ref="B135:N135" si="59">B128/B116</f>
        <v>0.10473755588880405</v>
      </c>
      <c r="C135" s="245">
        <f t="shared" si="59"/>
        <v>5.5773264688881087E-2</v>
      </c>
      <c r="D135" s="245">
        <f t="shared" si="59"/>
        <v>-0.22528715352460449</v>
      </c>
      <c r="E135" s="245">
        <f t="shared" si="59"/>
        <v>-7.9828019704990441E-2</v>
      </c>
      <c r="F135" s="245">
        <f t="shared" si="59"/>
        <v>9.2852416446006128E-2</v>
      </c>
      <c r="G135" s="245">
        <f t="shared" si="59"/>
        <v>0.10004765230271707</v>
      </c>
      <c r="H135" s="245">
        <f t="shared" si="59"/>
        <v>0.10249240658802514</v>
      </c>
      <c r="I135" s="245">
        <f t="shared" si="59"/>
        <v>0.13746956398048749</v>
      </c>
      <c r="J135" s="245">
        <f t="shared" si="59"/>
        <v>0.20286281421832025</v>
      </c>
      <c r="K135" s="245">
        <f t="shared" si="59"/>
        <v>0.75585568814959658</v>
      </c>
      <c r="L135" s="245">
        <f t="shared" si="59"/>
        <v>0.5749149800527108</v>
      </c>
      <c r="M135" s="245">
        <f t="shared" si="59"/>
        <v>0.44110775298537797</v>
      </c>
      <c r="N135" s="245">
        <f t="shared" si="59"/>
        <v>0.22344443281721976</v>
      </c>
      <c r="O135" s="245"/>
      <c r="P135" s="245">
        <f>P128/P116</f>
        <v>0.16226328222801412</v>
      </c>
      <c r="Q135" s="245">
        <f>Q128/Q116</f>
        <v>0.17261512498346585</v>
      </c>
    </row>
    <row r="137" spans="1:22" x14ac:dyDescent="0.6">
      <c r="A137" s="81"/>
      <c r="B137" s="81" t="s">
        <v>81</v>
      </c>
      <c r="C137" s="81" t="s">
        <v>80</v>
      </c>
      <c r="D137" s="81" t="s">
        <v>79</v>
      </c>
      <c r="E137" s="81" t="s">
        <v>78</v>
      </c>
      <c r="F137" s="81" t="s">
        <v>74</v>
      </c>
      <c r="G137" s="81" t="s">
        <v>70</v>
      </c>
      <c r="H137" s="81" t="s">
        <v>69</v>
      </c>
      <c r="I137" s="81" t="s">
        <v>66</v>
      </c>
    </row>
    <row r="138" spans="1:22" ht="25.5" x14ac:dyDescent="0.7">
      <c r="A138" s="637" t="s">
        <v>441</v>
      </c>
      <c r="B138" s="639">
        <f>B116*1000/B130</f>
        <v>855.23986666666667</v>
      </c>
      <c r="C138" s="639">
        <f>C116*1000/C130</f>
        <v>1228.3974000000001</v>
      </c>
      <c r="D138" s="639">
        <f>D116*1000/D130</f>
        <v>679.38686666666672</v>
      </c>
      <c r="E138" s="639">
        <f>E116*1000/E130</f>
        <v>1018.9229333333334</v>
      </c>
      <c r="F138" s="639">
        <f>I116*1000/I130</f>
        <v>1832.5326666666667</v>
      </c>
      <c r="G138" s="639">
        <f>M116*1000/M130</f>
        <v>2484.0796666666665</v>
      </c>
      <c r="H138" s="639">
        <f>N116*1000/N130</f>
        <v>986.19119999999998</v>
      </c>
      <c r="I138" s="639">
        <f>Q116*1000/Q130</f>
        <v>3850.8099403483075</v>
      </c>
    </row>
    <row r="139" spans="1:22" s="244" customFormat="1" ht="25.5" x14ac:dyDescent="0.7">
      <c r="A139" s="638" t="s">
        <v>442</v>
      </c>
      <c r="B139" s="647">
        <f>B226*1000/B130</f>
        <v>1042.8849333333333</v>
      </c>
      <c r="C139" s="647">
        <f t="shared" ref="C139:E139" si="60">C226*1000/C130</f>
        <v>1101.374</v>
      </c>
      <c r="D139" s="647">
        <f t="shared" si="60"/>
        <v>920.83199999999999</v>
      </c>
      <c r="E139" s="647">
        <f t="shared" si="60"/>
        <v>771.65293333333329</v>
      </c>
      <c r="F139" s="647">
        <f>F226*1000/I130</f>
        <v>1023.5704666666667</v>
      </c>
      <c r="G139" s="647">
        <f>G226*1000/M130</f>
        <v>2103.3172666666665</v>
      </c>
      <c r="H139" s="647">
        <f>H226*1000/N130</f>
        <v>2323.6761999999999</v>
      </c>
      <c r="I139" s="647"/>
    </row>
    <row r="141" spans="1:22" x14ac:dyDescent="0.6">
      <c r="A141" s="87" t="s">
        <v>60</v>
      </c>
    </row>
    <row r="142" spans="1:22" x14ac:dyDescent="0.6">
      <c r="A142" s="241" t="s">
        <v>59</v>
      </c>
      <c r="B142" s="241"/>
      <c r="C142" s="241" t="s">
        <v>57</v>
      </c>
      <c r="D142" s="241"/>
      <c r="E142" s="241"/>
      <c r="F142" s="241"/>
      <c r="G142" s="241" t="s">
        <v>58</v>
      </c>
      <c r="H142" s="241"/>
      <c r="I142" s="241"/>
      <c r="J142" s="241" t="s">
        <v>467</v>
      </c>
      <c r="K142" s="241"/>
      <c r="L142" s="241"/>
      <c r="M142" s="241"/>
      <c r="N142" s="241" t="s">
        <v>468</v>
      </c>
      <c r="O142" s="241"/>
      <c r="P142" s="241"/>
      <c r="Q142" s="241"/>
      <c r="R142" s="241" t="s">
        <v>469</v>
      </c>
      <c r="S142" s="241"/>
      <c r="T142" s="241"/>
      <c r="U142" s="241"/>
    </row>
    <row r="143" spans="1:22" x14ac:dyDescent="0.6">
      <c r="A143" s="241" t="s">
        <v>51</v>
      </c>
      <c r="B143" s="241" t="s">
        <v>56</v>
      </c>
      <c r="C143" s="241" t="s">
        <v>55</v>
      </c>
      <c r="D143" s="241" t="s">
        <v>54</v>
      </c>
      <c r="E143" s="241" t="s">
        <v>53</v>
      </c>
      <c r="F143" s="241" t="s">
        <v>52</v>
      </c>
      <c r="G143" s="241" t="s">
        <v>55</v>
      </c>
      <c r="H143" s="241" t="s">
        <v>54</v>
      </c>
      <c r="I143" s="241" t="s">
        <v>52</v>
      </c>
      <c r="J143" s="241" t="s">
        <v>55</v>
      </c>
      <c r="K143" s="241" t="s">
        <v>54</v>
      </c>
      <c r="L143" s="241" t="s">
        <v>53</v>
      </c>
      <c r="M143" s="241" t="s">
        <v>52</v>
      </c>
      <c r="N143" s="241" t="s">
        <v>55</v>
      </c>
      <c r="O143" s="241" t="s">
        <v>54</v>
      </c>
      <c r="P143" s="241" t="s">
        <v>53</v>
      </c>
      <c r="Q143" s="241" t="s">
        <v>52</v>
      </c>
      <c r="R143" s="241" t="s">
        <v>55</v>
      </c>
      <c r="S143" s="241" t="s">
        <v>54</v>
      </c>
      <c r="T143" s="241" t="s">
        <v>53</v>
      </c>
      <c r="U143" s="241" t="s">
        <v>52</v>
      </c>
    </row>
    <row r="144" spans="1:22" x14ac:dyDescent="0.6">
      <c r="A144" s="241" t="s">
        <v>240</v>
      </c>
      <c r="B144" s="241" t="s">
        <v>188</v>
      </c>
      <c r="C144" s="240">
        <v>595460</v>
      </c>
      <c r="D144" s="240">
        <v>624568</v>
      </c>
      <c r="E144" s="240">
        <v>36762215</v>
      </c>
      <c r="F144" s="240">
        <v>22960503</v>
      </c>
      <c r="G144" s="242">
        <v>0</v>
      </c>
      <c r="H144" s="242">
        <v>0</v>
      </c>
      <c r="I144" s="242">
        <v>0</v>
      </c>
      <c r="J144" s="240">
        <v>595460</v>
      </c>
      <c r="K144" s="240">
        <v>624568</v>
      </c>
      <c r="L144" s="240">
        <v>36762215</v>
      </c>
      <c r="M144" s="240">
        <v>22960503</v>
      </c>
      <c r="N144" s="240">
        <v>123877</v>
      </c>
      <c r="O144" s="240">
        <v>104877</v>
      </c>
      <c r="P144" s="240">
        <v>38566311</v>
      </c>
      <c r="Q144" s="240">
        <v>4044719</v>
      </c>
      <c r="R144" s="240">
        <v>719337</v>
      </c>
      <c r="S144" s="240">
        <v>729445</v>
      </c>
      <c r="T144" s="240">
        <v>37021601</v>
      </c>
      <c r="U144" s="240">
        <v>27005222</v>
      </c>
    </row>
    <row r="145" spans="1:21" x14ac:dyDescent="0.6">
      <c r="A145" s="241" t="s">
        <v>46</v>
      </c>
      <c r="B145" s="241" t="s">
        <v>188</v>
      </c>
      <c r="C145" s="240">
        <v>88549</v>
      </c>
      <c r="D145" s="240">
        <v>15292</v>
      </c>
      <c r="E145" s="240">
        <v>1029427</v>
      </c>
      <c r="F145" s="240">
        <v>15742</v>
      </c>
      <c r="G145" s="242">
        <v>0</v>
      </c>
      <c r="H145" s="242">
        <v>0</v>
      </c>
      <c r="I145" s="242">
        <v>0</v>
      </c>
      <c r="J145" s="240">
        <v>88549</v>
      </c>
      <c r="K145" s="240">
        <v>15292</v>
      </c>
      <c r="L145" s="240">
        <v>1029427</v>
      </c>
      <c r="M145" s="240">
        <v>15742</v>
      </c>
      <c r="N145" s="240">
        <v>163069</v>
      </c>
      <c r="O145" s="240">
        <v>11122</v>
      </c>
      <c r="P145" s="240">
        <v>15790595</v>
      </c>
      <c r="Q145" s="240">
        <v>175623</v>
      </c>
      <c r="R145" s="240">
        <v>251618</v>
      </c>
      <c r="S145" s="240">
        <v>26414</v>
      </c>
      <c r="T145" s="240">
        <v>7244832</v>
      </c>
      <c r="U145" s="240">
        <v>191365</v>
      </c>
    </row>
    <row r="146" spans="1:21" x14ac:dyDescent="0.6">
      <c r="A146" s="241" t="s">
        <v>45</v>
      </c>
      <c r="B146" s="241"/>
      <c r="C146" s="241"/>
      <c r="D146" s="241"/>
      <c r="E146" s="241"/>
      <c r="F146" s="240">
        <v>22976245</v>
      </c>
      <c r="G146" s="241"/>
      <c r="H146" s="241"/>
      <c r="I146" s="242">
        <v>0</v>
      </c>
      <c r="J146" s="241"/>
      <c r="K146" s="241"/>
      <c r="L146" s="241"/>
      <c r="M146" s="240">
        <v>22976245</v>
      </c>
      <c r="N146" s="241"/>
      <c r="O146" s="241"/>
      <c r="P146" s="241"/>
      <c r="Q146" s="240">
        <v>4220342</v>
      </c>
      <c r="R146" s="241"/>
      <c r="S146" s="241"/>
      <c r="T146" s="241"/>
      <c r="U146" s="240">
        <v>27196587</v>
      </c>
    </row>
    <row r="147" spans="1:21" x14ac:dyDescent="0.6">
      <c r="R147" s="239">
        <f>SUM(R144:R145)</f>
        <v>970955</v>
      </c>
      <c r="S147" s="239">
        <f>SUM(S144:S145)</f>
        <v>755859</v>
      </c>
    </row>
    <row r="149" spans="1:21" x14ac:dyDescent="0.6">
      <c r="A149" s="1036" t="s">
        <v>44</v>
      </c>
      <c r="B149" s="286"/>
      <c r="C149" s="286"/>
      <c r="D149" s="286"/>
      <c r="E149" s="286"/>
      <c r="F149" s="286"/>
      <c r="G149" s="286"/>
      <c r="H149" s="286"/>
      <c r="I149" s="286"/>
    </row>
    <row r="150" spans="1:21" x14ac:dyDescent="0.6">
      <c r="A150" s="1036"/>
      <c r="B150" s="286"/>
      <c r="C150" s="286"/>
      <c r="D150" s="286"/>
      <c r="E150" s="286"/>
      <c r="F150" s="286"/>
      <c r="G150" s="286"/>
      <c r="H150" s="286"/>
      <c r="I150" s="286"/>
    </row>
    <row r="151" spans="1:21" ht="23.25" thickBot="1" x14ac:dyDescent="0.65">
      <c r="A151" s="1036"/>
      <c r="B151" s="200"/>
      <c r="C151" s="200" t="s">
        <v>43</v>
      </c>
      <c r="D151" s="200" t="s">
        <v>224</v>
      </c>
      <c r="E151" s="200" t="s">
        <v>41</v>
      </c>
      <c r="F151" s="200" t="s">
        <v>223</v>
      </c>
      <c r="G151" s="200" t="s">
        <v>499</v>
      </c>
      <c r="H151" s="200" t="s">
        <v>38</v>
      </c>
      <c r="I151" s="200" t="s">
        <v>37</v>
      </c>
      <c r="J151" s="200" t="s">
        <v>36</v>
      </c>
      <c r="K151" s="200" t="s">
        <v>35</v>
      </c>
      <c r="L151" s="82" t="s">
        <v>34</v>
      </c>
    </row>
    <row r="152" spans="1:21" ht="24" thickTop="1" thickBot="1" x14ac:dyDescent="0.65">
      <c r="A152" s="404" t="s">
        <v>241</v>
      </c>
      <c r="B152" s="403">
        <f>H152</f>
        <v>1642100</v>
      </c>
      <c r="C152" s="402"/>
      <c r="D152" s="402">
        <f>AVERAGE(M7,I7)</f>
        <v>1639479.5</v>
      </c>
      <c r="E152" s="402">
        <f>N144</f>
        <v>123877</v>
      </c>
      <c r="F152" s="402">
        <f>R147/5*12</f>
        <v>2330292</v>
      </c>
      <c r="G152" s="402">
        <f>N7*M7/J7</f>
        <v>1581616.6526530117</v>
      </c>
      <c r="H152" s="402">
        <f>MAX(M7,I7,B7:E7)</f>
        <v>1642100</v>
      </c>
      <c r="I152" s="402">
        <f>MIN(M7,I7,B7:E7)</f>
        <v>1295319</v>
      </c>
      <c r="J152" s="402"/>
      <c r="K152" s="402"/>
      <c r="L152" s="402"/>
    </row>
    <row r="153" spans="1:21" ht="24" thickTop="1" thickBot="1" x14ac:dyDescent="0.65">
      <c r="A153" s="401" t="s">
        <v>239</v>
      </c>
      <c r="B153" s="400">
        <f>C153-30</f>
        <v>335</v>
      </c>
      <c r="C153" s="398">
        <f>پنل!B3</f>
        <v>365</v>
      </c>
      <c r="D153" s="398"/>
      <c r="E153" s="399"/>
      <c r="F153" s="398"/>
      <c r="G153" s="398"/>
      <c r="H153" s="398"/>
      <c r="I153" s="398"/>
      <c r="J153" s="398"/>
      <c r="K153" s="398"/>
      <c r="L153" s="398"/>
    </row>
    <row r="154" spans="1:21" ht="24" thickTop="1" thickBot="1" x14ac:dyDescent="0.65">
      <c r="A154" s="397" t="s">
        <v>238</v>
      </c>
      <c r="B154" s="396">
        <f>B153*B155</f>
        <v>36850000</v>
      </c>
      <c r="C154" s="395">
        <f>C153*B155</f>
        <v>40150000</v>
      </c>
      <c r="D154" s="395"/>
      <c r="E154" s="395">
        <f>P144</f>
        <v>38566311</v>
      </c>
      <c r="F154" s="395">
        <f>T144</f>
        <v>37021601</v>
      </c>
      <c r="G154" s="395">
        <f>N32</f>
        <v>34732296.96779611</v>
      </c>
      <c r="H154" s="395"/>
      <c r="I154" s="395"/>
      <c r="J154" s="395"/>
      <c r="K154" s="395"/>
      <c r="L154" s="395"/>
    </row>
    <row r="155" spans="1:21" ht="24" thickTop="1" thickBot="1" x14ac:dyDescent="0.65">
      <c r="A155" s="324" t="s">
        <v>26</v>
      </c>
      <c r="B155" s="394">
        <f>C155</f>
        <v>110000</v>
      </c>
      <c r="C155" s="391">
        <f>پنل!B1</f>
        <v>110000</v>
      </c>
      <c r="D155" s="391"/>
      <c r="E155" s="391"/>
      <c r="F155" s="391"/>
      <c r="G155" s="391"/>
      <c r="H155" s="391"/>
      <c r="I155" s="391"/>
      <c r="J155" s="391"/>
      <c r="K155" s="393"/>
      <c r="L155" s="393"/>
    </row>
    <row r="156" spans="1:21" ht="24" thickTop="1" thickBot="1" x14ac:dyDescent="0.65">
      <c r="B156" s="235"/>
      <c r="C156" s="235"/>
      <c r="D156" s="235"/>
      <c r="E156" s="235"/>
      <c r="F156" s="235"/>
      <c r="G156" s="235"/>
      <c r="H156" s="235"/>
      <c r="I156" s="235"/>
      <c r="J156" s="235"/>
    </row>
    <row r="157" spans="1:21" ht="24" thickTop="1" thickBot="1" x14ac:dyDescent="0.65">
      <c r="A157" s="389" t="s">
        <v>31</v>
      </c>
      <c r="B157" s="392">
        <f>C157</f>
        <v>39050000</v>
      </c>
      <c r="C157" s="392">
        <f>پنل!B6</f>
        <v>39050000</v>
      </c>
      <c r="D157" s="235"/>
      <c r="E157" s="235"/>
      <c r="F157" s="235"/>
      <c r="G157" s="235"/>
      <c r="H157" s="235"/>
      <c r="I157" s="235"/>
      <c r="J157" s="235"/>
    </row>
    <row r="158" spans="1:21" ht="24" thickTop="1" thickBot="1" x14ac:dyDescent="0.65">
      <c r="A158" s="389" t="s">
        <v>29</v>
      </c>
      <c r="B158" s="392">
        <f>C158</f>
        <v>8981500</v>
      </c>
      <c r="C158" s="392">
        <f>پنل!B8</f>
        <v>8981500</v>
      </c>
      <c r="D158" s="235"/>
      <c r="E158" s="235"/>
      <c r="G158" s="391">
        <f>G78</f>
        <v>7956455.4964563129</v>
      </c>
      <c r="H158" s="235"/>
      <c r="I158" s="235"/>
      <c r="J158" s="235"/>
    </row>
    <row r="159" spans="1:21" ht="24" thickTop="1" thickBot="1" x14ac:dyDescent="0.65">
      <c r="A159" s="389" t="s">
        <v>237</v>
      </c>
      <c r="B159" s="390">
        <f>V56</f>
        <v>1.6318784332204366</v>
      </c>
      <c r="C159" s="390"/>
      <c r="D159" s="235"/>
      <c r="E159" s="235"/>
      <c r="F159" s="235"/>
      <c r="G159" s="235"/>
      <c r="H159" s="235"/>
      <c r="I159" s="235"/>
    </row>
    <row r="160" spans="1:21" ht="24" thickTop="1" thickBot="1" x14ac:dyDescent="0.65">
      <c r="A160" s="389" t="s">
        <v>236</v>
      </c>
      <c r="B160" s="388">
        <f>B159*B152</f>
        <v>2679707.5751912789</v>
      </c>
      <c r="C160" s="388"/>
      <c r="D160" s="235"/>
      <c r="E160" s="235"/>
      <c r="F160" s="235"/>
      <c r="G160" s="235"/>
      <c r="H160" s="235"/>
      <c r="I160" s="235"/>
    </row>
    <row r="161" spans="1:20" ht="24" thickTop="1" thickBot="1" x14ac:dyDescent="0.65">
      <c r="B161" s="235"/>
      <c r="C161" s="235"/>
      <c r="D161" s="235"/>
      <c r="E161" s="235"/>
      <c r="F161" s="235"/>
      <c r="G161" s="235"/>
      <c r="H161" s="235"/>
      <c r="I161" s="235"/>
    </row>
    <row r="162" spans="1:20" ht="36.75" thickBot="1" x14ac:dyDescent="1">
      <c r="B162" s="235"/>
      <c r="C162" s="235"/>
      <c r="D162" s="235"/>
      <c r="E162" s="235"/>
      <c r="F162" s="235"/>
      <c r="G162" s="1061" t="s">
        <v>26</v>
      </c>
      <c r="H162" s="1058" t="s">
        <v>235</v>
      </c>
      <c r="I162" s="1059"/>
      <c r="J162" s="1059"/>
      <c r="K162" s="1059"/>
      <c r="L162" s="1059"/>
      <c r="M162" s="1059"/>
      <c r="N162" s="1059"/>
      <c r="O162" s="1059"/>
      <c r="P162" s="1059"/>
      <c r="Q162" s="1059"/>
      <c r="R162" s="1059"/>
      <c r="S162" s="1059"/>
      <c r="T162" s="1060"/>
    </row>
    <row r="163" spans="1:20" ht="30" thickTop="1" thickBot="1" x14ac:dyDescent="0.8">
      <c r="A163" s="51" t="s">
        <v>22</v>
      </c>
      <c r="B163" s="317">
        <f>Q129</f>
        <v>664.70803914079568</v>
      </c>
      <c r="C163" s="235"/>
      <c r="D163" s="235"/>
      <c r="E163" s="235"/>
      <c r="F163" s="235"/>
      <c r="G163" s="1062"/>
      <c r="H163" s="387">
        <f>B163</f>
        <v>664.70803914079568</v>
      </c>
      <c r="I163" s="385">
        <v>330</v>
      </c>
      <c r="J163" s="386">
        <v>340</v>
      </c>
      <c r="K163" s="385">
        <v>350</v>
      </c>
      <c r="L163" s="386">
        <v>360</v>
      </c>
      <c r="M163" s="385">
        <v>370</v>
      </c>
      <c r="N163" s="386">
        <v>380</v>
      </c>
      <c r="O163" s="385">
        <v>390</v>
      </c>
      <c r="P163" s="386">
        <v>400</v>
      </c>
      <c r="Q163" s="385">
        <v>410</v>
      </c>
      <c r="R163" s="386">
        <v>420</v>
      </c>
      <c r="S163" s="385">
        <v>430</v>
      </c>
      <c r="T163" s="384">
        <v>440</v>
      </c>
    </row>
    <row r="164" spans="1:20" ht="23.25" thickTop="1" x14ac:dyDescent="0.6">
      <c r="B164" s="235"/>
      <c r="C164" s="235"/>
      <c r="D164" s="235"/>
      <c r="E164" s="235"/>
      <c r="F164" s="235"/>
      <c r="G164" s="1062"/>
      <c r="H164" s="372">
        <v>90000</v>
      </c>
      <c r="I164" s="383">
        <f t="dataTable" ref="I164:T173" dt2D="1" dtr="1" r1="B153" r2="B155"/>
        <v>142.70821030438125</v>
      </c>
      <c r="J164" s="382">
        <v>208.41448246560813</v>
      </c>
      <c r="K164" s="382">
        <v>274.12075462683492</v>
      </c>
      <c r="L164" s="382">
        <v>339.8270267880622</v>
      </c>
      <c r="M164" s="382">
        <v>405.53329894928953</v>
      </c>
      <c r="N164" s="382">
        <v>471.2395711105159</v>
      </c>
      <c r="O164" s="382">
        <v>536.94584327174312</v>
      </c>
      <c r="P164" s="382">
        <v>602.65211543297039</v>
      </c>
      <c r="Q164" s="382">
        <v>668.35838759419732</v>
      </c>
      <c r="R164" s="382">
        <v>734.06465975542449</v>
      </c>
      <c r="S164" s="382">
        <v>799.77093191665142</v>
      </c>
      <c r="T164" s="381">
        <v>865.4772040778787</v>
      </c>
    </row>
    <row r="165" spans="1:20" ht="23.25" thickBot="1" x14ac:dyDescent="0.65">
      <c r="A165" s="82" t="s">
        <v>450</v>
      </c>
      <c r="B165" s="680">
        <f>F221*1000/F211</f>
        <v>1250.6852666666666</v>
      </c>
      <c r="G165" s="1062"/>
      <c r="H165" s="372">
        <v>100000</v>
      </c>
      <c r="I165" s="371">
        <v>383.63120822888044</v>
      </c>
      <c r="J165" s="370">
        <v>456.6381772969101</v>
      </c>
      <c r="K165" s="370">
        <v>529.64514636494027</v>
      </c>
      <c r="L165" s="370">
        <v>602.65211543297039</v>
      </c>
      <c r="M165" s="370">
        <v>675.65908450100005</v>
      </c>
      <c r="N165" s="370">
        <v>748.66605356903074</v>
      </c>
      <c r="O165" s="370">
        <v>821.67302263706051</v>
      </c>
      <c r="P165" s="370">
        <v>894.67999170509029</v>
      </c>
      <c r="Q165" s="370">
        <v>967.68696077312097</v>
      </c>
      <c r="R165" s="370">
        <v>1040.6939298411512</v>
      </c>
      <c r="S165" s="370">
        <v>1113.7008989091808</v>
      </c>
      <c r="T165" s="369">
        <v>1186.7078679772112</v>
      </c>
    </row>
    <row r="166" spans="1:20" s="1" customFormat="1" ht="32.25" customHeight="1" thickBot="1" x14ac:dyDescent="0.3">
      <c r="A166" s="380" t="s">
        <v>21</v>
      </c>
      <c r="B166" s="379">
        <f>VLOOKUP(D166,'دیده بان بازار'!A:W,8,0)</f>
        <v>6042</v>
      </c>
      <c r="C166" s="183">
        <f>B187</f>
        <v>3192.5080910647016</v>
      </c>
      <c r="D166" s="1031" t="s">
        <v>343</v>
      </c>
      <c r="G166" s="1062"/>
      <c r="H166" s="378">
        <v>110000</v>
      </c>
      <c r="I166" s="377">
        <v>624.5542061533796</v>
      </c>
      <c r="J166" s="376">
        <v>704.86187212821267</v>
      </c>
      <c r="K166" s="376">
        <v>785.16953810304562</v>
      </c>
      <c r="L166" s="376">
        <v>865.4772040778787</v>
      </c>
      <c r="M166" s="376">
        <v>945.78487005271188</v>
      </c>
      <c r="N166" s="376">
        <v>1026.0925360275451</v>
      </c>
      <c r="O166" s="376">
        <v>1106.4002020023781</v>
      </c>
      <c r="P166" s="376">
        <v>1186.7078679772112</v>
      </c>
      <c r="Q166" s="376">
        <v>1267.0155339520443</v>
      </c>
      <c r="R166" s="376">
        <v>1347.3231999268774</v>
      </c>
      <c r="S166" s="376">
        <v>1427.6308659017102</v>
      </c>
      <c r="T166" s="375">
        <v>1507.9385318765435</v>
      </c>
    </row>
    <row r="167" spans="1:20" x14ac:dyDescent="0.6">
      <c r="A167" s="676" t="s">
        <v>478</v>
      </c>
      <c r="B167" s="711">
        <f>B166-B165</f>
        <v>4791.3147333333336</v>
      </c>
      <c r="G167" s="1062"/>
      <c r="H167" s="372">
        <v>120000</v>
      </c>
      <c r="I167" s="371">
        <v>865.4772040778787</v>
      </c>
      <c r="J167" s="370">
        <v>953.08556695951438</v>
      </c>
      <c r="K167" s="370">
        <v>1040.6939298411512</v>
      </c>
      <c r="L167" s="370">
        <v>1128.3022927227871</v>
      </c>
      <c r="M167" s="370">
        <v>1215.910655604423</v>
      </c>
      <c r="N167" s="370">
        <v>1303.5190184860592</v>
      </c>
      <c r="O167" s="370">
        <v>1391.1273813676953</v>
      </c>
      <c r="P167" s="370">
        <v>1478.735744249331</v>
      </c>
      <c r="Q167" s="370">
        <v>1566.3441071309671</v>
      </c>
      <c r="R167" s="370">
        <v>1653.9524700126037</v>
      </c>
      <c r="S167" s="370">
        <v>1741.5608328942401</v>
      </c>
      <c r="T167" s="369">
        <v>1829.1691957758753</v>
      </c>
    </row>
    <row r="168" spans="1:20" x14ac:dyDescent="0.6">
      <c r="A168" s="47">
        <v>3</v>
      </c>
      <c r="B168" s="374">
        <f>$B$167/A168</f>
        <v>1597.1049111111113</v>
      </c>
      <c r="G168" s="1062"/>
      <c r="H168" s="372">
        <v>130000</v>
      </c>
      <c r="I168" s="371">
        <v>1106.4002020023781</v>
      </c>
      <c r="J168" s="370">
        <v>1201.3092617908167</v>
      </c>
      <c r="K168" s="370">
        <v>1296.2183215792568</v>
      </c>
      <c r="L168" s="370">
        <v>1391.1273813676953</v>
      </c>
      <c r="M168" s="370">
        <v>1486.0364411561343</v>
      </c>
      <c r="N168" s="370">
        <v>1580.945500944574</v>
      </c>
      <c r="O168" s="370">
        <v>1675.8545607330129</v>
      </c>
      <c r="P168" s="370">
        <v>1770.7636205214515</v>
      </c>
      <c r="Q168" s="370">
        <v>1865.6726803098904</v>
      </c>
      <c r="R168" s="370">
        <v>1960.5817400983301</v>
      </c>
      <c r="S168" s="370">
        <v>2055.4907998867693</v>
      </c>
      <c r="T168" s="369">
        <v>2150.3998596752081</v>
      </c>
    </row>
    <row r="169" spans="1:20" x14ac:dyDescent="0.6">
      <c r="A169" s="47">
        <v>4</v>
      </c>
      <c r="B169" s="374">
        <f t="shared" ref="B169:B170" si="61">$B$167/A169</f>
        <v>1197.8286833333334</v>
      </c>
      <c r="G169" s="1062"/>
      <c r="H169" s="372">
        <v>140000</v>
      </c>
      <c r="I169" s="371">
        <v>1347.3231999268774</v>
      </c>
      <c r="J169" s="370">
        <v>1449.5329566221192</v>
      </c>
      <c r="K169" s="370">
        <v>1551.7427133173614</v>
      </c>
      <c r="L169" s="370">
        <v>1653.9524700126037</v>
      </c>
      <c r="M169" s="370">
        <v>1756.1622267078458</v>
      </c>
      <c r="N169" s="370">
        <v>1858.3719834030878</v>
      </c>
      <c r="O169" s="370">
        <v>1960.5817400983301</v>
      </c>
      <c r="P169" s="370">
        <v>2062.7914967935717</v>
      </c>
      <c r="Q169" s="370">
        <v>2165.0012534888147</v>
      </c>
      <c r="R169" s="370">
        <v>2267.2110101840572</v>
      </c>
      <c r="S169" s="370">
        <v>2369.4207668792983</v>
      </c>
      <c r="T169" s="369">
        <v>2471.6305235745403</v>
      </c>
    </row>
    <row r="170" spans="1:20" ht="23.25" thickBot="1" x14ac:dyDescent="0.65">
      <c r="A170" s="42">
        <v>5</v>
      </c>
      <c r="B170" s="373">
        <f t="shared" si="61"/>
        <v>958.26294666666672</v>
      </c>
      <c r="G170" s="1062"/>
      <c r="H170" s="372">
        <v>150000</v>
      </c>
      <c r="I170" s="371">
        <v>1588.2461978513766</v>
      </c>
      <c r="J170" s="370">
        <v>1697.7566514534221</v>
      </c>
      <c r="K170" s="370">
        <v>1807.2671050554666</v>
      </c>
      <c r="L170" s="370">
        <v>1916.7775586575121</v>
      </c>
      <c r="M170" s="370">
        <v>2026.2880122595566</v>
      </c>
      <c r="N170" s="370">
        <v>2135.7984658616024</v>
      </c>
      <c r="O170" s="370">
        <v>2245.3089194636482</v>
      </c>
      <c r="P170" s="370">
        <v>2354.8193730656922</v>
      </c>
      <c r="Q170" s="370">
        <v>2464.329826667738</v>
      </c>
      <c r="R170" s="370">
        <v>2573.8402802697819</v>
      </c>
      <c r="S170" s="370">
        <v>2683.3507338718282</v>
      </c>
      <c r="T170" s="369">
        <v>2792.8611874738735</v>
      </c>
    </row>
    <row r="171" spans="1:20" ht="23.25" thickBot="1" x14ac:dyDescent="0.65">
      <c r="A171" s="286"/>
      <c r="B171" s="286"/>
      <c r="G171" s="1062"/>
      <c r="H171" s="372">
        <v>160000</v>
      </c>
      <c r="I171" s="371">
        <v>1829.1691957758753</v>
      </c>
      <c r="J171" s="370">
        <v>1945.9803462847244</v>
      </c>
      <c r="K171" s="370">
        <v>2062.7914967935717</v>
      </c>
      <c r="L171" s="370">
        <v>2179.6026473024203</v>
      </c>
      <c r="M171" s="370">
        <v>2296.4137978112681</v>
      </c>
      <c r="N171" s="370">
        <v>2413.2249483201163</v>
      </c>
      <c r="O171" s="370">
        <v>2530.0360988289649</v>
      </c>
      <c r="P171" s="370">
        <v>2646.8472493378122</v>
      </c>
      <c r="Q171" s="370">
        <v>2763.6583998466608</v>
      </c>
      <c r="R171" s="370">
        <v>2880.4695503555099</v>
      </c>
      <c r="S171" s="370">
        <v>2997.2807008643558</v>
      </c>
      <c r="T171" s="369">
        <v>3114.0918513732054</v>
      </c>
    </row>
    <row r="172" spans="1:20" ht="28.5" x14ac:dyDescent="0.6">
      <c r="A172" s="21" t="s">
        <v>20</v>
      </c>
      <c r="B172" s="37">
        <v>0.7</v>
      </c>
      <c r="G172" s="1062"/>
      <c r="H172" s="372">
        <v>170000</v>
      </c>
      <c r="I172" s="371">
        <v>2070.0921937003745</v>
      </c>
      <c r="J172" s="370">
        <v>2194.2040411160265</v>
      </c>
      <c r="K172" s="370">
        <v>2318.315888531677</v>
      </c>
      <c r="L172" s="370">
        <v>2442.4277359473285</v>
      </c>
      <c r="M172" s="370">
        <v>2566.53958336298</v>
      </c>
      <c r="N172" s="370">
        <v>2690.651430778631</v>
      </c>
      <c r="O172" s="370">
        <v>2814.7632781942825</v>
      </c>
      <c r="P172" s="370">
        <v>2938.8751256099331</v>
      </c>
      <c r="Q172" s="370">
        <v>3062.9869730255855</v>
      </c>
      <c r="R172" s="370">
        <v>3187.0988204412351</v>
      </c>
      <c r="S172" s="370">
        <v>3311.2106678568853</v>
      </c>
      <c r="T172" s="369">
        <v>3435.3225152725377</v>
      </c>
    </row>
    <row r="173" spans="1:20" ht="29.25" thickBot="1" x14ac:dyDescent="0.65">
      <c r="A173" s="34" t="s">
        <v>19</v>
      </c>
      <c r="B173" s="225">
        <f>B163*B172</f>
        <v>465.29562739855692</v>
      </c>
      <c r="G173" s="1063"/>
      <c r="H173" s="368">
        <v>180000</v>
      </c>
      <c r="I173" s="367">
        <v>2311.0151916248747</v>
      </c>
      <c r="J173" s="366">
        <v>2442.4277359473285</v>
      </c>
      <c r="K173" s="366">
        <v>2573.8402802697819</v>
      </c>
      <c r="L173" s="366">
        <v>2705.2528245922372</v>
      </c>
      <c r="M173" s="366">
        <v>2836.6653689146915</v>
      </c>
      <c r="N173" s="366">
        <v>2968.0779132371445</v>
      </c>
      <c r="O173" s="366">
        <v>3099.4904575595988</v>
      </c>
      <c r="P173" s="366">
        <v>3230.9030018820536</v>
      </c>
      <c r="Q173" s="366">
        <v>3362.3155462045074</v>
      </c>
      <c r="R173" s="366">
        <v>3493.7280905269618</v>
      </c>
      <c r="S173" s="366">
        <v>3625.1406348494156</v>
      </c>
      <c r="T173" s="365">
        <v>3756.5531791718699</v>
      </c>
    </row>
    <row r="174" spans="1:20" ht="29.25" thickBot="1" x14ac:dyDescent="0.8">
      <c r="A174" s="216"/>
      <c r="B174" s="216"/>
    </row>
    <row r="175" spans="1:20" ht="28.5" x14ac:dyDescent="0.6">
      <c r="A175" s="21" t="s">
        <v>18</v>
      </c>
      <c r="B175" s="20" t="s">
        <v>234</v>
      </c>
    </row>
    <row r="176" spans="1:20" ht="29.25" thickBot="1" x14ac:dyDescent="0.65">
      <c r="A176" s="34" t="s">
        <v>16</v>
      </c>
      <c r="B176" s="33" t="s">
        <v>233</v>
      </c>
    </row>
    <row r="177" spans="1:8" ht="29.25" thickBot="1" x14ac:dyDescent="0.8">
      <c r="A177" s="216"/>
      <c r="B177" s="216"/>
    </row>
    <row r="178" spans="1:8" ht="28.5" x14ac:dyDescent="0.6">
      <c r="A178" s="21" t="s">
        <v>14</v>
      </c>
      <c r="B178" s="20">
        <v>10</v>
      </c>
    </row>
    <row r="179" spans="1:8" ht="29.25" thickBot="1" x14ac:dyDescent="0.65">
      <c r="A179" s="34" t="s">
        <v>13</v>
      </c>
      <c r="B179" s="33">
        <v>13</v>
      </c>
    </row>
    <row r="180" spans="1:8" ht="29.25" thickBot="1" x14ac:dyDescent="0.8">
      <c r="A180" s="216"/>
      <c r="B180" s="216"/>
    </row>
    <row r="181" spans="1:8" ht="29.25" thickBot="1" x14ac:dyDescent="0.8">
      <c r="A181" s="215">
        <v>0.2</v>
      </c>
      <c r="B181" s="214" t="s">
        <v>7</v>
      </c>
    </row>
    <row r="182" spans="1:8" ht="28.5" x14ac:dyDescent="0.6">
      <c r="A182" s="21" t="s">
        <v>6</v>
      </c>
      <c r="B182" s="20" t="s">
        <v>5</v>
      </c>
    </row>
    <row r="183" spans="1:8" ht="29.25" thickBot="1" x14ac:dyDescent="0.8">
      <c r="A183" s="19">
        <f>A181/12</f>
        <v>1.6666666666666666E-2</v>
      </c>
      <c r="B183" s="18">
        <v>5</v>
      </c>
    </row>
    <row r="184" spans="1:8" ht="28.5" x14ac:dyDescent="0.75">
      <c r="A184" s="213" t="s">
        <v>4</v>
      </c>
      <c r="B184" s="16">
        <f>B183*B163</f>
        <v>3323.5401957039785</v>
      </c>
    </row>
    <row r="185" spans="1:8" ht="28.5" x14ac:dyDescent="0.75">
      <c r="A185" s="211" t="s">
        <v>3</v>
      </c>
      <c r="B185" s="12">
        <f>B184/(1+A183)^B178</f>
        <v>2817.1831966206378</v>
      </c>
    </row>
    <row r="186" spans="1:8" ht="29.25" thickBot="1" x14ac:dyDescent="0.8">
      <c r="A186" s="209" t="s">
        <v>2</v>
      </c>
      <c r="B186" s="10">
        <f>B173/(1+A183)^B179</f>
        <v>375.32489444406394</v>
      </c>
    </row>
    <row r="187" spans="1:8" ht="29.25" thickBot="1" x14ac:dyDescent="0.8">
      <c r="A187" s="207" t="s">
        <v>1</v>
      </c>
      <c r="B187" s="6">
        <f>SUM(B185:B186)</f>
        <v>3192.5080910647016</v>
      </c>
    </row>
    <row r="189" spans="1:8" x14ac:dyDescent="0.6">
      <c r="A189" s="82" t="s">
        <v>440</v>
      </c>
    </row>
    <row r="190" spans="1:8" x14ac:dyDescent="0.6">
      <c r="A190" s="241" t="s">
        <v>59</v>
      </c>
      <c r="B190" s="241" t="s">
        <v>384</v>
      </c>
      <c r="C190" s="241" t="s">
        <v>386</v>
      </c>
      <c r="D190" s="241" t="s">
        <v>159</v>
      </c>
      <c r="E190" s="241" t="s">
        <v>59</v>
      </c>
      <c r="F190" s="241" t="s">
        <v>384</v>
      </c>
      <c r="G190" s="241" t="s">
        <v>386</v>
      </c>
      <c r="H190" s="241" t="s">
        <v>159</v>
      </c>
    </row>
    <row r="191" spans="1:8" x14ac:dyDescent="0.6">
      <c r="A191" s="241"/>
      <c r="B191" s="241" t="s">
        <v>385</v>
      </c>
      <c r="C191" s="241" t="s">
        <v>387</v>
      </c>
      <c r="D191" s="241" t="s">
        <v>388</v>
      </c>
      <c r="E191" s="241"/>
      <c r="F191" s="241" t="s">
        <v>385</v>
      </c>
      <c r="G191" s="241" t="s">
        <v>387</v>
      </c>
      <c r="H191" s="241" t="s">
        <v>388</v>
      </c>
    </row>
    <row r="192" spans="1:8" x14ac:dyDescent="0.6">
      <c r="A192" s="241" t="s">
        <v>389</v>
      </c>
      <c r="B192" s="241"/>
      <c r="C192" s="241"/>
      <c r="D192" s="241"/>
      <c r="E192" s="241" t="s">
        <v>390</v>
      </c>
      <c r="F192" s="241"/>
      <c r="G192" s="241"/>
      <c r="H192" s="241"/>
    </row>
    <row r="193" spans="1:8" x14ac:dyDescent="0.6">
      <c r="A193" s="241" t="s">
        <v>391</v>
      </c>
      <c r="B193" s="241"/>
      <c r="C193" s="241"/>
      <c r="D193" s="241"/>
      <c r="E193" s="241" t="s">
        <v>392</v>
      </c>
      <c r="F193" s="241"/>
      <c r="G193" s="241"/>
      <c r="H193" s="241"/>
    </row>
    <row r="194" spans="1:8" x14ac:dyDescent="0.6">
      <c r="A194" s="241" t="s">
        <v>393</v>
      </c>
      <c r="B194" s="240">
        <v>802614</v>
      </c>
      <c r="C194" s="240">
        <v>1333644</v>
      </c>
      <c r="D194" s="242">
        <v>-40</v>
      </c>
      <c r="E194" s="241" t="s">
        <v>394</v>
      </c>
      <c r="F194" s="240">
        <v>8526139</v>
      </c>
      <c r="G194" s="240">
        <v>7689445</v>
      </c>
      <c r="H194" s="242">
        <v>11</v>
      </c>
    </row>
    <row r="195" spans="1:8" x14ac:dyDescent="0.6">
      <c r="A195" s="241" t="s">
        <v>395</v>
      </c>
      <c r="B195" s="242">
        <v>0</v>
      </c>
      <c r="C195" s="242">
        <v>0</v>
      </c>
      <c r="D195" s="241" t="s">
        <v>405</v>
      </c>
      <c r="E195" s="241" t="s">
        <v>396</v>
      </c>
      <c r="F195" s="240">
        <v>6119756</v>
      </c>
      <c r="G195" s="240">
        <v>3124210</v>
      </c>
      <c r="H195" s="242">
        <v>96</v>
      </c>
    </row>
    <row r="196" spans="1:8" x14ac:dyDescent="0.6">
      <c r="A196" s="241" t="s">
        <v>397</v>
      </c>
      <c r="B196" s="240">
        <v>16912004</v>
      </c>
      <c r="C196" s="240">
        <v>11994586</v>
      </c>
      <c r="D196" s="242">
        <v>41</v>
      </c>
      <c r="E196" s="241" t="s">
        <v>398</v>
      </c>
      <c r="F196" s="240">
        <v>1184226</v>
      </c>
      <c r="G196" s="240">
        <v>1064944</v>
      </c>
      <c r="H196" s="242">
        <v>11</v>
      </c>
    </row>
    <row r="197" spans="1:8" x14ac:dyDescent="0.6">
      <c r="A197" s="241" t="s">
        <v>399</v>
      </c>
      <c r="B197" s="240">
        <v>6974881</v>
      </c>
      <c r="C197" s="240">
        <v>8214899</v>
      </c>
      <c r="D197" s="242">
        <v>-15</v>
      </c>
      <c r="E197" s="241" t="s">
        <v>400</v>
      </c>
      <c r="F197" s="240">
        <v>2016</v>
      </c>
      <c r="G197" s="240">
        <v>2148</v>
      </c>
      <c r="H197" s="242">
        <v>-6</v>
      </c>
    </row>
    <row r="198" spans="1:8" x14ac:dyDescent="0.6">
      <c r="A198" s="241" t="s">
        <v>401</v>
      </c>
      <c r="B198" s="240">
        <v>16903970</v>
      </c>
      <c r="C198" s="240">
        <v>14634951</v>
      </c>
      <c r="D198" s="242">
        <v>16</v>
      </c>
      <c r="E198" s="241" t="s">
        <v>402</v>
      </c>
      <c r="F198" s="240">
        <v>3794154</v>
      </c>
      <c r="G198" s="240">
        <v>4299181</v>
      </c>
      <c r="H198" s="242">
        <v>-12</v>
      </c>
    </row>
    <row r="199" spans="1:8" x14ac:dyDescent="0.6">
      <c r="A199" s="241" t="s">
        <v>403</v>
      </c>
      <c r="B199" s="240">
        <v>3418693</v>
      </c>
      <c r="C199" s="240">
        <v>2246582</v>
      </c>
      <c r="D199" s="242">
        <v>52</v>
      </c>
      <c r="E199" s="241" t="s">
        <v>404</v>
      </c>
      <c r="F199" s="242">
        <v>0</v>
      </c>
      <c r="G199" s="242">
        <v>0</v>
      </c>
      <c r="H199" s="241" t="s">
        <v>405</v>
      </c>
    </row>
    <row r="200" spans="1:8" x14ac:dyDescent="0.6">
      <c r="A200" s="241" t="s">
        <v>406</v>
      </c>
      <c r="B200" s="242">
        <v>0</v>
      </c>
      <c r="C200" s="242">
        <v>0</v>
      </c>
      <c r="D200" s="241" t="s">
        <v>405</v>
      </c>
      <c r="E200" s="241" t="s">
        <v>407</v>
      </c>
      <c r="F200" s="240">
        <v>383053</v>
      </c>
      <c r="G200" s="240">
        <v>933843</v>
      </c>
      <c r="H200" s="242">
        <v>-59</v>
      </c>
    </row>
    <row r="201" spans="1:8" x14ac:dyDescent="0.6">
      <c r="A201" s="241" t="s">
        <v>408</v>
      </c>
      <c r="B201" s="240">
        <v>45012162</v>
      </c>
      <c r="C201" s="240">
        <v>38424662</v>
      </c>
      <c r="D201" s="242">
        <v>17</v>
      </c>
      <c r="E201" s="241" t="s">
        <v>409</v>
      </c>
      <c r="F201" s="242">
        <v>0</v>
      </c>
      <c r="G201" s="242">
        <v>0</v>
      </c>
      <c r="H201" s="241" t="s">
        <v>405</v>
      </c>
    </row>
    <row r="202" spans="1:8" x14ac:dyDescent="0.6">
      <c r="A202" s="241" t="s">
        <v>410</v>
      </c>
      <c r="B202" s="241"/>
      <c r="C202" s="241"/>
      <c r="D202" s="241"/>
      <c r="E202" s="241" t="s">
        <v>411</v>
      </c>
      <c r="F202" s="240">
        <v>20009344</v>
      </c>
      <c r="G202" s="240">
        <v>17113771</v>
      </c>
      <c r="H202" s="242">
        <v>17</v>
      </c>
    </row>
    <row r="203" spans="1:8" x14ac:dyDescent="0.6">
      <c r="A203" s="241" t="s">
        <v>412</v>
      </c>
      <c r="B203" s="242">
        <v>0</v>
      </c>
      <c r="C203" s="242">
        <v>0</v>
      </c>
      <c r="D203" s="241" t="s">
        <v>405</v>
      </c>
      <c r="E203" s="241" t="s">
        <v>413</v>
      </c>
      <c r="F203" s="241"/>
      <c r="G203" s="241"/>
      <c r="H203" s="241"/>
    </row>
    <row r="204" spans="1:8" x14ac:dyDescent="0.6">
      <c r="A204" s="241" t="s">
        <v>414</v>
      </c>
      <c r="B204" s="240">
        <v>304532</v>
      </c>
      <c r="C204" s="240">
        <v>304532</v>
      </c>
      <c r="D204" s="242">
        <v>0</v>
      </c>
      <c r="E204" s="241" t="s">
        <v>415</v>
      </c>
      <c r="F204" s="242">
        <v>0</v>
      </c>
      <c r="G204" s="242">
        <v>0</v>
      </c>
      <c r="H204" s="241" t="s">
        <v>405</v>
      </c>
    </row>
    <row r="205" spans="1:8" x14ac:dyDescent="0.6">
      <c r="A205" s="241" t="s">
        <v>416</v>
      </c>
      <c r="B205" s="242">
        <v>0</v>
      </c>
      <c r="C205" s="242">
        <v>0</v>
      </c>
      <c r="D205" s="241" t="s">
        <v>405</v>
      </c>
      <c r="E205" s="241" t="s">
        <v>417</v>
      </c>
      <c r="F205" s="242">
        <v>0</v>
      </c>
      <c r="G205" s="242">
        <v>0</v>
      </c>
      <c r="H205" s="241" t="s">
        <v>405</v>
      </c>
    </row>
    <row r="206" spans="1:8" x14ac:dyDescent="0.6">
      <c r="A206" s="241" t="s">
        <v>418</v>
      </c>
      <c r="B206" s="240">
        <v>1925904</v>
      </c>
      <c r="C206" s="240">
        <v>1952926</v>
      </c>
      <c r="D206" s="242">
        <v>-1</v>
      </c>
      <c r="E206" s="241" t="s">
        <v>419</v>
      </c>
      <c r="F206" s="242">
        <v>0</v>
      </c>
      <c r="G206" s="240">
        <v>79846</v>
      </c>
      <c r="H206" s="241" t="s">
        <v>405</v>
      </c>
    </row>
    <row r="207" spans="1:8" x14ac:dyDescent="0.6">
      <c r="A207" s="241" t="s">
        <v>420</v>
      </c>
      <c r="B207" s="240">
        <v>8077010</v>
      </c>
      <c r="C207" s="240">
        <v>8327835</v>
      </c>
      <c r="D207" s="242">
        <v>-3</v>
      </c>
      <c r="E207" s="241" t="s">
        <v>421</v>
      </c>
      <c r="F207" s="240">
        <v>534673</v>
      </c>
      <c r="G207" s="240">
        <v>393532</v>
      </c>
      <c r="H207" s="242">
        <v>36</v>
      </c>
    </row>
    <row r="208" spans="1:8" x14ac:dyDescent="0.6">
      <c r="A208" s="241" t="s">
        <v>422</v>
      </c>
      <c r="B208" s="240">
        <v>79552</v>
      </c>
      <c r="C208" s="240">
        <v>126953</v>
      </c>
      <c r="D208" s="242">
        <v>-37</v>
      </c>
      <c r="E208" s="241" t="s">
        <v>423</v>
      </c>
      <c r="F208" s="240">
        <v>534673</v>
      </c>
      <c r="G208" s="240">
        <v>473378</v>
      </c>
      <c r="H208" s="242">
        <v>13</v>
      </c>
    </row>
    <row r="209" spans="1:8" x14ac:dyDescent="0.6">
      <c r="A209" s="241" t="s">
        <v>424</v>
      </c>
      <c r="B209" s="240">
        <v>10386998</v>
      </c>
      <c r="C209" s="240">
        <v>10712246</v>
      </c>
      <c r="D209" s="242">
        <v>-3</v>
      </c>
      <c r="E209" s="241" t="s">
        <v>425</v>
      </c>
      <c r="F209" s="240">
        <v>20544017</v>
      </c>
      <c r="G209" s="240">
        <v>17587149</v>
      </c>
      <c r="H209" s="242">
        <v>17</v>
      </c>
    </row>
    <row r="210" spans="1:8" x14ac:dyDescent="0.6">
      <c r="A210" s="241"/>
      <c r="B210" s="241"/>
      <c r="C210" s="241"/>
      <c r="D210" s="241"/>
      <c r="E210" s="241" t="s">
        <v>426</v>
      </c>
      <c r="F210" s="241"/>
      <c r="G210" s="241"/>
      <c r="H210" s="241"/>
    </row>
    <row r="211" spans="1:8" x14ac:dyDescent="0.6">
      <c r="A211" s="241"/>
      <c r="B211" s="241"/>
      <c r="C211" s="241"/>
      <c r="D211" s="241"/>
      <c r="E211" s="241" t="s">
        <v>84</v>
      </c>
      <c r="F211" s="240">
        <v>15000000</v>
      </c>
      <c r="G211" s="240">
        <v>15000000</v>
      </c>
      <c r="H211" s="242">
        <v>0</v>
      </c>
    </row>
    <row r="212" spans="1:8" x14ac:dyDescent="0.6">
      <c r="A212" s="241"/>
      <c r="B212" s="241"/>
      <c r="C212" s="241"/>
      <c r="D212" s="241"/>
      <c r="E212" s="241" t="s">
        <v>427</v>
      </c>
      <c r="F212" s="242">
        <v>0</v>
      </c>
      <c r="G212" s="242">
        <v>0</v>
      </c>
      <c r="H212" s="241" t="s">
        <v>405</v>
      </c>
    </row>
    <row r="213" spans="1:8" x14ac:dyDescent="0.6">
      <c r="A213" s="241"/>
      <c r="B213" s="241"/>
      <c r="C213" s="241"/>
      <c r="D213" s="241"/>
      <c r="E213" s="241" t="s">
        <v>428</v>
      </c>
      <c r="F213" s="242">
        <v>0</v>
      </c>
      <c r="G213" s="242">
        <v>0</v>
      </c>
      <c r="H213" s="241" t="s">
        <v>405</v>
      </c>
    </row>
    <row r="214" spans="1:8" x14ac:dyDescent="0.6">
      <c r="A214" s="241"/>
      <c r="B214" s="241"/>
      <c r="C214" s="241"/>
      <c r="D214" s="241"/>
      <c r="E214" s="241" t="s">
        <v>429</v>
      </c>
      <c r="F214" s="242">
        <v>0</v>
      </c>
      <c r="G214" s="242">
        <v>0</v>
      </c>
      <c r="H214" s="241" t="s">
        <v>405</v>
      </c>
    </row>
    <row r="215" spans="1:8" x14ac:dyDescent="0.6">
      <c r="A215" s="241"/>
      <c r="B215" s="241"/>
      <c r="C215" s="241"/>
      <c r="D215" s="241"/>
      <c r="E215" s="241" t="s">
        <v>430</v>
      </c>
      <c r="F215" s="240">
        <v>1094864</v>
      </c>
      <c r="G215" s="240">
        <v>929595</v>
      </c>
      <c r="H215" s="242">
        <v>18</v>
      </c>
    </row>
    <row r="216" spans="1:8" x14ac:dyDescent="0.6">
      <c r="A216" s="241"/>
      <c r="B216" s="241"/>
      <c r="C216" s="241"/>
      <c r="D216" s="241"/>
      <c r="E216" s="241" t="s">
        <v>431</v>
      </c>
      <c r="F216" s="242">
        <v>0</v>
      </c>
      <c r="G216" s="242">
        <v>0</v>
      </c>
      <c r="H216" s="241" t="s">
        <v>405</v>
      </c>
    </row>
    <row r="217" spans="1:8" x14ac:dyDescent="0.6">
      <c r="A217" s="241"/>
      <c r="B217" s="241"/>
      <c r="C217" s="241"/>
      <c r="D217" s="241"/>
      <c r="E217" s="241" t="s">
        <v>432</v>
      </c>
      <c r="F217" s="242">
        <v>0</v>
      </c>
      <c r="G217" s="242">
        <v>0</v>
      </c>
      <c r="H217" s="241" t="s">
        <v>405</v>
      </c>
    </row>
    <row r="218" spans="1:8" x14ac:dyDescent="0.6">
      <c r="A218" s="241"/>
      <c r="B218" s="241"/>
      <c r="C218" s="241"/>
      <c r="D218" s="241"/>
      <c r="E218" s="241" t="s">
        <v>433</v>
      </c>
      <c r="F218" s="242">
        <v>0</v>
      </c>
      <c r="G218" s="242">
        <v>0</v>
      </c>
      <c r="H218" s="241" t="s">
        <v>405</v>
      </c>
    </row>
    <row r="219" spans="1:8" x14ac:dyDescent="0.6">
      <c r="A219" s="241"/>
      <c r="B219" s="241"/>
      <c r="C219" s="241"/>
      <c r="D219" s="241"/>
      <c r="E219" s="241" t="s">
        <v>434</v>
      </c>
      <c r="F219" s="242">
        <v>0</v>
      </c>
      <c r="G219" s="242">
        <v>0</v>
      </c>
      <c r="H219" s="241" t="s">
        <v>405</v>
      </c>
    </row>
    <row r="220" spans="1:8" x14ac:dyDescent="0.6">
      <c r="A220" s="241"/>
      <c r="B220" s="241"/>
      <c r="C220" s="241"/>
      <c r="D220" s="241"/>
      <c r="E220" s="241" t="s">
        <v>435</v>
      </c>
      <c r="F220" s="242">
        <v>0</v>
      </c>
      <c r="G220" s="242">
        <v>0</v>
      </c>
      <c r="H220" s="241" t="s">
        <v>405</v>
      </c>
    </row>
    <row r="221" spans="1:8" x14ac:dyDescent="0.6">
      <c r="A221" s="241"/>
      <c r="B221" s="241"/>
      <c r="C221" s="241"/>
      <c r="D221" s="241"/>
      <c r="E221" s="241" t="s">
        <v>436</v>
      </c>
      <c r="F221" s="240">
        <v>18760279</v>
      </c>
      <c r="G221" s="240">
        <v>15620164</v>
      </c>
      <c r="H221" s="242">
        <v>20</v>
      </c>
    </row>
    <row r="222" spans="1:8" x14ac:dyDescent="0.6">
      <c r="A222" s="241"/>
      <c r="B222" s="241"/>
      <c r="C222" s="241"/>
      <c r="D222" s="241"/>
      <c r="E222" s="241" t="s">
        <v>437</v>
      </c>
      <c r="F222" s="240">
        <v>34855143</v>
      </c>
      <c r="G222" s="240">
        <v>31549759</v>
      </c>
      <c r="H222" s="242">
        <v>10</v>
      </c>
    </row>
    <row r="223" spans="1:8" x14ac:dyDescent="0.6">
      <c r="A223" s="241" t="s">
        <v>438</v>
      </c>
      <c r="B223" s="240">
        <v>55399160</v>
      </c>
      <c r="C223" s="240">
        <v>49136908</v>
      </c>
      <c r="D223" s="242">
        <v>13</v>
      </c>
      <c r="E223" s="241" t="s">
        <v>439</v>
      </c>
      <c r="F223" s="240">
        <v>55399160</v>
      </c>
      <c r="G223" s="240">
        <v>49136908</v>
      </c>
      <c r="H223" s="242">
        <v>13</v>
      </c>
    </row>
    <row r="224" spans="1:8" ht="23.25" thickBot="1" x14ac:dyDescent="0.65"/>
    <row r="225" spans="1:30" ht="25.5" x14ac:dyDescent="0.7">
      <c r="A225" s="640" t="s">
        <v>59</v>
      </c>
      <c r="B225" s="641" t="s">
        <v>81</v>
      </c>
      <c r="C225" s="641" t="s">
        <v>80</v>
      </c>
      <c r="D225" s="641" t="s">
        <v>79</v>
      </c>
      <c r="E225" s="641" t="s">
        <v>78</v>
      </c>
      <c r="F225" s="641" t="s">
        <v>74</v>
      </c>
      <c r="G225" s="641" t="s">
        <v>70</v>
      </c>
      <c r="H225" s="642" t="s">
        <v>69</v>
      </c>
    </row>
    <row r="226" spans="1:30" ht="26.25" thickBot="1" x14ac:dyDescent="0.75">
      <c r="A226" s="643" t="s">
        <v>437</v>
      </c>
      <c r="B226" s="644">
        <v>15643274</v>
      </c>
      <c r="C226" s="644">
        <v>16520610</v>
      </c>
      <c r="D226" s="645">
        <v>13812480</v>
      </c>
      <c r="E226" s="645">
        <v>11574794</v>
      </c>
      <c r="F226" s="645">
        <v>15353557</v>
      </c>
      <c r="G226" s="645">
        <v>31549759</v>
      </c>
      <c r="H226" s="646">
        <v>34855143</v>
      </c>
    </row>
    <row r="230" spans="1:30" x14ac:dyDescent="0.6">
      <c r="A230" s="629" t="s">
        <v>349</v>
      </c>
      <c r="B230" s="629" t="s">
        <v>350</v>
      </c>
      <c r="C230" s="629" t="s">
        <v>351</v>
      </c>
      <c r="D230" s="629" t="s">
        <v>473</v>
      </c>
      <c r="E230" s="629" t="s">
        <v>352</v>
      </c>
      <c r="F230" s="629" t="s">
        <v>353</v>
      </c>
      <c r="G230" s="629" t="s">
        <v>354</v>
      </c>
      <c r="H230" s="629" t="s">
        <v>355</v>
      </c>
      <c r="I230" s="629" t="s">
        <v>356</v>
      </c>
      <c r="J230" s="629" t="s">
        <v>357</v>
      </c>
      <c r="K230" s="629" t="s">
        <v>358</v>
      </c>
      <c r="L230" s="629" t="s">
        <v>359</v>
      </c>
      <c r="M230" s="629" t="s">
        <v>360</v>
      </c>
      <c r="N230" s="629" t="s">
        <v>361</v>
      </c>
      <c r="O230" s="635" t="s">
        <v>453</v>
      </c>
      <c r="Q230" s="629" t="s">
        <v>368</v>
      </c>
      <c r="R230" s="629" t="s">
        <v>369</v>
      </c>
      <c r="S230" s="629" t="s">
        <v>370</v>
      </c>
      <c r="T230" s="629" t="s">
        <v>371</v>
      </c>
      <c r="U230" s="629" t="s">
        <v>372</v>
      </c>
      <c r="V230" s="629" t="s">
        <v>373</v>
      </c>
      <c r="W230" s="629" t="s">
        <v>374</v>
      </c>
      <c r="X230" s="629" t="s">
        <v>375</v>
      </c>
      <c r="Y230" s="629" t="s">
        <v>376</v>
      </c>
      <c r="Z230" s="629" t="s">
        <v>377</v>
      </c>
      <c r="AA230" s="629" t="s">
        <v>378</v>
      </c>
      <c r="AB230" s="629" t="s">
        <v>379</v>
      </c>
      <c r="AC230" s="629" t="s">
        <v>380</v>
      </c>
      <c r="AD230" s="629" t="s">
        <v>361</v>
      </c>
    </row>
    <row r="231" spans="1:30" x14ac:dyDescent="0.6">
      <c r="A231" s="629" t="s">
        <v>240</v>
      </c>
      <c r="B231" s="630">
        <v>125664</v>
      </c>
      <c r="C231" s="630">
        <v>125186</v>
      </c>
      <c r="D231" s="630">
        <v>134335</v>
      </c>
      <c r="E231" s="630">
        <v>110026</v>
      </c>
      <c r="F231" s="630">
        <v>100249</v>
      </c>
      <c r="G231" s="630">
        <v>123877</v>
      </c>
      <c r="H231" s="630"/>
      <c r="I231" s="630"/>
      <c r="J231" s="630"/>
      <c r="K231" s="630"/>
      <c r="L231" s="630"/>
      <c r="M231" s="630"/>
      <c r="N231" s="630">
        <f>SUM(B231:M231)</f>
        <v>719337</v>
      </c>
      <c r="O231" s="718">
        <f>SUM(R231:W231)</f>
        <v>735941</v>
      </c>
      <c r="Q231" s="629" t="s">
        <v>240</v>
      </c>
      <c r="R231" s="630">
        <v>135128</v>
      </c>
      <c r="S231" s="630">
        <v>113101</v>
      </c>
      <c r="T231" s="630">
        <v>135699</v>
      </c>
      <c r="U231" s="630">
        <v>126206</v>
      </c>
      <c r="V231" s="630">
        <v>114899</v>
      </c>
      <c r="W231" s="630">
        <v>110908</v>
      </c>
      <c r="X231" s="630">
        <v>120050</v>
      </c>
      <c r="Y231" s="630">
        <v>120016</v>
      </c>
      <c r="Z231" s="630">
        <v>112037</v>
      </c>
      <c r="AA231" s="630">
        <v>128469</v>
      </c>
      <c r="AB231" s="630">
        <v>121084</v>
      </c>
      <c r="AC231" s="630">
        <v>103877</v>
      </c>
      <c r="AD231" s="630">
        <v>1441474</v>
      </c>
    </row>
    <row r="232" spans="1:30" x14ac:dyDescent="0.6">
      <c r="A232" s="629" t="s">
        <v>46</v>
      </c>
      <c r="B232" s="630">
        <v>16277</v>
      </c>
      <c r="C232" s="630">
        <v>17534</v>
      </c>
      <c r="D232" s="630">
        <v>19967</v>
      </c>
      <c r="E232" s="630">
        <v>17992</v>
      </c>
      <c r="F232" s="630">
        <v>16779</v>
      </c>
      <c r="G232" s="630">
        <v>163069</v>
      </c>
      <c r="H232" s="630"/>
      <c r="I232" s="630"/>
      <c r="J232" s="630"/>
      <c r="K232" s="630"/>
      <c r="L232" s="630"/>
      <c r="M232" s="630"/>
      <c r="N232" s="630">
        <f>SUM(B232:M232)</f>
        <v>251618</v>
      </c>
      <c r="O232" s="718">
        <f>SUM(R232:W232)</f>
        <v>87515</v>
      </c>
      <c r="Q232" s="629" t="s">
        <v>46</v>
      </c>
      <c r="R232" s="630">
        <v>9389</v>
      </c>
      <c r="S232" s="630">
        <v>9057</v>
      </c>
      <c r="T232" s="630">
        <v>10440</v>
      </c>
      <c r="U232" s="630">
        <v>20589</v>
      </c>
      <c r="V232" s="630">
        <v>20669</v>
      </c>
      <c r="W232" s="630">
        <v>17371</v>
      </c>
      <c r="X232" s="630">
        <v>15194</v>
      </c>
      <c r="Y232" s="630">
        <v>18398</v>
      </c>
      <c r="Z232" s="630">
        <v>16583</v>
      </c>
      <c r="AA232" s="630">
        <v>18872</v>
      </c>
      <c r="AB232" s="630">
        <v>18184</v>
      </c>
      <c r="AC232" s="630">
        <v>14235</v>
      </c>
      <c r="AD232" s="630">
        <v>188981</v>
      </c>
    </row>
    <row r="233" spans="1:30" x14ac:dyDescent="0.6">
      <c r="N233" s="235">
        <f>SUM(N231:N232)</f>
        <v>970955</v>
      </c>
      <c r="O233" s="718">
        <f>SUM(O231:O232)</f>
        <v>823456</v>
      </c>
    </row>
    <row r="235" spans="1:30" x14ac:dyDescent="0.6">
      <c r="A235" s="628" t="s">
        <v>362</v>
      </c>
      <c r="B235" s="628" t="s">
        <v>350</v>
      </c>
      <c r="C235" s="628" t="s">
        <v>351</v>
      </c>
      <c r="D235" s="628" t="s">
        <v>473</v>
      </c>
      <c r="E235" s="628" t="s">
        <v>352</v>
      </c>
      <c r="F235" s="628" t="s">
        <v>353</v>
      </c>
      <c r="G235" s="628" t="s">
        <v>354</v>
      </c>
      <c r="H235" s="628" t="s">
        <v>355</v>
      </c>
      <c r="I235" s="628" t="s">
        <v>356</v>
      </c>
      <c r="J235" s="628" t="s">
        <v>357</v>
      </c>
      <c r="K235" s="628" t="s">
        <v>358</v>
      </c>
      <c r="L235" s="628" t="s">
        <v>359</v>
      </c>
      <c r="M235" s="628" t="s">
        <v>360</v>
      </c>
      <c r="N235" s="628" t="s">
        <v>361</v>
      </c>
      <c r="O235" s="635" t="s">
        <v>453</v>
      </c>
      <c r="Q235" s="628" t="s">
        <v>381</v>
      </c>
      <c r="R235" s="628" t="s">
        <v>369</v>
      </c>
      <c r="S235" s="628" t="s">
        <v>370</v>
      </c>
      <c r="T235" s="628" t="s">
        <v>371</v>
      </c>
      <c r="U235" s="628" t="s">
        <v>372</v>
      </c>
      <c r="V235" s="628" t="s">
        <v>373</v>
      </c>
      <c r="W235" s="628" t="s">
        <v>374</v>
      </c>
      <c r="X235" s="628" t="s">
        <v>375</v>
      </c>
      <c r="Y235" s="628" t="s">
        <v>376</v>
      </c>
      <c r="Z235" s="628" t="s">
        <v>377</v>
      </c>
      <c r="AA235" s="628" t="s">
        <v>378</v>
      </c>
      <c r="AB235" s="628" t="s">
        <v>379</v>
      </c>
      <c r="AC235" s="628" t="s">
        <v>380</v>
      </c>
      <c r="AD235" s="628" t="s">
        <v>361</v>
      </c>
    </row>
    <row r="236" spans="1:30" x14ac:dyDescent="0.6">
      <c r="A236" s="628" t="s">
        <v>240</v>
      </c>
      <c r="B236" s="631">
        <v>147533</v>
      </c>
      <c r="C236" s="631">
        <v>163050</v>
      </c>
      <c r="D236" s="631">
        <v>113650</v>
      </c>
      <c r="E236" s="631">
        <v>74357</v>
      </c>
      <c r="F236" s="631">
        <v>125978</v>
      </c>
      <c r="G236" s="631">
        <v>104877</v>
      </c>
      <c r="H236" s="631"/>
      <c r="I236" s="631"/>
      <c r="J236" s="631"/>
      <c r="K236" s="631"/>
      <c r="L236" s="631"/>
      <c r="M236" s="631"/>
      <c r="N236" s="631">
        <f>SUM(B236:M236)</f>
        <v>729445</v>
      </c>
      <c r="O236" s="718">
        <f>SUM(R236:W236)</f>
        <v>694348</v>
      </c>
      <c r="Q236" s="628" t="s">
        <v>240</v>
      </c>
      <c r="R236" s="631">
        <v>67117</v>
      </c>
      <c r="S236" s="631">
        <v>81251</v>
      </c>
      <c r="T236" s="631">
        <v>106444</v>
      </c>
      <c r="U236" s="631">
        <v>254811</v>
      </c>
      <c r="V236" s="631">
        <v>74993</v>
      </c>
      <c r="W236" s="631">
        <v>109732</v>
      </c>
      <c r="X236" s="631">
        <v>59826</v>
      </c>
      <c r="Y236" s="631">
        <v>134056</v>
      </c>
      <c r="Z236" s="631">
        <v>65831</v>
      </c>
      <c r="AA236" s="631">
        <v>75750</v>
      </c>
      <c r="AB236" s="631">
        <v>187978</v>
      </c>
      <c r="AC236" s="631">
        <v>154432</v>
      </c>
      <c r="AD236" s="631">
        <v>1372221</v>
      </c>
    </row>
    <row r="237" spans="1:30" x14ac:dyDescent="0.6">
      <c r="A237" s="628" t="s">
        <v>46</v>
      </c>
      <c r="B237" s="631">
        <v>1581</v>
      </c>
      <c r="C237" s="631">
        <v>3089</v>
      </c>
      <c r="D237" s="631">
        <v>3180</v>
      </c>
      <c r="E237" s="631">
        <v>3146</v>
      </c>
      <c r="F237" s="631">
        <v>4296</v>
      </c>
      <c r="G237" s="631">
        <v>11122</v>
      </c>
      <c r="H237" s="631"/>
      <c r="I237" s="631"/>
      <c r="J237" s="631"/>
      <c r="K237" s="631"/>
      <c r="L237" s="631"/>
      <c r="M237" s="631"/>
      <c r="N237" s="631">
        <f>SUM(B237:M237)</f>
        <v>26414</v>
      </c>
      <c r="O237" s="718">
        <f>SUM(R237:W237)</f>
        <v>20664</v>
      </c>
      <c r="Q237" s="628" t="s">
        <v>46</v>
      </c>
      <c r="R237" s="631">
        <v>2556</v>
      </c>
      <c r="S237" s="631">
        <v>3564</v>
      </c>
      <c r="T237" s="631">
        <v>2601</v>
      </c>
      <c r="U237" s="631">
        <v>4112</v>
      </c>
      <c r="V237" s="631">
        <v>4962</v>
      </c>
      <c r="W237" s="631">
        <v>2869</v>
      </c>
      <c r="X237" s="631">
        <v>1741</v>
      </c>
      <c r="Y237" s="631">
        <v>1957</v>
      </c>
      <c r="Z237" s="631">
        <v>1849</v>
      </c>
      <c r="AA237" s="631">
        <v>2996</v>
      </c>
      <c r="AB237" s="631">
        <v>2934</v>
      </c>
      <c r="AC237" s="631">
        <v>3369</v>
      </c>
      <c r="AD237" s="631">
        <v>35510</v>
      </c>
    </row>
    <row r="238" spans="1:30" x14ac:dyDescent="0.6">
      <c r="N238" s="235">
        <f>SUM(N236:N237)</f>
        <v>755859</v>
      </c>
      <c r="O238" s="718">
        <f>SUM(O236:O237)</f>
        <v>715012</v>
      </c>
    </row>
    <row r="240" spans="1:30" x14ac:dyDescent="0.6">
      <c r="A240" s="627" t="s">
        <v>363</v>
      </c>
      <c r="B240" s="627" t="s">
        <v>350</v>
      </c>
      <c r="C240" s="627" t="s">
        <v>351</v>
      </c>
      <c r="D240" s="627" t="s">
        <v>473</v>
      </c>
      <c r="E240" s="627" t="s">
        <v>352</v>
      </c>
      <c r="F240" s="627" t="s">
        <v>353</v>
      </c>
      <c r="G240" s="627" t="s">
        <v>354</v>
      </c>
      <c r="H240" s="627" t="s">
        <v>355</v>
      </c>
      <c r="I240" s="627" t="s">
        <v>356</v>
      </c>
      <c r="J240" s="627" t="s">
        <v>357</v>
      </c>
      <c r="K240" s="627" t="s">
        <v>358</v>
      </c>
      <c r="L240" s="627" t="s">
        <v>359</v>
      </c>
      <c r="M240" s="627" t="s">
        <v>360</v>
      </c>
      <c r="N240" s="627" t="s">
        <v>361</v>
      </c>
      <c r="O240" s="635" t="s">
        <v>453</v>
      </c>
      <c r="Q240" s="627" t="s">
        <v>382</v>
      </c>
      <c r="R240" s="627" t="s">
        <v>369</v>
      </c>
      <c r="S240" s="627" t="s">
        <v>370</v>
      </c>
      <c r="T240" s="627" t="s">
        <v>371</v>
      </c>
      <c r="U240" s="627" t="s">
        <v>372</v>
      </c>
      <c r="V240" s="627" t="s">
        <v>373</v>
      </c>
      <c r="W240" s="627" t="s">
        <v>374</v>
      </c>
      <c r="X240" s="627" t="s">
        <v>375</v>
      </c>
      <c r="Y240" s="627" t="s">
        <v>376</v>
      </c>
      <c r="Z240" s="627" t="s">
        <v>377</v>
      </c>
      <c r="AA240" s="627" t="s">
        <v>378</v>
      </c>
      <c r="AB240" s="627" t="s">
        <v>379</v>
      </c>
      <c r="AC240" s="627" t="s">
        <v>380</v>
      </c>
      <c r="AD240" s="627" t="s">
        <v>361</v>
      </c>
    </row>
    <row r="241" spans="1:30" x14ac:dyDescent="0.6">
      <c r="A241" s="627" t="s">
        <v>240</v>
      </c>
      <c r="B241" s="632">
        <v>31952451</v>
      </c>
      <c r="C241" s="632">
        <v>34260313</v>
      </c>
      <c r="D241" s="632">
        <v>39526423</v>
      </c>
      <c r="E241" s="632">
        <v>40978038</v>
      </c>
      <c r="F241" s="632">
        <v>40656504</v>
      </c>
      <c r="G241" s="632">
        <v>38566311</v>
      </c>
      <c r="H241" s="632"/>
      <c r="I241" s="632"/>
      <c r="J241" s="632"/>
      <c r="K241" s="632"/>
      <c r="L241" s="632"/>
      <c r="M241" s="632"/>
      <c r="N241" s="632">
        <f>AVERAGE(B241:M241)</f>
        <v>37656673.333333336</v>
      </c>
      <c r="O241" s="718">
        <f>AVERAGE(R241:W241)</f>
        <v>23775997.666666668</v>
      </c>
      <c r="Q241" s="627" t="s">
        <v>240</v>
      </c>
      <c r="R241" s="632">
        <v>20919424</v>
      </c>
      <c r="S241" s="632">
        <v>21898709</v>
      </c>
      <c r="T241" s="632">
        <v>23793431</v>
      </c>
      <c r="U241" s="632">
        <v>21911644</v>
      </c>
      <c r="V241" s="632">
        <v>24779299</v>
      </c>
      <c r="W241" s="632">
        <v>29353479</v>
      </c>
      <c r="X241" s="632">
        <v>35085765</v>
      </c>
      <c r="Y241" s="632">
        <v>29725010</v>
      </c>
      <c r="Z241" s="632">
        <v>33455621</v>
      </c>
      <c r="AA241" s="632">
        <v>31036462</v>
      </c>
      <c r="AB241" s="632">
        <v>28878842</v>
      </c>
      <c r="AC241" s="632">
        <v>30249560</v>
      </c>
      <c r="AD241" s="632">
        <v>23775997.666666668</v>
      </c>
    </row>
    <row r="242" spans="1:30" x14ac:dyDescent="0.6">
      <c r="A242" s="627" t="s">
        <v>46</v>
      </c>
      <c r="B242" s="632">
        <v>102467</v>
      </c>
      <c r="C242" s="632">
        <v>141146</v>
      </c>
      <c r="D242" s="632">
        <v>141824</v>
      </c>
      <c r="E242" s="632">
        <v>746027</v>
      </c>
      <c r="F242" s="632">
        <v>2839851</v>
      </c>
      <c r="G242" s="632">
        <v>15790595</v>
      </c>
      <c r="H242" s="632"/>
      <c r="I242" s="632"/>
      <c r="J242" s="632"/>
      <c r="K242" s="632"/>
      <c r="L242" s="632"/>
      <c r="M242" s="632"/>
      <c r="N242" s="632">
        <f>AVERAGE(B242:M242)</f>
        <v>3293651.6666666665</v>
      </c>
      <c r="O242" s="718">
        <f>AVERAGE(R242:W242)</f>
        <v>2101457.6666666665</v>
      </c>
      <c r="Q242" s="627" t="s">
        <v>46</v>
      </c>
      <c r="R242" s="632">
        <v>324335</v>
      </c>
      <c r="S242" s="632">
        <v>205948</v>
      </c>
      <c r="T242" s="632">
        <v>49981</v>
      </c>
      <c r="U242" s="632">
        <v>9603113</v>
      </c>
      <c r="V242" s="632">
        <v>1066707</v>
      </c>
      <c r="W242" s="632">
        <v>1358662</v>
      </c>
      <c r="X242" s="632">
        <v>295807</v>
      </c>
      <c r="Y242" s="632">
        <v>3770567</v>
      </c>
      <c r="Z242" s="632">
        <v>1932937</v>
      </c>
      <c r="AA242" s="632">
        <v>1309746</v>
      </c>
      <c r="AB242" s="632">
        <v>225290</v>
      </c>
      <c r="AC242" s="632">
        <v>102404</v>
      </c>
      <c r="AD242" s="632">
        <v>2101457.6666666665</v>
      </c>
    </row>
    <row r="245" spans="1:30" x14ac:dyDescent="0.6">
      <c r="A245" s="633" t="s">
        <v>364</v>
      </c>
      <c r="B245" s="633" t="s">
        <v>350</v>
      </c>
      <c r="C245" s="633" t="s">
        <v>351</v>
      </c>
      <c r="D245" s="633" t="s">
        <v>473</v>
      </c>
      <c r="E245" s="633" t="s">
        <v>352</v>
      </c>
      <c r="F245" s="633" t="s">
        <v>353</v>
      </c>
      <c r="G245" s="633" t="s">
        <v>354</v>
      </c>
      <c r="H245" s="633" t="s">
        <v>355</v>
      </c>
      <c r="I245" s="633" t="s">
        <v>356</v>
      </c>
      <c r="J245" s="633" t="s">
        <v>357</v>
      </c>
      <c r="K245" s="633" t="s">
        <v>358</v>
      </c>
      <c r="L245" s="633" t="s">
        <v>359</v>
      </c>
      <c r="M245" s="633" t="s">
        <v>360</v>
      </c>
      <c r="N245" s="633" t="s">
        <v>361</v>
      </c>
      <c r="O245" s="635" t="s">
        <v>453</v>
      </c>
      <c r="Q245" s="633" t="s">
        <v>383</v>
      </c>
      <c r="R245" s="633" t="s">
        <v>369</v>
      </c>
      <c r="S245" s="633" t="s">
        <v>370</v>
      </c>
      <c r="T245" s="633" t="s">
        <v>371</v>
      </c>
      <c r="U245" s="633" t="s">
        <v>372</v>
      </c>
      <c r="V245" s="633" t="s">
        <v>373</v>
      </c>
      <c r="W245" s="633" t="s">
        <v>374</v>
      </c>
      <c r="X245" s="633" t="s">
        <v>375</v>
      </c>
      <c r="Y245" s="633" t="s">
        <v>376</v>
      </c>
      <c r="Z245" s="633" t="s">
        <v>377</v>
      </c>
      <c r="AA245" s="633" t="s">
        <v>378</v>
      </c>
      <c r="AB245" s="633" t="s">
        <v>379</v>
      </c>
      <c r="AC245" s="633" t="s">
        <v>380</v>
      </c>
      <c r="AD245" s="633" t="s">
        <v>361</v>
      </c>
    </row>
    <row r="246" spans="1:30" x14ac:dyDescent="0.6">
      <c r="A246" s="633" t="s">
        <v>240</v>
      </c>
      <c r="B246" s="634">
        <v>4714041</v>
      </c>
      <c r="C246" s="634">
        <v>5586144</v>
      </c>
      <c r="D246" s="634">
        <v>4492178</v>
      </c>
      <c r="E246" s="634">
        <v>3047004</v>
      </c>
      <c r="F246" s="634">
        <v>5121825</v>
      </c>
      <c r="G246" s="634">
        <v>4044719</v>
      </c>
      <c r="H246" s="634">
        <v>0</v>
      </c>
      <c r="I246" s="634">
        <v>0</v>
      </c>
      <c r="J246" s="634">
        <v>0</v>
      </c>
      <c r="K246" s="634">
        <v>0</v>
      </c>
      <c r="L246" s="634">
        <v>0</v>
      </c>
      <c r="M246" s="634">
        <v>0</v>
      </c>
      <c r="N246" s="634">
        <f>SUM(B246:M246)</f>
        <v>27005911</v>
      </c>
      <c r="O246" s="718">
        <f>SUM(R246:W246)</f>
        <v>16378627</v>
      </c>
      <c r="Q246" s="633" t="s">
        <v>240</v>
      </c>
      <c r="R246" s="634">
        <v>1404049</v>
      </c>
      <c r="S246" s="634">
        <v>1779292</v>
      </c>
      <c r="T246" s="634">
        <v>2532668</v>
      </c>
      <c r="U246" s="634">
        <v>5583328</v>
      </c>
      <c r="V246" s="634">
        <v>1858274</v>
      </c>
      <c r="W246" s="634">
        <v>3221016</v>
      </c>
      <c r="X246" s="634">
        <v>2099041</v>
      </c>
      <c r="Y246" s="634">
        <v>3984816</v>
      </c>
      <c r="Z246" s="634">
        <v>2202417</v>
      </c>
      <c r="AA246" s="634">
        <v>2351012</v>
      </c>
      <c r="AB246" s="634">
        <v>5428587</v>
      </c>
      <c r="AC246" s="634">
        <v>4671500</v>
      </c>
      <c r="AD246" s="634">
        <v>37116000</v>
      </c>
    </row>
    <row r="247" spans="1:30" x14ac:dyDescent="0.6">
      <c r="A247" s="633" t="s">
        <v>46</v>
      </c>
      <c r="B247" s="634">
        <v>162</v>
      </c>
      <c r="C247" s="634">
        <v>436</v>
      </c>
      <c r="D247" s="634">
        <v>451</v>
      </c>
      <c r="E247" s="634">
        <v>2347</v>
      </c>
      <c r="F247" s="634">
        <v>12200</v>
      </c>
      <c r="G247" s="634">
        <v>175623</v>
      </c>
      <c r="H247" s="634">
        <v>0</v>
      </c>
      <c r="I247" s="634">
        <v>0</v>
      </c>
      <c r="J247" s="634">
        <v>0</v>
      </c>
      <c r="K247" s="634">
        <v>0</v>
      </c>
      <c r="L247" s="634">
        <v>0</v>
      </c>
      <c r="M247" s="634">
        <v>0</v>
      </c>
      <c r="N247" s="634">
        <f>SUM(B247:M247)</f>
        <v>191219</v>
      </c>
      <c r="O247" s="718">
        <f>SUM(R247:W247)</f>
        <v>50372</v>
      </c>
      <c r="Q247" s="633" t="s">
        <v>46</v>
      </c>
      <c r="R247" s="634">
        <v>829</v>
      </c>
      <c r="S247" s="634">
        <v>734</v>
      </c>
      <c r="T247" s="634">
        <v>130</v>
      </c>
      <c r="U247" s="634">
        <v>39488</v>
      </c>
      <c r="V247" s="634">
        <v>5293</v>
      </c>
      <c r="W247" s="634">
        <v>3898</v>
      </c>
      <c r="X247" s="634">
        <v>515</v>
      </c>
      <c r="Y247" s="634">
        <v>7379</v>
      </c>
      <c r="Z247" s="634">
        <v>3574</v>
      </c>
      <c r="AA247" s="634">
        <v>3924</v>
      </c>
      <c r="AB247" s="634">
        <v>661</v>
      </c>
      <c r="AC247" s="634">
        <v>345</v>
      </c>
      <c r="AD247" s="634">
        <v>66770</v>
      </c>
    </row>
    <row r="248" spans="1:30" x14ac:dyDescent="0.6">
      <c r="N248" s="680">
        <f>SUM(N246:N247)</f>
        <v>27197130</v>
      </c>
      <c r="O248" s="680">
        <f>SUM(O246:O247)</f>
        <v>16428999</v>
      </c>
    </row>
  </sheetData>
  <mergeCells count="3">
    <mergeCell ref="A149:A151"/>
    <mergeCell ref="H162:T162"/>
    <mergeCell ref="G162:G173"/>
  </mergeCells>
  <conditionalFormatting sqref="I164:T173">
    <cfRule type="colorScale" priority="29">
      <colorScale>
        <cfvo type="num" val="$B$170"/>
        <cfvo type="num" val="$B$169"/>
        <cfvo type="num" val="$B$17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O231:O232 O236:O237 O241:O242 O246:O247" formulaRange="1"/>
    <ignoredError sqref="P3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75"/>
  <sheetViews>
    <sheetView rightToLeft="1" topLeftCell="A160" zoomScale="55" zoomScaleNormal="55" workbookViewId="0">
      <pane xSplit="1" topLeftCell="B1" activePane="topRight" state="frozen"/>
      <selection activeCell="N337" sqref="N337:O337"/>
      <selection pane="topRight" activeCell="C186" sqref="C186"/>
    </sheetView>
  </sheetViews>
  <sheetFormatPr defaultRowHeight="22.5" x14ac:dyDescent="0.6"/>
  <cols>
    <col min="1" max="1" width="51.28515625" style="286" bestFit="1" customWidth="1"/>
    <col min="2" max="2" width="24" style="286" bestFit="1" customWidth="1"/>
    <col min="3" max="3" width="15.42578125" style="286" bestFit="1" customWidth="1"/>
    <col min="4" max="4" width="17.85546875" style="286" bestFit="1" customWidth="1"/>
    <col min="5" max="5" width="24.5703125" style="286" customWidth="1"/>
    <col min="6" max="6" width="18.7109375" style="286" customWidth="1"/>
    <col min="7" max="7" width="17.140625" style="286" bestFit="1" customWidth="1"/>
    <col min="8" max="8" width="16.7109375" style="286" bestFit="1" customWidth="1"/>
    <col min="9" max="9" width="21.85546875" style="286" customWidth="1"/>
    <col min="10" max="11" width="16.7109375" style="286" bestFit="1" customWidth="1"/>
    <col min="12" max="12" width="23.28515625" style="286" bestFit="1" customWidth="1"/>
    <col min="13" max="13" width="15.85546875" style="286" bestFit="1" customWidth="1"/>
    <col min="14" max="14" width="15.5703125" style="286" bestFit="1" customWidth="1"/>
    <col min="15" max="15" width="15.7109375" style="286" customWidth="1"/>
    <col min="16" max="16" width="18.28515625" style="286" bestFit="1" customWidth="1"/>
    <col min="17" max="17" width="17.140625" style="286" bestFit="1" customWidth="1"/>
    <col min="18" max="18" width="17" style="286" customWidth="1"/>
    <col min="19" max="19" width="21.28515625" style="286" customWidth="1"/>
    <col min="20" max="20" width="35.85546875" style="286" bestFit="1" customWidth="1"/>
    <col min="21" max="21" width="13.28515625" style="286" customWidth="1"/>
    <col min="22" max="23" width="11.42578125" style="286" customWidth="1"/>
    <col min="24" max="25" width="14.42578125" style="286" bestFit="1" customWidth="1"/>
    <col min="26" max="27" width="14.140625" style="286" bestFit="1" customWidth="1"/>
    <col min="28" max="28" width="15" style="286" bestFit="1" customWidth="1"/>
    <col min="29" max="30" width="15.140625" style="286" bestFit="1" customWidth="1"/>
    <col min="31" max="31" width="14.140625" style="286" bestFit="1" customWidth="1"/>
    <col min="32" max="32" width="15.140625" style="286" bestFit="1" customWidth="1"/>
    <col min="33" max="33" width="13.42578125" style="286" bestFit="1" customWidth="1"/>
    <col min="34" max="34" width="9.42578125" style="286" bestFit="1" customWidth="1"/>
    <col min="35" max="35" width="16.28515625" style="286" bestFit="1" customWidth="1"/>
    <col min="36" max="36" width="12.28515625" style="286" bestFit="1" customWidth="1"/>
    <col min="37" max="37" width="11.28515625" style="286" bestFit="1" customWidth="1"/>
    <col min="38" max="38" width="18.140625" style="286" bestFit="1" customWidth="1"/>
    <col min="39" max="39" width="21.140625" style="286" customWidth="1"/>
    <col min="40" max="40" width="21.28515625" style="286" bestFit="1" customWidth="1"/>
    <col min="41" max="41" width="19.140625" style="286" bestFit="1" customWidth="1"/>
    <col min="42" max="42" width="11.28515625" style="286" bestFit="1" customWidth="1"/>
    <col min="43" max="43" width="10.85546875" style="286" bestFit="1" customWidth="1"/>
    <col min="44" max="44" width="12" style="286" bestFit="1" customWidth="1"/>
    <col min="45" max="47" width="12.28515625" style="286" bestFit="1" customWidth="1"/>
    <col min="48" max="48" width="13.7109375" style="286" bestFit="1" customWidth="1"/>
    <col min="49" max="49" width="12.28515625" style="286" bestFit="1" customWidth="1"/>
    <col min="50" max="50" width="13.7109375" style="286" bestFit="1" customWidth="1"/>
    <col min="51" max="51" width="12.28515625" style="286" bestFit="1" customWidth="1"/>
    <col min="52" max="52" width="13.7109375" style="286" bestFit="1" customWidth="1"/>
    <col min="53" max="53" width="12.85546875" style="286" bestFit="1" customWidth="1"/>
    <col min="54" max="54" width="12.28515625" style="286" bestFit="1" customWidth="1"/>
    <col min="55" max="55" width="10.28515625" style="286" bestFit="1" customWidth="1"/>
    <col min="56" max="56" width="16.28515625" style="286" bestFit="1" customWidth="1"/>
    <col min="57" max="57" width="9.140625" style="286"/>
    <col min="58" max="58" width="18.7109375" style="286" customWidth="1"/>
    <col min="59" max="16384" width="9.140625" style="286"/>
  </cols>
  <sheetData>
    <row r="1" spans="1:38" x14ac:dyDescent="0.6">
      <c r="A1" s="252" t="s">
        <v>183</v>
      </c>
      <c r="B1" s="252" t="s">
        <v>81</v>
      </c>
      <c r="C1" s="252" t="s">
        <v>80</v>
      </c>
      <c r="D1" s="252" t="s">
        <v>79</v>
      </c>
      <c r="E1" s="252" t="s">
        <v>78</v>
      </c>
      <c r="F1" s="252" t="s">
        <v>77</v>
      </c>
      <c r="G1" s="252" t="s">
        <v>76</v>
      </c>
      <c r="H1" s="252" t="s">
        <v>75</v>
      </c>
      <c r="I1" s="252" t="s">
        <v>74</v>
      </c>
      <c r="J1" s="252" t="s">
        <v>73</v>
      </c>
      <c r="K1" s="252" t="s">
        <v>72</v>
      </c>
      <c r="L1" s="252" t="s">
        <v>71</v>
      </c>
      <c r="M1" s="252" t="s">
        <v>70</v>
      </c>
      <c r="N1" s="285" t="s">
        <v>69</v>
      </c>
      <c r="O1" s="252" t="s">
        <v>68</v>
      </c>
      <c r="P1" s="252" t="s">
        <v>67</v>
      </c>
      <c r="Q1" s="364" t="s">
        <v>66</v>
      </c>
      <c r="R1" s="31"/>
      <c r="S1" s="29" t="s">
        <v>181</v>
      </c>
    </row>
    <row r="2" spans="1:38" x14ac:dyDescent="0.6">
      <c r="A2" s="252" t="s">
        <v>220</v>
      </c>
      <c r="B2" s="346">
        <v>1165207</v>
      </c>
      <c r="C2" s="346">
        <v>1401766</v>
      </c>
      <c r="D2" s="346">
        <v>1107713</v>
      </c>
      <c r="E2" s="346">
        <v>1018575</v>
      </c>
      <c r="F2" s="346">
        <v>318396</v>
      </c>
      <c r="G2" s="346">
        <v>583447</v>
      </c>
      <c r="H2" s="346">
        <v>1010648</v>
      </c>
      <c r="I2" s="346">
        <v>1406544</v>
      </c>
      <c r="J2" s="346">
        <v>303048</v>
      </c>
      <c r="K2" s="346">
        <f>389734+737392</f>
        <v>1127126</v>
      </c>
      <c r="L2" s="346">
        <f>500928+533456</f>
        <v>1034384</v>
      </c>
      <c r="M2" s="346">
        <f>700661+714096</f>
        <v>1414757</v>
      </c>
      <c r="N2" s="347">
        <v>374776</v>
      </c>
      <c r="O2" s="346"/>
      <c r="P2" s="346">
        <f>Q2-N2</f>
        <v>935300.69317155541</v>
      </c>
      <c r="Q2" s="358">
        <f>Q9+(Q9*P30)+(Q9*P29)</f>
        <v>1310076.6931715554</v>
      </c>
      <c r="R2" s="361" t="s">
        <v>220</v>
      </c>
      <c r="S2" s="360">
        <v>1856000</v>
      </c>
    </row>
    <row r="3" spans="1:38" ht="23.25" thickBot="1" x14ac:dyDescent="0.65">
      <c r="A3" s="252" t="s">
        <v>222</v>
      </c>
      <c r="B3" s="346">
        <v>0</v>
      </c>
      <c r="C3" s="346">
        <v>0</v>
      </c>
      <c r="D3" s="346">
        <v>20304</v>
      </c>
      <c r="E3" s="346">
        <v>624358</v>
      </c>
      <c r="F3" s="346">
        <v>182739</v>
      </c>
      <c r="G3" s="346">
        <v>391412</v>
      </c>
      <c r="H3" s="346">
        <v>640698</v>
      </c>
      <c r="I3" s="346">
        <v>916977</v>
      </c>
      <c r="J3" s="346">
        <v>254127</v>
      </c>
      <c r="K3" s="346">
        <f>162944+316194</f>
        <v>479138</v>
      </c>
      <c r="L3" s="346">
        <v>765011</v>
      </c>
      <c r="M3" s="346">
        <v>1018768</v>
      </c>
      <c r="N3" s="347">
        <v>295245</v>
      </c>
      <c r="O3" s="346"/>
      <c r="P3" s="346">
        <f>Q3-N3</f>
        <v>723523</v>
      </c>
      <c r="Q3" s="358">
        <f>B175</f>
        <v>1018768</v>
      </c>
      <c r="R3" s="357" t="s">
        <v>222</v>
      </c>
      <c r="S3" s="356">
        <v>1200000</v>
      </c>
    </row>
    <row r="4" spans="1:38" x14ac:dyDescent="0.6">
      <c r="A4" s="252" t="s">
        <v>214</v>
      </c>
      <c r="B4" s="346">
        <v>0</v>
      </c>
      <c r="C4" s="346">
        <v>0</v>
      </c>
      <c r="D4" s="346">
        <v>0</v>
      </c>
      <c r="E4" s="346">
        <v>0</v>
      </c>
      <c r="F4" s="346">
        <v>0</v>
      </c>
      <c r="G4" s="346">
        <v>123363</v>
      </c>
      <c r="H4" s="346">
        <v>123814</v>
      </c>
      <c r="I4" s="346">
        <v>174062</v>
      </c>
      <c r="J4" s="346">
        <v>22133</v>
      </c>
      <c r="K4" s="346">
        <v>50054</v>
      </c>
      <c r="L4" s="346">
        <v>102182</v>
      </c>
      <c r="M4" s="346">
        <v>102168</v>
      </c>
      <c r="N4" s="347">
        <v>0</v>
      </c>
      <c r="O4" s="346"/>
      <c r="P4" s="346">
        <f>Q4-N4</f>
        <v>37349.434754577647</v>
      </c>
      <c r="Q4" s="346">
        <f>Q15*Q3</f>
        <v>37349.434754577647</v>
      </c>
      <c r="S4" s="319"/>
    </row>
    <row r="5" spans="1:38" x14ac:dyDescent="0.6">
      <c r="A5" s="252" t="s">
        <v>100</v>
      </c>
      <c r="B5" s="355">
        <f t="shared" ref="B5:N5" si="0">SUM(B2:B4)</f>
        <v>1165207</v>
      </c>
      <c r="C5" s="355">
        <f t="shared" si="0"/>
        <v>1401766</v>
      </c>
      <c r="D5" s="355">
        <f t="shared" si="0"/>
        <v>1128017</v>
      </c>
      <c r="E5" s="355">
        <f t="shared" si="0"/>
        <v>1642933</v>
      </c>
      <c r="F5" s="355">
        <f t="shared" si="0"/>
        <v>501135</v>
      </c>
      <c r="G5" s="355">
        <f t="shared" si="0"/>
        <v>1098222</v>
      </c>
      <c r="H5" s="355">
        <f t="shared" si="0"/>
        <v>1775160</v>
      </c>
      <c r="I5" s="355">
        <f t="shared" si="0"/>
        <v>2497583</v>
      </c>
      <c r="J5" s="355">
        <f t="shared" si="0"/>
        <v>579308</v>
      </c>
      <c r="K5" s="355">
        <f t="shared" si="0"/>
        <v>1656318</v>
      </c>
      <c r="L5" s="355">
        <f t="shared" si="0"/>
        <v>1901577</v>
      </c>
      <c r="M5" s="355">
        <f t="shared" si="0"/>
        <v>2535693</v>
      </c>
      <c r="N5" s="355">
        <f t="shared" si="0"/>
        <v>670021</v>
      </c>
      <c r="O5" s="355"/>
      <c r="P5" s="355">
        <f>Q5-N5</f>
        <v>1696173.1279261326</v>
      </c>
      <c r="Q5" s="355">
        <f>SUM(Q2:Q4)</f>
        <v>2366194.1279261326</v>
      </c>
      <c r="S5" s="319"/>
    </row>
    <row r="6" spans="1:38" x14ac:dyDescent="0.6">
      <c r="A6" s="598"/>
      <c r="B6" s="605"/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  <c r="O6" s="605"/>
      <c r="P6" s="605"/>
      <c r="Q6" s="605"/>
      <c r="S6" s="319"/>
      <c r="T6" s="598"/>
      <c r="U6" s="894"/>
      <c r="V6" s="894"/>
      <c r="W6" s="894"/>
      <c r="X6" s="894"/>
      <c r="Y6" s="894"/>
      <c r="Z6" s="894"/>
      <c r="AA6" s="894"/>
      <c r="AB6" s="894"/>
      <c r="AC6" s="894"/>
      <c r="AD6" s="894"/>
      <c r="AE6" s="894"/>
      <c r="AF6" s="894"/>
      <c r="AG6" s="894"/>
      <c r="AH6" s="614"/>
      <c r="AI6" s="614"/>
      <c r="AJ6" s="895"/>
      <c r="AL6" s="902"/>
    </row>
    <row r="7" spans="1:38" x14ac:dyDescent="0.6">
      <c r="A7" s="598"/>
      <c r="B7" s="605"/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S7" s="319"/>
      <c r="T7" s="598"/>
      <c r="U7" s="894"/>
      <c r="V7" s="894"/>
      <c r="W7" s="894"/>
      <c r="X7" s="894"/>
      <c r="Y7" s="894"/>
      <c r="Z7" s="894"/>
      <c r="AA7" s="894"/>
      <c r="AB7" s="894"/>
      <c r="AC7" s="894"/>
      <c r="AD7" s="894"/>
      <c r="AE7" s="894"/>
      <c r="AF7" s="894"/>
      <c r="AG7" s="894"/>
      <c r="AH7" s="614"/>
      <c r="AI7" s="614"/>
      <c r="AJ7" s="895"/>
      <c r="AL7" s="902"/>
    </row>
    <row r="8" spans="1:38" x14ac:dyDescent="0.6">
      <c r="A8" s="252" t="s">
        <v>186</v>
      </c>
      <c r="B8" s="252" t="s">
        <v>81</v>
      </c>
      <c r="C8" s="252" t="s">
        <v>80</v>
      </c>
      <c r="D8" s="252" t="s">
        <v>79</v>
      </c>
      <c r="E8" s="252" t="s">
        <v>78</v>
      </c>
      <c r="F8" s="252" t="s">
        <v>77</v>
      </c>
      <c r="G8" s="252" t="s">
        <v>76</v>
      </c>
      <c r="H8" s="252" t="s">
        <v>75</v>
      </c>
      <c r="I8" s="252" t="s">
        <v>74</v>
      </c>
      <c r="J8" s="252" t="s">
        <v>73</v>
      </c>
      <c r="K8" s="252" t="s">
        <v>72</v>
      </c>
      <c r="L8" s="252" t="s">
        <v>71</v>
      </c>
      <c r="M8" s="252" t="s">
        <v>70</v>
      </c>
      <c r="N8" s="285" t="s">
        <v>69</v>
      </c>
      <c r="O8" s="252" t="s">
        <v>232</v>
      </c>
      <c r="P8" s="252" t="s">
        <v>67</v>
      </c>
      <c r="Q8" s="252" t="s">
        <v>66</v>
      </c>
      <c r="R8" s="362" t="s">
        <v>173</v>
      </c>
      <c r="T8" s="598"/>
      <c r="U8" s="894"/>
      <c r="V8" s="894"/>
      <c r="W8" s="894"/>
      <c r="X8" s="894"/>
      <c r="Y8" s="894"/>
      <c r="Z8" s="894"/>
      <c r="AA8" s="894"/>
      <c r="AB8" s="894"/>
      <c r="AC8" s="894"/>
      <c r="AD8" s="894"/>
      <c r="AE8" s="894"/>
      <c r="AF8" s="894"/>
      <c r="AG8" s="894"/>
      <c r="AH8" s="614"/>
      <c r="AI8" s="614"/>
      <c r="AJ8" s="895"/>
      <c r="AL8" s="902"/>
    </row>
    <row r="9" spans="1:38" x14ac:dyDescent="0.6">
      <c r="A9" s="590" t="s">
        <v>220</v>
      </c>
      <c r="B9" s="896">
        <f t="shared" ref="B9:N9" si="1">B2-B20-B21</f>
        <v>122477</v>
      </c>
      <c r="C9" s="896">
        <f t="shared" si="1"/>
        <v>112239</v>
      </c>
      <c r="D9" s="896">
        <f t="shared" si="1"/>
        <v>42056</v>
      </c>
      <c r="E9" s="896">
        <f t="shared" si="1"/>
        <v>792470</v>
      </c>
      <c r="F9" s="896">
        <f t="shared" si="1"/>
        <v>261338</v>
      </c>
      <c r="G9" s="896">
        <f t="shared" si="1"/>
        <v>494903</v>
      </c>
      <c r="H9" s="896">
        <f t="shared" si="1"/>
        <v>824047</v>
      </c>
      <c r="I9" s="896">
        <f t="shared" si="1"/>
        <v>1163800</v>
      </c>
      <c r="J9" s="896">
        <f t="shared" si="1"/>
        <v>278628</v>
      </c>
      <c r="K9" s="896">
        <f t="shared" si="1"/>
        <v>1009354</v>
      </c>
      <c r="L9" s="896">
        <f t="shared" si="1"/>
        <v>890386</v>
      </c>
      <c r="M9" s="896">
        <f t="shared" si="1"/>
        <v>1258095</v>
      </c>
      <c r="N9" s="896">
        <f t="shared" si="1"/>
        <v>370013</v>
      </c>
      <c r="O9" s="595"/>
      <c r="P9" s="595"/>
      <c r="Q9" s="897">
        <f>Q10*O10</f>
        <v>1241823.355897818</v>
      </c>
      <c r="R9" s="359">
        <f>R163-S166-S168</f>
        <v>719806</v>
      </c>
      <c r="AL9" s="776"/>
    </row>
    <row r="10" spans="1:38" x14ac:dyDescent="0.6">
      <c r="A10" s="590" t="s">
        <v>222</v>
      </c>
      <c r="B10" s="898">
        <v>0</v>
      </c>
      <c r="C10" s="898">
        <v>0</v>
      </c>
      <c r="D10" s="898">
        <f t="shared" ref="D10:N10" si="2">D9/D3</f>
        <v>2.0713159968479116</v>
      </c>
      <c r="E10" s="898">
        <f t="shared" si="2"/>
        <v>1.2692557795367401</v>
      </c>
      <c r="F10" s="898">
        <f t="shared" si="2"/>
        <v>1.4301161766234904</v>
      </c>
      <c r="G10" s="898">
        <f t="shared" si="2"/>
        <v>1.2644042594504001</v>
      </c>
      <c r="H10" s="898">
        <f t="shared" si="2"/>
        <v>1.2861707075720543</v>
      </c>
      <c r="I10" s="898">
        <f t="shared" si="2"/>
        <v>1.2691703281543594</v>
      </c>
      <c r="J10" s="898">
        <f t="shared" si="2"/>
        <v>1.0964124237094051</v>
      </c>
      <c r="K10" s="898">
        <f t="shared" si="2"/>
        <v>2.1066039429141501</v>
      </c>
      <c r="L10" s="898">
        <f t="shared" si="2"/>
        <v>1.1638865323505152</v>
      </c>
      <c r="M10" s="898">
        <f t="shared" si="2"/>
        <v>1.2349180578895294</v>
      </c>
      <c r="N10" s="898">
        <f t="shared" si="2"/>
        <v>1.2532405290521431</v>
      </c>
      <c r="O10" s="898">
        <f>R10</f>
        <v>1.2189461741022667</v>
      </c>
      <c r="P10" s="897"/>
      <c r="Q10" s="896">
        <f>B175</f>
        <v>1018768</v>
      </c>
      <c r="R10" s="354">
        <f>R9/R162</f>
        <v>1.2189461741022667</v>
      </c>
      <c r="AL10" s="776"/>
    </row>
    <row r="11" spans="1:38" x14ac:dyDescent="0.6">
      <c r="A11" s="598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319"/>
      <c r="AL11" s="776"/>
    </row>
    <row r="12" spans="1:38" x14ac:dyDescent="0.6">
      <c r="A12" s="363" t="s">
        <v>183</v>
      </c>
      <c r="B12" s="252" t="s">
        <v>81</v>
      </c>
      <c r="C12" s="252" t="s">
        <v>80</v>
      </c>
      <c r="D12" s="252" t="s">
        <v>79</v>
      </c>
      <c r="E12" s="252" t="s">
        <v>78</v>
      </c>
      <c r="F12" s="252" t="s">
        <v>77</v>
      </c>
      <c r="G12" s="252" t="s">
        <v>76</v>
      </c>
      <c r="H12" s="252" t="s">
        <v>75</v>
      </c>
      <c r="I12" s="252" t="s">
        <v>74</v>
      </c>
      <c r="J12" s="252" t="s">
        <v>73</v>
      </c>
      <c r="K12" s="252" t="s">
        <v>72</v>
      </c>
      <c r="L12" s="252" t="s">
        <v>71</v>
      </c>
      <c r="M12" s="252" t="s">
        <v>70</v>
      </c>
      <c r="N12" s="285" t="s">
        <v>69</v>
      </c>
      <c r="O12" s="252" t="s">
        <v>68</v>
      </c>
      <c r="P12" s="252" t="s">
        <v>67</v>
      </c>
      <c r="Q12" s="252" t="s">
        <v>66</v>
      </c>
      <c r="R12" s="200" t="s">
        <v>173</v>
      </c>
      <c r="AL12" s="776"/>
    </row>
    <row r="13" spans="1:38" x14ac:dyDescent="0.6">
      <c r="A13" s="899" t="s">
        <v>220</v>
      </c>
      <c r="B13" s="595">
        <f t="shared" ref="B13:N13" si="3">B2/B5</f>
        <v>1</v>
      </c>
      <c r="C13" s="595">
        <f t="shared" si="3"/>
        <v>1</v>
      </c>
      <c r="D13" s="595">
        <f t="shared" si="3"/>
        <v>0.98200027127250744</v>
      </c>
      <c r="E13" s="595">
        <f t="shared" si="3"/>
        <v>0.61997354730838083</v>
      </c>
      <c r="F13" s="595">
        <f t="shared" si="3"/>
        <v>0.63534975605375799</v>
      </c>
      <c r="G13" s="595">
        <f t="shared" si="3"/>
        <v>0.53126508119487681</v>
      </c>
      <c r="H13" s="595">
        <f t="shared" si="3"/>
        <v>0.56932783523738706</v>
      </c>
      <c r="I13" s="595">
        <f t="shared" si="3"/>
        <v>0.56316206508452371</v>
      </c>
      <c r="J13" s="595">
        <f t="shared" si="3"/>
        <v>0.52312068882183571</v>
      </c>
      <c r="K13" s="595">
        <f t="shared" si="3"/>
        <v>0.68050096660182402</v>
      </c>
      <c r="L13" s="595">
        <f t="shared" si="3"/>
        <v>0.54396114382956884</v>
      </c>
      <c r="M13" s="595">
        <f t="shared" si="3"/>
        <v>0.5579370215558429</v>
      </c>
      <c r="N13" s="595">
        <f t="shared" si="3"/>
        <v>0.55934963232495694</v>
      </c>
      <c r="O13" s="595"/>
      <c r="P13" s="595">
        <f>Q13</f>
        <v>0.43671201552451444</v>
      </c>
      <c r="Q13" s="595">
        <f>R13</f>
        <v>0.43671201552451444</v>
      </c>
      <c r="R13" s="344">
        <f>R162/$R$171</f>
        <v>0.43671201552451444</v>
      </c>
      <c r="AL13" s="776"/>
    </row>
    <row r="14" spans="1:38" x14ac:dyDescent="0.6">
      <c r="A14" s="899" t="s">
        <v>222</v>
      </c>
      <c r="B14" s="595">
        <f t="shared" ref="B14:N14" si="4">B3/B5</f>
        <v>0</v>
      </c>
      <c r="C14" s="595">
        <f t="shared" si="4"/>
        <v>0</v>
      </c>
      <c r="D14" s="595">
        <f t="shared" si="4"/>
        <v>1.7999728727492583E-2</v>
      </c>
      <c r="E14" s="595">
        <f t="shared" si="4"/>
        <v>0.38002645269161922</v>
      </c>
      <c r="F14" s="595">
        <f t="shared" si="4"/>
        <v>0.36465024394624201</v>
      </c>
      <c r="G14" s="595">
        <f t="shared" si="4"/>
        <v>0.35640517126774002</v>
      </c>
      <c r="H14" s="595">
        <f t="shared" si="4"/>
        <v>0.36092408571621715</v>
      </c>
      <c r="I14" s="595">
        <f t="shared" si="4"/>
        <v>0.367145756517401</v>
      </c>
      <c r="J14" s="595">
        <f t="shared" si="4"/>
        <v>0.43867338272559675</v>
      </c>
      <c r="K14" s="595">
        <f t="shared" si="4"/>
        <v>0.28927899111161021</v>
      </c>
      <c r="L14" s="595">
        <f t="shared" si="4"/>
        <v>0.40230345655211436</v>
      </c>
      <c r="M14" s="595">
        <f t="shared" si="4"/>
        <v>0.40177103458502272</v>
      </c>
      <c r="N14" s="595">
        <f t="shared" si="4"/>
        <v>0.44065036767504301</v>
      </c>
      <c r="O14" s="897"/>
      <c r="P14" s="595">
        <f>Q14</f>
        <v>0.56328798447548556</v>
      </c>
      <c r="Q14" s="595">
        <f>R14</f>
        <v>0.56328798447548556</v>
      </c>
      <c r="R14" s="344">
        <f>R163/$R$171</f>
        <v>0.56328798447548556</v>
      </c>
      <c r="T14" s="598"/>
      <c r="U14" s="894"/>
      <c r="V14" s="894"/>
      <c r="W14" s="894"/>
      <c r="X14" s="894"/>
      <c r="Y14" s="894"/>
      <c r="Z14" s="894"/>
      <c r="AA14" s="894"/>
      <c r="AB14" s="894"/>
      <c r="AC14" s="894"/>
      <c r="AD14" s="894"/>
      <c r="AE14" s="894"/>
      <c r="AF14" s="894"/>
      <c r="AG14" s="894"/>
      <c r="AH14" s="614"/>
      <c r="AI14" s="614"/>
      <c r="AJ14" s="895"/>
      <c r="AL14" s="902"/>
    </row>
    <row r="15" spans="1:38" x14ac:dyDescent="0.6">
      <c r="A15" s="590" t="s">
        <v>214</v>
      </c>
      <c r="B15" s="595">
        <f t="shared" ref="B15:N15" si="5">B4/B5</f>
        <v>0</v>
      </c>
      <c r="C15" s="595">
        <f t="shared" si="5"/>
        <v>0</v>
      </c>
      <c r="D15" s="595">
        <f t="shared" si="5"/>
        <v>0</v>
      </c>
      <c r="E15" s="595">
        <f t="shared" si="5"/>
        <v>0</v>
      </c>
      <c r="F15" s="595">
        <f t="shared" si="5"/>
        <v>0</v>
      </c>
      <c r="G15" s="595">
        <f t="shared" si="5"/>
        <v>0.11232974753738315</v>
      </c>
      <c r="H15" s="595">
        <f t="shared" si="5"/>
        <v>6.9748079046395822E-2</v>
      </c>
      <c r="I15" s="595">
        <f t="shared" si="5"/>
        <v>6.9692178398075261E-2</v>
      </c>
      <c r="J15" s="595">
        <f t="shared" si="5"/>
        <v>3.8205928452567546E-2</v>
      </c>
      <c r="K15" s="595">
        <f t="shared" si="5"/>
        <v>3.0220042286565742E-2</v>
      </c>
      <c r="L15" s="595">
        <f t="shared" si="5"/>
        <v>5.3735399618316797E-2</v>
      </c>
      <c r="M15" s="595">
        <f t="shared" si="5"/>
        <v>4.0291943859134365E-2</v>
      </c>
      <c r="N15" s="595">
        <f t="shared" si="5"/>
        <v>0</v>
      </c>
      <c r="O15" s="897"/>
      <c r="P15" s="595">
        <f>Q15</f>
        <v>3.6661374085736546E-2</v>
      </c>
      <c r="Q15" s="595">
        <f>AVERAGE(M15,I15,E15)</f>
        <v>3.6661374085736546E-2</v>
      </c>
      <c r="R15" s="200"/>
      <c r="T15" s="598"/>
      <c r="U15" s="894"/>
      <c r="V15" s="894"/>
      <c r="W15" s="894"/>
      <c r="X15" s="894"/>
      <c r="Y15" s="894"/>
      <c r="Z15" s="894"/>
      <c r="AA15" s="894"/>
      <c r="AB15" s="894"/>
      <c r="AC15" s="894"/>
      <c r="AD15" s="894"/>
      <c r="AE15" s="894"/>
      <c r="AF15" s="894"/>
      <c r="AG15" s="894"/>
      <c r="AH15" s="614"/>
      <c r="AI15" s="614"/>
      <c r="AJ15" s="895"/>
      <c r="AL15" s="902"/>
    </row>
    <row r="16" spans="1:38" x14ac:dyDescent="0.6">
      <c r="A16" s="590" t="s">
        <v>45</v>
      </c>
      <c r="B16" s="900">
        <f t="shared" ref="B16:N16" si="6">B5/B5</f>
        <v>1</v>
      </c>
      <c r="C16" s="900">
        <f t="shared" si="6"/>
        <v>1</v>
      </c>
      <c r="D16" s="900">
        <f t="shared" si="6"/>
        <v>1</v>
      </c>
      <c r="E16" s="900">
        <f t="shared" si="6"/>
        <v>1</v>
      </c>
      <c r="F16" s="900">
        <f t="shared" si="6"/>
        <v>1</v>
      </c>
      <c r="G16" s="900">
        <f t="shared" si="6"/>
        <v>1</v>
      </c>
      <c r="H16" s="900">
        <f t="shared" si="6"/>
        <v>1</v>
      </c>
      <c r="I16" s="900">
        <f t="shared" si="6"/>
        <v>1</v>
      </c>
      <c r="J16" s="900">
        <f t="shared" si="6"/>
        <v>1</v>
      </c>
      <c r="K16" s="900">
        <f t="shared" si="6"/>
        <v>1</v>
      </c>
      <c r="L16" s="900">
        <f t="shared" si="6"/>
        <v>1</v>
      </c>
      <c r="M16" s="900">
        <f t="shared" si="6"/>
        <v>1</v>
      </c>
      <c r="N16" s="900">
        <f t="shared" si="6"/>
        <v>1</v>
      </c>
      <c r="O16" s="893"/>
      <c r="P16" s="893"/>
      <c r="Q16" s="901"/>
      <c r="R16" s="354"/>
      <c r="T16" s="598"/>
      <c r="U16" s="894"/>
      <c r="V16" s="894"/>
      <c r="W16" s="894"/>
      <c r="X16" s="894"/>
      <c r="Y16" s="894"/>
      <c r="Z16" s="894"/>
      <c r="AA16" s="894"/>
      <c r="AB16" s="894"/>
      <c r="AC16" s="894"/>
      <c r="AD16" s="894"/>
      <c r="AE16" s="894"/>
      <c r="AF16" s="894"/>
      <c r="AG16" s="894"/>
      <c r="AH16" s="614"/>
      <c r="AI16" s="614"/>
      <c r="AJ16" s="895"/>
      <c r="AL16" s="902"/>
    </row>
    <row r="17" spans="1:62" x14ac:dyDescent="0.6">
      <c r="A17" s="598"/>
      <c r="B17" s="605"/>
      <c r="C17" s="605"/>
      <c r="D17" s="605"/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  <c r="P17" s="605"/>
      <c r="Q17" s="605"/>
      <c r="S17" s="319"/>
      <c r="T17" s="598"/>
      <c r="U17" s="894"/>
      <c r="V17" s="894"/>
      <c r="W17" s="894"/>
      <c r="X17" s="894"/>
      <c r="Y17" s="894"/>
      <c r="Z17" s="894"/>
      <c r="AA17" s="894"/>
      <c r="AB17" s="894"/>
      <c r="AC17" s="894"/>
      <c r="AD17" s="894"/>
      <c r="AE17" s="894"/>
      <c r="AF17" s="894"/>
      <c r="AG17" s="894"/>
      <c r="AH17" s="614"/>
      <c r="AI17" s="614"/>
      <c r="AJ17" s="895"/>
      <c r="AL17" s="902"/>
    </row>
    <row r="18" spans="1:62" x14ac:dyDescent="0.6">
      <c r="E18" s="320"/>
      <c r="F18" s="319"/>
      <c r="G18" s="319"/>
      <c r="H18" s="319"/>
      <c r="I18" s="320"/>
      <c r="J18" s="320"/>
      <c r="K18" s="320"/>
      <c r="L18" s="320"/>
      <c r="M18" s="319"/>
      <c r="N18" s="319"/>
      <c r="O18" s="319"/>
      <c r="P18" s="320"/>
      <c r="Q18" s="319"/>
      <c r="S18" s="319"/>
      <c r="T18" s="319"/>
      <c r="U18" s="320"/>
      <c r="V18" s="319"/>
      <c r="W18" s="319"/>
      <c r="X18" s="319"/>
      <c r="AL18" s="776"/>
    </row>
    <row r="19" spans="1:62" x14ac:dyDescent="0.6">
      <c r="A19" s="252" t="s">
        <v>172</v>
      </c>
      <c r="B19" s="252" t="s">
        <v>81</v>
      </c>
      <c r="C19" s="252" t="s">
        <v>80</v>
      </c>
      <c r="D19" s="252" t="s">
        <v>79</v>
      </c>
      <c r="E19" s="252" t="s">
        <v>78</v>
      </c>
      <c r="F19" s="252" t="s">
        <v>77</v>
      </c>
      <c r="G19" s="252" t="s">
        <v>76</v>
      </c>
      <c r="H19" s="252" t="s">
        <v>75</v>
      </c>
      <c r="I19" s="252" t="s">
        <v>74</v>
      </c>
      <c r="J19" s="252" t="s">
        <v>73</v>
      </c>
      <c r="K19" s="252" t="s">
        <v>72</v>
      </c>
      <c r="L19" s="252" t="s">
        <v>71</v>
      </c>
      <c r="M19" s="252" t="s">
        <v>70</v>
      </c>
      <c r="N19" s="285" t="s">
        <v>69</v>
      </c>
      <c r="O19" s="252" t="s">
        <v>68</v>
      </c>
      <c r="P19" s="252" t="s">
        <v>67</v>
      </c>
      <c r="Q19" s="252" t="s">
        <v>66</v>
      </c>
    </row>
    <row r="20" spans="1:62" x14ac:dyDescent="0.6">
      <c r="A20" s="252" t="s">
        <v>231</v>
      </c>
      <c r="B20" s="346">
        <v>992235</v>
      </c>
      <c r="C20" s="346">
        <v>1289527</v>
      </c>
      <c r="D20" s="346">
        <v>1060077</v>
      </c>
      <c r="E20" s="346">
        <v>204107</v>
      </c>
      <c r="F20" s="346">
        <v>57058</v>
      </c>
      <c r="G20" s="346">
        <v>88544</v>
      </c>
      <c r="H20" s="346">
        <v>173312</v>
      </c>
      <c r="I20" s="346">
        <v>182279</v>
      </c>
      <c r="J20" s="346">
        <v>0</v>
      </c>
      <c r="K20" s="346">
        <v>89646</v>
      </c>
      <c r="L20" s="346">
        <v>115872</v>
      </c>
      <c r="M20" s="346">
        <v>126868</v>
      </c>
      <c r="N20" s="347">
        <v>0</v>
      </c>
      <c r="O20" s="346"/>
      <c r="P20" s="346">
        <f t="shared" ref="P20:P25" si="7">Q20-N20</f>
        <v>25567.917355170252</v>
      </c>
      <c r="Q20" s="346">
        <f>$Q$2*Q29</f>
        <v>25567.917355170252</v>
      </c>
    </row>
    <row r="21" spans="1:62" x14ac:dyDescent="0.6">
      <c r="A21" s="252" t="s">
        <v>230</v>
      </c>
      <c r="B21" s="346">
        <v>50495</v>
      </c>
      <c r="C21" s="346">
        <v>0</v>
      </c>
      <c r="D21" s="346">
        <v>5580</v>
      </c>
      <c r="E21" s="346">
        <v>21998</v>
      </c>
      <c r="F21" s="346">
        <v>0</v>
      </c>
      <c r="G21" s="346">
        <v>0</v>
      </c>
      <c r="H21" s="346">
        <v>13289</v>
      </c>
      <c r="I21" s="346">
        <v>60465</v>
      </c>
      <c r="J21" s="346">
        <v>24420</v>
      </c>
      <c r="K21" s="346">
        <v>28126</v>
      </c>
      <c r="L21" s="346">
        <v>28126</v>
      </c>
      <c r="M21" s="346">
        <v>29794</v>
      </c>
      <c r="N21" s="347">
        <v>4763</v>
      </c>
      <c r="O21" s="346"/>
      <c r="P21" s="346">
        <f t="shared" si="7"/>
        <v>41673.77314193653</v>
      </c>
      <c r="Q21" s="346">
        <f>$Q$2*Q30</f>
        <v>46436.77314193653</v>
      </c>
      <c r="R21" s="349"/>
      <c r="S21" s="349"/>
    </row>
    <row r="22" spans="1:62" x14ac:dyDescent="0.6">
      <c r="A22" s="252" t="s">
        <v>229</v>
      </c>
      <c r="B22" s="346">
        <v>0</v>
      </c>
      <c r="C22" s="346">
        <v>0</v>
      </c>
      <c r="D22" s="346">
        <v>11995</v>
      </c>
      <c r="E22" s="346">
        <v>321223</v>
      </c>
      <c r="F22" s="346">
        <v>31270</v>
      </c>
      <c r="G22" s="346">
        <v>58855</v>
      </c>
      <c r="H22" s="346">
        <v>69619</v>
      </c>
      <c r="I22" s="346">
        <v>102435</v>
      </c>
      <c r="J22" s="346">
        <v>22742</v>
      </c>
      <c r="K22" s="346">
        <v>100908</v>
      </c>
      <c r="L22" s="346">
        <v>170254</v>
      </c>
      <c r="M22" s="346">
        <v>242082</v>
      </c>
      <c r="N22" s="347">
        <v>81266</v>
      </c>
      <c r="O22" s="346"/>
      <c r="P22" s="346">
        <f t="shared" si="7"/>
        <v>188584.2099353954</v>
      </c>
      <c r="Q22" s="346">
        <f>$Q$3*Q31</f>
        <v>269850.2099353954</v>
      </c>
      <c r="AO22" s="291"/>
      <c r="AR22" s="349"/>
      <c r="AS22" s="349"/>
      <c r="AT22" s="349"/>
      <c r="AU22" s="349"/>
      <c r="AY22" s="349"/>
      <c r="AZ22" s="349"/>
      <c r="BA22" s="349"/>
      <c r="BB22" s="349"/>
      <c r="BC22" s="349"/>
      <c r="BD22" s="349"/>
      <c r="BE22" s="349"/>
      <c r="BF22" s="349"/>
      <c r="BG22" s="349"/>
      <c r="BH22" s="349"/>
      <c r="BI22" s="349"/>
      <c r="BJ22" s="349"/>
    </row>
    <row r="23" spans="1:62" x14ac:dyDescent="0.6">
      <c r="A23" s="252" t="s">
        <v>228</v>
      </c>
      <c r="B23" s="346">
        <v>0</v>
      </c>
      <c r="C23" s="346">
        <v>0</v>
      </c>
      <c r="D23" s="346">
        <v>0</v>
      </c>
      <c r="E23" s="346">
        <v>298365</v>
      </c>
      <c r="F23" s="346">
        <v>127002</v>
      </c>
      <c r="G23" s="346">
        <v>331447</v>
      </c>
      <c r="H23" s="346">
        <v>511565</v>
      </c>
      <c r="I23" s="346">
        <v>805856</v>
      </c>
      <c r="J23" s="346">
        <v>207054</v>
      </c>
      <c r="K23" s="346">
        <v>348841</v>
      </c>
      <c r="L23" s="346">
        <v>531212</v>
      </c>
      <c r="M23" s="346">
        <v>726747</v>
      </c>
      <c r="N23" s="347">
        <v>198695</v>
      </c>
      <c r="O23" s="346"/>
      <c r="P23" s="346">
        <f t="shared" si="7"/>
        <v>598406.44580916665</v>
      </c>
      <c r="Q23" s="346">
        <f>$Q$3*Q32</f>
        <v>797101.44580916665</v>
      </c>
      <c r="R23" s="349"/>
      <c r="AM23" s="713"/>
      <c r="AO23" s="349"/>
      <c r="AR23" s="349"/>
      <c r="AS23" s="349"/>
      <c r="AT23" s="349"/>
      <c r="AU23" s="349"/>
      <c r="AY23" s="349"/>
      <c r="AZ23" s="349"/>
      <c r="BA23" s="349"/>
      <c r="BB23" s="349"/>
      <c r="BC23" s="349"/>
      <c r="BD23" s="349"/>
      <c r="BE23" s="349"/>
      <c r="BF23" s="349"/>
      <c r="BG23" s="349"/>
      <c r="BH23" s="349"/>
      <c r="BI23" s="349"/>
      <c r="BJ23" s="349"/>
    </row>
    <row r="24" spans="1:62" x14ac:dyDescent="0.6">
      <c r="A24" s="252" t="s">
        <v>227</v>
      </c>
      <c r="B24" s="346">
        <v>127246</v>
      </c>
      <c r="C24" s="346">
        <v>106766</v>
      </c>
      <c r="D24" s="346">
        <v>0</v>
      </c>
      <c r="E24" s="346">
        <v>64157</v>
      </c>
      <c r="F24" s="346">
        <v>15364</v>
      </c>
      <c r="G24" s="346">
        <v>0</v>
      </c>
      <c r="H24" s="346">
        <v>0</v>
      </c>
      <c r="I24" s="346">
        <v>0</v>
      </c>
      <c r="J24" s="346">
        <v>22133</v>
      </c>
      <c r="K24" s="346">
        <v>0</v>
      </c>
      <c r="L24" s="346">
        <v>0</v>
      </c>
      <c r="M24" s="346">
        <v>0</v>
      </c>
      <c r="N24" s="347">
        <v>18311</v>
      </c>
      <c r="O24" s="346"/>
      <c r="P24" s="346">
        <f t="shared" si="7"/>
        <v>33520.038539534704</v>
      </c>
      <c r="Q24" s="346">
        <f>Q5*Q33</f>
        <v>51831.038539534704</v>
      </c>
      <c r="AM24" s="713"/>
      <c r="AR24" s="349"/>
      <c r="AS24" s="349"/>
      <c r="AT24" s="349"/>
      <c r="AU24" s="349"/>
      <c r="AY24" s="349"/>
      <c r="AZ24" s="349"/>
      <c r="BA24" s="349"/>
      <c r="BB24" s="349"/>
      <c r="BC24" s="349"/>
      <c r="BD24" s="349"/>
      <c r="BE24" s="349"/>
      <c r="BF24" s="349"/>
      <c r="BG24" s="349"/>
      <c r="BH24" s="349"/>
      <c r="BI24" s="349"/>
      <c r="BJ24" s="349"/>
    </row>
    <row r="25" spans="1:62" x14ac:dyDescent="0.6">
      <c r="A25" s="252" t="s">
        <v>100</v>
      </c>
      <c r="B25" s="346">
        <f t="shared" ref="B25:N25" si="8">SUM(B20:B23)</f>
        <v>1042730</v>
      </c>
      <c r="C25" s="346">
        <f t="shared" si="8"/>
        <v>1289527</v>
      </c>
      <c r="D25" s="346">
        <f t="shared" si="8"/>
        <v>1077652</v>
      </c>
      <c r="E25" s="346">
        <f t="shared" si="8"/>
        <v>845693</v>
      </c>
      <c r="F25" s="346">
        <f t="shared" si="8"/>
        <v>215330</v>
      </c>
      <c r="G25" s="346">
        <f t="shared" si="8"/>
        <v>478846</v>
      </c>
      <c r="H25" s="346">
        <f t="shared" si="8"/>
        <v>767785</v>
      </c>
      <c r="I25" s="346">
        <f t="shared" si="8"/>
        <v>1151035</v>
      </c>
      <c r="J25" s="346">
        <f t="shared" si="8"/>
        <v>254216</v>
      </c>
      <c r="K25" s="346">
        <f t="shared" si="8"/>
        <v>567521</v>
      </c>
      <c r="L25" s="346">
        <f t="shared" si="8"/>
        <v>845464</v>
      </c>
      <c r="M25" s="346">
        <f t="shared" si="8"/>
        <v>1125491</v>
      </c>
      <c r="N25" s="346">
        <f t="shared" si="8"/>
        <v>284724</v>
      </c>
      <c r="O25" s="346"/>
      <c r="P25" s="346">
        <f t="shared" si="7"/>
        <v>906063.38478120347</v>
      </c>
      <c r="Q25" s="346">
        <f>SUM(Q20:Q24)</f>
        <v>1190787.3847812035</v>
      </c>
      <c r="AL25" s="351"/>
      <c r="AN25" s="335"/>
      <c r="AR25" s="349"/>
      <c r="AS25" s="349"/>
      <c r="AT25" s="349"/>
      <c r="AU25" s="349"/>
      <c r="AY25" s="349"/>
      <c r="AZ25" s="349"/>
      <c r="BA25" s="349"/>
      <c r="BB25" s="349"/>
      <c r="BC25" s="349"/>
      <c r="BD25" s="349"/>
      <c r="BE25" s="349"/>
      <c r="BF25" s="349"/>
      <c r="BG25" s="349"/>
      <c r="BH25" s="349"/>
      <c r="BI25" s="349"/>
      <c r="BJ25" s="349"/>
    </row>
    <row r="26" spans="1:62" x14ac:dyDescent="0.6">
      <c r="F26" s="320"/>
      <c r="G26" s="320"/>
      <c r="H26" s="319"/>
      <c r="I26" s="350"/>
      <c r="J26" s="319"/>
      <c r="K26" s="319"/>
      <c r="L26" s="319"/>
      <c r="M26" s="320"/>
      <c r="O26" s="320"/>
      <c r="P26" s="320"/>
      <c r="Q26" s="320"/>
      <c r="S26" s="319"/>
      <c r="AR26" s="349"/>
      <c r="AS26" s="349"/>
      <c r="AT26" s="349"/>
      <c r="AU26" s="349"/>
      <c r="AY26" s="349"/>
      <c r="AZ26" s="349"/>
      <c r="BA26" s="349"/>
      <c r="BB26" s="349"/>
      <c r="BC26" s="349"/>
      <c r="BD26" s="349"/>
      <c r="BE26" s="349"/>
      <c r="BF26" s="349"/>
      <c r="BG26" s="349"/>
      <c r="BH26" s="349"/>
      <c r="BI26" s="349"/>
      <c r="BJ26" s="349"/>
    </row>
    <row r="27" spans="1:62" x14ac:dyDescent="0.6">
      <c r="F27" s="320"/>
      <c r="G27" s="320"/>
      <c r="H27" s="319"/>
      <c r="I27" s="350"/>
      <c r="J27" s="319"/>
      <c r="K27" s="319"/>
      <c r="L27" s="319"/>
      <c r="M27" s="320"/>
      <c r="O27" s="320"/>
      <c r="P27" s="320"/>
      <c r="Q27" s="320"/>
      <c r="S27" s="319"/>
      <c r="AR27" s="349"/>
      <c r="AS27" s="349"/>
      <c r="AT27" s="349"/>
      <c r="AU27" s="349"/>
      <c r="AY27" s="349"/>
      <c r="AZ27" s="349"/>
      <c r="BA27" s="349"/>
      <c r="BB27" s="349"/>
      <c r="BC27" s="349"/>
      <c r="BD27" s="349"/>
      <c r="BE27" s="349"/>
      <c r="BF27" s="349"/>
      <c r="BG27" s="349"/>
      <c r="BH27" s="349"/>
      <c r="BI27" s="349"/>
      <c r="BJ27" s="349"/>
    </row>
    <row r="28" spans="1:62" x14ac:dyDescent="0.6">
      <c r="A28" s="590" t="s">
        <v>170</v>
      </c>
      <c r="B28" s="590" t="s">
        <v>81</v>
      </c>
      <c r="C28" s="590" t="s">
        <v>80</v>
      </c>
      <c r="D28" s="590" t="s">
        <v>79</v>
      </c>
      <c r="E28" s="590" t="s">
        <v>78</v>
      </c>
      <c r="F28" s="590" t="s">
        <v>77</v>
      </c>
      <c r="G28" s="590" t="s">
        <v>76</v>
      </c>
      <c r="H28" s="590" t="s">
        <v>75</v>
      </c>
      <c r="I28" s="590" t="s">
        <v>74</v>
      </c>
      <c r="J28" s="590" t="s">
        <v>73</v>
      </c>
      <c r="K28" s="590" t="s">
        <v>72</v>
      </c>
      <c r="L28" s="590" t="s">
        <v>71</v>
      </c>
      <c r="M28" s="590" t="s">
        <v>70</v>
      </c>
      <c r="N28" s="591" t="s">
        <v>69</v>
      </c>
      <c r="O28" s="590" t="s">
        <v>68</v>
      </c>
      <c r="P28" s="590" t="s">
        <v>67</v>
      </c>
      <c r="Q28" s="590" t="s">
        <v>66</v>
      </c>
      <c r="R28" s="200" t="s">
        <v>173</v>
      </c>
      <c r="S28" s="319"/>
      <c r="AR28" s="349"/>
      <c r="AS28" s="349"/>
      <c r="AT28" s="349"/>
      <c r="AU28" s="349"/>
      <c r="AY28" s="349"/>
      <c r="AZ28" s="349"/>
      <c r="BA28" s="349"/>
      <c r="BB28" s="349"/>
      <c r="BC28" s="349"/>
      <c r="BD28" s="349"/>
      <c r="BE28" s="349"/>
      <c r="BF28" s="349"/>
      <c r="BG28" s="349"/>
      <c r="BH28" s="349"/>
      <c r="BI28" s="349"/>
      <c r="BJ28" s="349"/>
    </row>
    <row r="29" spans="1:62" x14ac:dyDescent="0.6">
      <c r="A29" s="590" t="s">
        <v>231</v>
      </c>
      <c r="B29" s="595">
        <f t="shared" ref="B29:N29" si="9">B20/B2</f>
        <v>0.85155255675600983</v>
      </c>
      <c r="C29" s="595">
        <f t="shared" si="9"/>
        <v>0.91993028793678833</v>
      </c>
      <c r="D29" s="595">
        <f t="shared" si="9"/>
        <v>0.95699608111487366</v>
      </c>
      <c r="E29" s="595">
        <f t="shared" si="9"/>
        <v>0.20038485138551407</v>
      </c>
      <c r="F29" s="595">
        <f t="shared" si="9"/>
        <v>0.17920451261950526</v>
      </c>
      <c r="G29" s="595">
        <f t="shared" si="9"/>
        <v>0.15176014273790078</v>
      </c>
      <c r="H29" s="595">
        <f t="shared" si="9"/>
        <v>0.17148601689213258</v>
      </c>
      <c r="I29" s="595">
        <f t="shared" si="9"/>
        <v>0.12959352853518979</v>
      </c>
      <c r="J29" s="595">
        <f t="shared" si="9"/>
        <v>0</v>
      </c>
      <c r="K29" s="595">
        <f t="shared" si="9"/>
        <v>7.9535029801459642E-2</v>
      </c>
      <c r="L29" s="595">
        <f t="shared" si="9"/>
        <v>0.11202029420408668</v>
      </c>
      <c r="M29" s="595">
        <f t="shared" si="9"/>
        <v>8.9674763934725191E-2</v>
      </c>
      <c r="N29" s="595">
        <f t="shared" si="9"/>
        <v>0</v>
      </c>
      <c r="O29" s="897"/>
      <c r="P29" s="595">
        <f t="shared" ref="P29:Q32" si="10">Q29</f>
        <v>1.9516351591045453E-2</v>
      </c>
      <c r="Q29" s="595">
        <f t="shared" si="10"/>
        <v>1.9516351591045453E-2</v>
      </c>
      <c r="R29" s="344">
        <f>S168/R163</f>
        <v>1.9516351591045453E-2</v>
      </c>
      <c r="S29" s="319"/>
      <c r="AR29" s="349"/>
      <c r="AS29" s="349"/>
      <c r="AT29" s="349"/>
      <c r="AU29" s="349"/>
      <c r="AY29" s="349"/>
      <c r="AZ29" s="349"/>
      <c r="BA29" s="349"/>
      <c r="BB29" s="349"/>
      <c r="BC29" s="349"/>
      <c r="BD29" s="349"/>
      <c r="BE29" s="349"/>
      <c r="BF29" s="349"/>
      <c r="BG29" s="349"/>
      <c r="BH29" s="349"/>
      <c r="BI29" s="349"/>
      <c r="BJ29" s="349"/>
    </row>
    <row r="30" spans="1:62" x14ac:dyDescent="0.6">
      <c r="A30" s="590" t="s">
        <v>230</v>
      </c>
      <c r="B30" s="595">
        <f t="shared" ref="B30:N30" si="11">B21/B2</f>
        <v>4.3335647657454852E-2</v>
      </c>
      <c r="C30" s="595">
        <f t="shared" si="11"/>
        <v>0</v>
      </c>
      <c r="D30" s="595">
        <f t="shared" si="11"/>
        <v>5.0374058984592575E-3</v>
      </c>
      <c r="E30" s="595">
        <f t="shared" si="11"/>
        <v>2.159683872076185E-2</v>
      </c>
      <c r="F30" s="595">
        <f t="shared" si="11"/>
        <v>0</v>
      </c>
      <c r="G30" s="595">
        <f t="shared" si="11"/>
        <v>0</v>
      </c>
      <c r="H30" s="595">
        <f t="shared" si="11"/>
        <v>1.3148989559173915E-2</v>
      </c>
      <c r="I30" s="595">
        <f t="shared" si="11"/>
        <v>4.2988345903149851E-2</v>
      </c>
      <c r="J30" s="595">
        <f t="shared" si="11"/>
        <v>8.0581294052427338E-2</v>
      </c>
      <c r="K30" s="595">
        <f t="shared" si="11"/>
        <v>2.4953731880907725E-2</v>
      </c>
      <c r="L30" s="595">
        <f t="shared" si="11"/>
        <v>2.7191062506767314E-2</v>
      </c>
      <c r="M30" s="595">
        <f t="shared" si="11"/>
        <v>2.1059446958028836E-2</v>
      </c>
      <c r="N30" s="595">
        <f t="shared" si="11"/>
        <v>1.2708924797745854E-2</v>
      </c>
      <c r="O30" s="897"/>
      <c r="P30" s="595">
        <f t="shared" si="10"/>
        <v>3.5445843273127831E-2</v>
      </c>
      <c r="Q30" s="595">
        <f t="shared" si="10"/>
        <v>3.5445843273127831E-2</v>
      </c>
      <c r="R30" s="344">
        <f>S166/R163</f>
        <v>3.5445843273127831E-2</v>
      </c>
      <c r="S30" s="319"/>
      <c r="AR30" s="349"/>
      <c r="AS30" s="349"/>
      <c r="AT30" s="349"/>
      <c r="AU30" s="349"/>
      <c r="AY30" s="349"/>
      <c r="AZ30" s="349"/>
      <c r="BA30" s="349"/>
      <c r="BB30" s="349"/>
      <c r="BC30" s="349"/>
      <c r="BD30" s="349"/>
      <c r="BE30" s="349"/>
      <c r="BF30" s="349"/>
      <c r="BG30" s="349"/>
      <c r="BH30" s="349"/>
      <c r="BI30" s="349"/>
      <c r="BJ30" s="349"/>
    </row>
    <row r="31" spans="1:62" x14ac:dyDescent="0.6">
      <c r="A31" s="590" t="s">
        <v>229</v>
      </c>
      <c r="B31" s="595">
        <f>B22/B25</f>
        <v>0</v>
      </c>
      <c r="C31" s="595">
        <f>C22/C25</f>
        <v>0</v>
      </c>
      <c r="D31" s="595">
        <f t="shared" ref="D31:N31" si="12">D22/D3</f>
        <v>0.59077029156816396</v>
      </c>
      <c r="E31" s="595">
        <f t="shared" si="12"/>
        <v>0.51448527927887522</v>
      </c>
      <c r="F31" s="595">
        <f t="shared" si="12"/>
        <v>0.17111837101001975</v>
      </c>
      <c r="G31" s="595">
        <f t="shared" si="12"/>
        <v>0.1503658549048062</v>
      </c>
      <c r="H31" s="595">
        <f t="shared" si="12"/>
        <v>0.10866117890176026</v>
      </c>
      <c r="I31" s="595">
        <f t="shared" si="12"/>
        <v>0.11170945399939147</v>
      </c>
      <c r="J31" s="595">
        <f t="shared" si="12"/>
        <v>8.9490687727002638E-2</v>
      </c>
      <c r="K31" s="595">
        <f t="shared" si="12"/>
        <v>0.21060320826150294</v>
      </c>
      <c r="L31" s="595">
        <f t="shared" si="12"/>
        <v>0.2225510482855802</v>
      </c>
      <c r="M31" s="595">
        <f t="shared" si="12"/>
        <v>0.23762230458750178</v>
      </c>
      <c r="N31" s="595">
        <f t="shared" si="12"/>
        <v>0.27524936916797915</v>
      </c>
      <c r="O31" s="897"/>
      <c r="P31" s="595">
        <f t="shared" si="10"/>
        <v>0.26487896158437974</v>
      </c>
      <c r="Q31" s="595">
        <f t="shared" si="10"/>
        <v>0.26487896158437974</v>
      </c>
      <c r="R31" s="344">
        <f>S164/R162</f>
        <v>0.26487896158437974</v>
      </c>
      <c r="S31" s="319"/>
      <c r="AR31" s="349"/>
      <c r="AS31" s="349"/>
      <c r="AT31" s="349"/>
      <c r="AU31" s="349"/>
      <c r="AY31" s="349"/>
      <c r="AZ31" s="349"/>
      <c r="BA31" s="349"/>
      <c r="BB31" s="349"/>
      <c r="BC31" s="349"/>
      <c r="BD31" s="349"/>
      <c r="BE31" s="349"/>
      <c r="BF31" s="349"/>
      <c r="BG31" s="349"/>
      <c r="BH31" s="349"/>
      <c r="BI31" s="349"/>
      <c r="BJ31" s="349"/>
    </row>
    <row r="32" spans="1:62" x14ac:dyDescent="0.6">
      <c r="A32" s="590" t="s">
        <v>228</v>
      </c>
      <c r="B32" s="595">
        <f>B23/B25</f>
        <v>0</v>
      </c>
      <c r="C32" s="595">
        <f>C23/C25</f>
        <v>0</v>
      </c>
      <c r="D32" s="595">
        <f t="shared" ref="D32:N32" si="13">D23/D3</f>
        <v>0</v>
      </c>
      <c r="E32" s="595">
        <f t="shared" si="13"/>
        <v>0.47787487306961712</v>
      </c>
      <c r="F32" s="595">
        <f t="shared" si="13"/>
        <v>0.69499121698159672</v>
      </c>
      <c r="G32" s="595">
        <f t="shared" si="13"/>
        <v>0.84679825861240843</v>
      </c>
      <c r="H32" s="595">
        <f t="shared" si="13"/>
        <v>0.79844950351023414</v>
      </c>
      <c r="I32" s="595">
        <f t="shared" si="13"/>
        <v>0.87881811648492825</v>
      </c>
      <c r="J32" s="595">
        <f t="shared" si="13"/>
        <v>0.81476584542374486</v>
      </c>
      <c r="K32" s="595">
        <f t="shared" si="13"/>
        <v>0.72805955695436386</v>
      </c>
      <c r="L32" s="595">
        <f t="shared" si="13"/>
        <v>0.69438478662398317</v>
      </c>
      <c r="M32" s="595">
        <f t="shared" si="13"/>
        <v>0.71335868421465931</v>
      </c>
      <c r="N32" s="595">
        <f t="shared" si="13"/>
        <v>0.67298345441921115</v>
      </c>
      <c r="O32" s="897"/>
      <c r="P32" s="595">
        <f t="shared" si="10"/>
        <v>0.78241704275081925</v>
      </c>
      <c r="Q32" s="595">
        <f t="shared" si="10"/>
        <v>0.78241704275081925</v>
      </c>
      <c r="R32" s="344">
        <f>S165/R162</f>
        <v>0.78241704275081925</v>
      </c>
      <c r="S32" s="319"/>
      <c r="AR32" s="349"/>
      <c r="AS32" s="349"/>
      <c r="AT32" s="349"/>
      <c r="AU32" s="349"/>
      <c r="AY32" s="349"/>
      <c r="AZ32" s="349"/>
      <c r="BA32" s="349"/>
      <c r="BB32" s="349"/>
      <c r="BC32" s="349"/>
      <c r="BD32" s="349"/>
      <c r="BE32" s="349"/>
      <c r="BF32" s="349"/>
      <c r="BG32" s="349"/>
      <c r="BH32" s="349"/>
      <c r="BI32" s="349"/>
      <c r="BJ32" s="349"/>
    </row>
    <row r="33" spans="1:62" x14ac:dyDescent="0.6">
      <c r="A33" s="903" t="s">
        <v>227</v>
      </c>
      <c r="B33" s="904">
        <f t="shared" ref="B33:N33" si="14">B24/B5</f>
        <v>0.10920463059353402</v>
      </c>
      <c r="C33" s="904">
        <f t="shared" si="14"/>
        <v>7.6165351420993233E-2</v>
      </c>
      <c r="D33" s="904">
        <f t="shared" si="14"/>
        <v>0</v>
      </c>
      <c r="E33" s="904">
        <f t="shared" si="14"/>
        <v>3.9050283852110831E-2</v>
      </c>
      <c r="F33" s="904">
        <f t="shared" si="14"/>
        <v>3.0658405419697287E-2</v>
      </c>
      <c r="G33" s="904">
        <f t="shared" si="14"/>
        <v>0</v>
      </c>
      <c r="H33" s="904">
        <f t="shared" si="14"/>
        <v>0</v>
      </c>
      <c r="I33" s="904">
        <f t="shared" si="14"/>
        <v>0</v>
      </c>
      <c r="J33" s="904">
        <f t="shared" si="14"/>
        <v>3.8205928452567546E-2</v>
      </c>
      <c r="K33" s="904">
        <f t="shared" si="14"/>
        <v>0</v>
      </c>
      <c r="L33" s="904">
        <f t="shared" si="14"/>
        <v>0</v>
      </c>
      <c r="M33" s="904">
        <f t="shared" si="14"/>
        <v>0</v>
      </c>
      <c r="N33" s="904">
        <f t="shared" si="14"/>
        <v>2.7328994165854503E-2</v>
      </c>
      <c r="O33" s="905"/>
      <c r="P33" s="904">
        <f>M15</f>
        <v>4.0291943859134365E-2</v>
      </c>
      <c r="Q33" s="904">
        <f>R33</f>
        <v>2.1904812427610231E-2</v>
      </c>
      <c r="R33" s="353">
        <f>S168/S170</f>
        <v>2.1904812427610231E-2</v>
      </c>
      <c r="S33" s="319"/>
      <c r="AR33" s="349"/>
      <c r="AS33" s="349"/>
      <c r="AT33" s="349"/>
      <c r="AU33" s="349"/>
      <c r="AY33" s="349"/>
      <c r="AZ33" s="349"/>
      <c r="BA33" s="349"/>
      <c r="BB33" s="349"/>
      <c r="BC33" s="349"/>
      <c r="BD33" s="349"/>
      <c r="BE33" s="349"/>
      <c r="BF33" s="349"/>
      <c r="BG33" s="349"/>
      <c r="BH33" s="349"/>
      <c r="BI33" s="349"/>
      <c r="BJ33" s="349"/>
    </row>
    <row r="34" spans="1:62" x14ac:dyDescent="0.6">
      <c r="A34" s="418"/>
      <c r="B34" s="906"/>
      <c r="C34" s="906"/>
      <c r="D34" s="906"/>
      <c r="E34" s="906"/>
      <c r="F34" s="906"/>
      <c r="G34" s="906"/>
      <c r="H34" s="906"/>
      <c r="I34" s="906"/>
      <c r="J34" s="906"/>
      <c r="K34" s="906"/>
      <c r="L34" s="906"/>
      <c r="M34" s="906"/>
      <c r="N34" s="906"/>
      <c r="O34" s="417"/>
      <c r="P34" s="417"/>
      <c r="Q34" s="906"/>
      <c r="R34" s="600"/>
      <c r="S34" s="319"/>
      <c r="AR34" s="349"/>
      <c r="AS34" s="349"/>
      <c r="AT34" s="349"/>
      <c r="AU34" s="349"/>
      <c r="AY34" s="349"/>
      <c r="AZ34" s="349"/>
      <c r="BA34" s="349"/>
      <c r="BB34" s="349"/>
      <c r="BC34" s="349"/>
      <c r="BD34" s="349"/>
      <c r="BE34" s="349"/>
      <c r="BF34" s="349"/>
      <c r="BG34" s="349"/>
      <c r="BH34" s="349"/>
      <c r="BI34" s="349"/>
      <c r="BJ34" s="349"/>
    </row>
    <row r="35" spans="1:62" x14ac:dyDescent="0.6">
      <c r="F35" s="320"/>
      <c r="G35" s="320"/>
      <c r="H35" s="319"/>
      <c r="I35" s="350"/>
      <c r="J35" s="319"/>
      <c r="K35" s="319"/>
      <c r="L35" s="319"/>
      <c r="M35" s="320"/>
      <c r="O35" s="320"/>
      <c r="P35" s="320"/>
      <c r="Q35" s="320"/>
      <c r="S35" s="319"/>
      <c r="AR35" s="349"/>
      <c r="AS35" s="349"/>
      <c r="AT35" s="349"/>
      <c r="AU35" s="349"/>
      <c r="AY35" s="349"/>
      <c r="AZ35" s="349"/>
      <c r="BA35" s="349"/>
      <c r="BB35" s="349"/>
      <c r="BC35" s="349"/>
      <c r="BD35" s="349"/>
      <c r="BE35" s="349"/>
      <c r="BF35" s="349"/>
      <c r="BG35" s="349"/>
      <c r="BH35" s="349"/>
      <c r="BI35" s="349"/>
      <c r="BJ35" s="349"/>
    </row>
    <row r="36" spans="1:62" x14ac:dyDescent="0.6">
      <c r="A36" s="252" t="s">
        <v>167</v>
      </c>
      <c r="B36" s="252" t="s">
        <v>81</v>
      </c>
      <c r="C36" s="252" t="s">
        <v>80</v>
      </c>
      <c r="D36" s="252" t="s">
        <v>79</v>
      </c>
      <c r="E36" s="252" t="s">
        <v>78</v>
      </c>
      <c r="F36" s="252" t="s">
        <v>77</v>
      </c>
      <c r="G36" s="252" t="s">
        <v>76</v>
      </c>
      <c r="H36" s="252" t="s">
        <v>75</v>
      </c>
      <c r="I36" s="252" t="s">
        <v>74</v>
      </c>
      <c r="J36" s="252" t="s">
        <v>73</v>
      </c>
      <c r="K36" s="252" t="s">
        <v>72</v>
      </c>
      <c r="L36" s="252" t="s">
        <v>71</v>
      </c>
      <c r="M36" s="252" t="s">
        <v>70</v>
      </c>
      <c r="N36" s="285" t="s">
        <v>69</v>
      </c>
      <c r="O36" s="252" t="s">
        <v>68</v>
      </c>
      <c r="P36" s="252" t="s">
        <v>67</v>
      </c>
      <c r="Q36" s="252" t="s">
        <v>66</v>
      </c>
      <c r="S36" s="319"/>
      <c r="AR36" s="349"/>
      <c r="AS36" s="349"/>
      <c r="AT36" s="349"/>
      <c r="AU36" s="349"/>
      <c r="AY36" s="349"/>
      <c r="AZ36" s="349"/>
      <c r="BA36" s="349"/>
      <c r="BB36" s="349"/>
      <c r="BC36" s="349"/>
      <c r="BD36" s="349"/>
      <c r="BE36" s="349"/>
      <c r="BF36" s="349"/>
      <c r="BG36" s="349"/>
      <c r="BH36" s="349"/>
      <c r="BI36" s="349"/>
      <c r="BJ36" s="349"/>
    </row>
    <row r="37" spans="1:62" x14ac:dyDescent="0.6">
      <c r="A37" s="330" t="s">
        <v>231</v>
      </c>
      <c r="B37" s="346">
        <v>7793090</v>
      </c>
      <c r="C37" s="346">
        <v>10094644</v>
      </c>
      <c r="D37" s="346">
        <v>5656269</v>
      </c>
      <c r="E37" s="346">
        <v>1245928</v>
      </c>
      <c r="F37" s="346">
        <v>358612</v>
      </c>
      <c r="G37" s="346">
        <v>701094</v>
      </c>
      <c r="H37" s="346">
        <v>1341212</v>
      </c>
      <c r="I37" s="346">
        <v>1461270</v>
      </c>
      <c r="J37" s="346">
        <v>0</v>
      </c>
      <c r="K37" s="346">
        <v>1407041</v>
      </c>
      <c r="L37" s="346">
        <v>1842041</v>
      </c>
      <c r="M37" s="346">
        <v>1972973</v>
      </c>
      <c r="N37" s="347">
        <v>0</v>
      </c>
      <c r="O37" s="346"/>
      <c r="P37" s="346">
        <f>P20*P53/1000000</f>
        <v>460552.74761362391</v>
      </c>
      <c r="Q37" s="346"/>
      <c r="S37" s="319"/>
      <c r="AR37" s="349"/>
      <c r="AS37" s="349"/>
      <c r="AT37" s="349"/>
      <c r="AU37" s="349"/>
      <c r="AY37" s="349"/>
      <c r="AZ37" s="349"/>
      <c r="BA37" s="349"/>
      <c r="BB37" s="349"/>
      <c r="BC37" s="349"/>
      <c r="BD37" s="349"/>
      <c r="BE37" s="349"/>
      <c r="BF37" s="349"/>
      <c r="BG37" s="349"/>
      <c r="BH37" s="349"/>
      <c r="BI37" s="349"/>
      <c r="BJ37" s="349"/>
    </row>
    <row r="38" spans="1:62" x14ac:dyDescent="0.6">
      <c r="A38" s="330" t="s">
        <v>230</v>
      </c>
      <c r="B38" s="346">
        <v>439227</v>
      </c>
      <c r="C38" s="346">
        <v>0</v>
      </c>
      <c r="D38" s="346">
        <v>30313</v>
      </c>
      <c r="E38" s="346">
        <v>128360</v>
      </c>
      <c r="F38" s="346">
        <v>0</v>
      </c>
      <c r="G38" s="346">
        <v>0</v>
      </c>
      <c r="H38" s="346">
        <v>143568</v>
      </c>
      <c r="I38" s="346">
        <v>701145</v>
      </c>
      <c r="J38" s="346">
        <v>303560</v>
      </c>
      <c r="K38" s="346">
        <v>400610</v>
      </c>
      <c r="L38" s="346">
        <v>400610</v>
      </c>
      <c r="M38" s="346">
        <v>433616</v>
      </c>
      <c r="N38" s="347">
        <v>84260</v>
      </c>
      <c r="O38" s="346"/>
      <c r="P38" s="346">
        <f>P21*P54/1000000</f>
        <v>849498.61187407374</v>
      </c>
      <c r="Q38" s="346"/>
      <c r="S38" s="319"/>
      <c r="AR38" s="349"/>
      <c r="AS38" s="349"/>
      <c r="AT38" s="349"/>
      <c r="AU38" s="349"/>
      <c r="AY38" s="349"/>
      <c r="AZ38" s="349"/>
      <c r="BA38" s="349"/>
      <c r="BB38" s="349"/>
      <c r="BC38" s="349"/>
      <c r="BD38" s="349"/>
      <c r="BE38" s="349"/>
      <c r="BF38" s="349"/>
      <c r="BG38" s="349"/>
      <c r="BH38" s="349"/>
      <c r="BI38" s="349"/>
      <c r="BJ38" s="349"/>
    </row>
    <row r="39" spans="1:62" x14ac:dyDescent="0.6">
      <c r="A39" s="330" t="s">
        <v>229</v>
      </c>
      <c r="B39" s="346">
        <v>0</v>
      </c>
      <c r="C39" s="346">
        <v>0</v>
      </c>
      <c r="D39" s="346">
        <v>101667</v>
      </c>
      <c r="E39" s="346">
        <v>3573477</v>
      </c>
      <c r="F39" s="346">
        <v>388064</v>
      </c>
      <c r="G39" s="346">
        <v>850952</v>
      </c>
      <c r="H39" s="346">
        <v>1057754</v>
      </c>
      <c r="I39" s="346">
        <v>1688272</v>
      </c>
      <c r="J39" s="346">
        <v>529990</v>
      </c>
      <c r="K39" s="346">
        <v>2561586</v>
      </c>
      <c r="L39" s="346">
        <v>4759660</v>
      </c>
      <c r="M39" s="346">
        <v>7026511</v>
      </c>
      <c r="N39" s="347">
        <v>3189016</v>
      </c>
      <c r="O39" s="346"/>
      <c r="P39" s="346">
        <f>P22*P55/1000000</f>
        <v>6379130.0107323276</v>
      </c>
      <c r="Q39" s="346"/>
      <c r="S39" s="319"/>
      <c r="AR39" s="349"/>
      <c r="AS39" s="349"/>
      <c r="AT39" s="349"/>
      <c r="AU39" s="349"/>
      <c r="AY39" s="349"/>
      <c r="AZ39" s="349"/>
      <c r="BA39" s="349"/>
      <c r="BB39" s="349"/>
      <c r="BC39" s="349"/>
      <c r="BD39" s="349"/>
      <c r="BE39" s="349"/>
      <c r="BF39" s="349"/>
      <c r="BG39" s="349"/>
      <c r="BH39" s="349"/>
      <c r="BI39" s="349"/>
      <c r="BJ39" s="349"/>
    </row>
    <row r="40" spans="1:62" x14ac:dyDescent="0.6">
      <c r="A40" s="330" t="s">
        <v>228</v>
      </c>
      <c r="B40" s="346">
        <v>0</v>
      </c>
      <c r="C40" s="346">
        <v>0</v>
      </c>
      <c r="D40" s="346">
        <v>0</v>
      </c>
      <c r="E40" s="346">
        <v>3860474</v>
      </c>
      <c r="F40" s="346">
        <v>1749972</v>
      </c>
      <c r="G40" s="346">
        <v>4847899</v>
      </c>
      <c r="H40" s="346">
        <v>8326338</v>
      </c>
      <c r="I40" s="346">
        <v>14806653</v>
      </c>
      <c r="J40" s="346">
        <v>4409998</v>
      </c>
      <c r="K40" s="346">
        <v>8615043</v>
      </c>
      <c r="L40" s="346">
        <v>16184479</v>
      </c>
      <c r="M40" s="346">
        <v>24120416</v>
      </c>
      <c r="N40" s="347">
        <v>8219763</v>
      </c>
      <c r="O40" s="346"/>
      <c r="P40" s="346">
        <f>P23*P56/1000000</f>
        <v>24881740.01674515</v>
      </c>
      <c r="Q40" s="346"/>
      <c r="S40" s="319"/>
      <c r="AR40" s="349"/>
      <c r="AS40" s="349"/>
      <c r="AT40" s="349"/>
      <c r="AU40" s="349"/>
      <c r="AY40" s="349"/>
      <c r="AZ40" s="349"/>
      <c r="BA40" s="349"/>
      <c r="BB40" s="349"/>
      <c r="BC40" s="349"/>
      <c r="BD40" s="349"/>
      <c r="BE40" s="349"/>
      <c r="BF40" s="349"/>
      <c r="BG40" s="349"/>
      <c r="BH40" s="349"/>
      <c r="BI40" s="349"/>
      <c r="BJ40" s="349"/>
    </row>
    <row r="41" spans="1:62" x14ac:dyDescent="0.6">
      <c r="A41" s="330" t="s">
        <v>227</v>
      </c>
      <c r="B41" s="346">
        <v>174987</v>
      </c>
      <c r="C41" s="346">
        <v>162536</v>
      </c>
      <c r="D41" s="346">
        <v>0</v>
      </c>
      <c r="E41" s="346">
        <v>96839</v>
      </c>
      <c r="F41" s="346">
        <v>24519</v>
      </c>
      <c r="G41" s="346">
        <v>186518</v>
      </c>
      <c r="H41" s="346">
        <v>187194</v>
      </c>
      <c r="I41" s="346">
        <v>302454</v>
      </c>
      <c r="J41" s="346">
        <v>55333</v>
      </c>
      <c r="K41" s="346">
        <v>149278</v>
      </c>
      <c r="L41" s="346">
        <v>270025</v>
      </c>
      <c r="M41" s="346">
        <v>269973</v>
      </c>
      <c r="N41" s="347">
        <v>66837</v>
      </c>
      <c r="O41" s="346"/>
      <c r="P41" s="346">
        <f>P24*P57/1000000</f>
        <v>122351.52619319416</v>
      </c>
      <c r="Q41" s="346"/>
      <c r="S41" s="319"/>
      <c r="AR41" s="349"/>
      <c r="AS41" s="349"/>
      <c r="AT41" s="349"/>
      <c r="AU41" s="349"/>
      <c r="AY41" s="349"/>
      <c r="AZ41" s="349"/>
      <c r="BA41" s="349"/>
      <c r="BB41" s="349"/>
      <c r="BC41" s="349"/>
      <c r="BD41" s="349"/>
      <c r="BE41" s="349"/>
      <c r="BF41" s="349"/>
      <c r="BG41" s="349"/>
      <c r="BH41" s="349"/>
      <c r="BI41" s="349"/>
      <c r="BJ41" s="349"/>
    </row>
    <row r="42" spans="1:62" x14ac:dyDescent="0.6">
      <c r="A42" s="330" t="s">
        <v>100</v>
      </c>
      <c r="B42" s="346">
        <f t="shared" ref="B42:N42" si="15">SUM(B37:B41)</f>
        <v>8407304</v>
      </c>
      <c r="C42" s="346">
        <f t="shared" si="15"/>
        <v>10257180</v>
      </c>
      <c r="D42" s="346">
        <f t="shared" si="15"/>
        <v>5788249</v>
      </c>
      <c r="E42" s="346">
        <f t="shared" si="15"/>
        <v>8905078</v>
      </c>
      <c r="F42" s="346">
        <f t="shared" si="15"/>
        <v>2521167</v>
      </c>
      <c r="G42" s="346">
        <f t="shared" si="15"/>
        <v>6586463</v>
      </c>
      <c r="H42" s="346">
        <f t="shared" si="15"/>
        <v>11056066</v>
      </c>
      <c r="I42" s="346">
        <f t="shared" si="15"/>
        <v>18959794</v>
      </c>
      <c r="J42" s="346">
        <f t="shared" si="15"/>
        <v>5298881</v>
      </c>
      <c r="K42" s="346">
        <f t="shared" si="15"/>
        <v>13133558</v>
      </c>
      <c r="L42" s="346">
        <f t="shared" si="15"/>
        <v>23456815</v>
      </c>
      <c r="M42" s="346">
        <f t="shared" si="15"/>
        <v>33823489</v>
      </c>
      <c r="N42" s="346">
        <f t="shared" si="15"/>
        <v>11559876</v>
      </c>
      <c r="O42" s="346"/>
      <c r="P42" s="346">
        <f>SUM(P37:P41)</f>
        <v>32693272.913158368</v>
      </c>
      <c r="Q42" s="346">
        <f>P42+N42</f>
        <v>44253148.913158372</v>
      </c>
      <c r="S42" s="335"/>
      <c r="AU42" s="349"/>
      <c r="BB42" s="349"/>
      <c r="BF42" s="349"/>
      <c r="BJ42" s="349"/>
    </row>
    <row r="43" spans="1:62" x14ac:dyDescent="0.6">
      <c r="S43" s="348"/>
    </row>
    <row r="44" spans="1:62" x14ac:dyDescent="0.6">
      <c r="A44" s="590" t="s">
        <v>166</v>
      </c>
      <c r="B44" s="590" t="s">
        <v>81</v>
      </c>
      <c r="C44" s="590" t="s">
        <v>80</v>
      </c>
      <c r="D44" s="590" t="s">
        <v>79</v>
      </c>
      <c r="E44" s="590" t="s">
        <v>78</v>
      </c>
      <c r="F44" s="590" t="s">
        <v>77</v>
      </c>
      <c r="G44" s="590" t="s">
        <v>76</v>
      </c>
      <c r="H44" s="590" t="s">
        <v>75</v>
      </c>
      <c r="I44" s="590" t="s">
        <v>74</v>
      </c>
      <c r="J44" s="590" t="s">
        <v>73</v>
      </c>
      <c r="K44" s="590" t="s">
        <v>72</v>
      </c>
      <c r="L44" s="590" t="s">
        <v>71</v>
      </c>
      <c r="M44" s="590" t="s">
        <v>70</v>
      </c>
      <c r="N44" s="591" t="s">
        <v>69</v>
      </c>
      <c r="O44" s="590" t="s">
        <v>68</v>
      </c>
      <c r="P44" s="590" t="s">
        <v>67</v>
      </c>
      <c r="Q44" s="590" t="s">
        <v>66</v>
      </c>
      <c r="R44" s="200" t="s">
        <v>173</v>
      </c>
      <c r="S44" s="319"/>
    </row>
    <row r="45" spans="1:62" x14ac:dyDescent="0.6">
      <c r="A45" s="590" t="s">
        <v>231</v>
      </c>
      <c r="B45" s="595">
        <f t="shared" ref="B45:N45" si="16">B37/B42</f>
        <v>0.92694281067985651</v>
      </c>
      <c r="C45" s="595">
        <f t="shared" si="16"/>
        <v>0.98415392924760992</v>
      </c>
      <c r="D45" s="595">
        <f t="shared" si="16"/>
        <v>0.97719863122681838</v>
      </c>
      <c r="E45" s="595">
        <f t="shared" si="16"/>
        <v>0.13991208162354107</v>
      </c>
      <c r="F45" s="595">
        <f t="shared" si="16"/>
        <v>0.14224047831817568</v>
      </c>
      <c r="G45" s="595">
        <f t="shared" si="16"/>
        <v>0.10644468814293802</v>
      </c>
      <c r="H45" s="595">
        <f t="shared" si="16"/>
        <v>0.12131005730247993</v>
      </c>
      <c r="I45" s="595">
        <f t="shared" si="16"/>
        <v>7.7072039917733287E-2</v>
      </c>
      <c r="J45" s="595">
        <f t="shared" si="16"/>
        <v>0</v>
      </c>
      <c r="K45" s="595">
        <f t="shared" si="16"/>
        <v>0.10713326883697472</v>
      </c>
      <c r="L45" s="595">
        <f t="shared" si="16"/>
        <v>7.8529033033683387E-2</v>
      </c>
      <c r="M45" s="595">
        <f t="shared" si="16"/>
        <v>5.8331445345570353E-2</v>
      </c>
      <c r="N45" s="595">
        <f t="shared" si="16"/>
        <v>0</v>
      </c>
      <c r="O45" s="595"/>
      <c r="P45" s="595"/>
      <c r="Q45" s="595"/>
      <c r="R45" s="344">
        <f>U168/U169</f>
        <v>1.0180206095166575E-2</v>
      </c>
    </row>
    <row r="46" spans="1:62" x14ac:dyDescent="0.6">
      <c r="A46" s="590" t="s">
        <v>230</v>
      </c>
      <c r="B46" s="595">
        <f t="shared" ref="B46:N46" si="17">B38/B42</f>
        <v>5.2243501602891963E-2</v>
      </c>
      <c r="C46" s="595">
        <f t="shared" si="17"/>
        <v>0</v>
      </c>
      <c r="D46" s="595">
        <f t="shared" si="17"/>
        <v>5.2369896319249569E-3</v>
      </c>
      <c r="E46" s="595">
        <f t="shared" si="17"/>
        <v>1.4414247691036507E-2</v>
      </c>
      <c r="F46" s="595">
        <f t="shared" si="17"/>
        <v>0</v>
      </c>
      <c r="G46" s="595">
        <f t="shared" si="17"/>
        <v>0</v>
      </c>
      <c r="H46" s="595">
        <f t="shared" si="17"/>
        <v>1.2985450701904275E-2</v>
      </c>
      <c r="I46" s="595">
        <f t="shared" si="17"/>
        <v>3.6980623312679449E-2</v>
      </c>
      <c r="J46" s="595">
        <f t="shared" si="17"/>
        <v>5.728756694102019E-2</v>
      </c>
      <c r="K46" s="595">
        <f t="shared" si="17"/>
        <v>3.050277769359986E-2</v>
      </c>
      <c r="L46" s="595">
        <f t="shared" si="17"/>
        <v>1.7078618729780663E-2</v>
      </c>
      <c r="M46" s="595">
        <f t="shared" si="17"/>
        <v>1.281996662142099E-2</v>
      </c>
      <c r="N46" s="595">
        <f t="shared" si="17"/>
        <v>7.2890055222045638E-3</v>
      </c>
      <c r="O46" s="595"/>
      <c r="P46" s="595"/>
      <c r="Q46" s="595"/>
      <c r="R46" s="344">
        <f>U166/U169</f>
        <v>2.1052254984731705E-2</v>
      </c>
      <c r="S46" s="319"/>
    </row>
    <row r="47" spans="1:62" x14ac:dyDescent="0.6">
      <c r="A47" s="590" t="s">
        <v>229</v>
      </c>
      <c r="B47" s="595">
        <f t="shared" ref="B47:N47" si="18">B39/B42</f>
        <v>0</v>
      </c>
      <c r="C47" s="595">
        <f t="shared" si="18"/>
        <v>0</v>
      </c>
      <c r="D47" s="595">
        <f t="shared" si="18"/>
        <v>1.7564379141256709E-2</v>
      </c>
      <c r="E47" s="595">
        <f t="shared" si="18"/>
        <v>0.40128531159412639</v>
      </c>
      <c r="F47" s="595">
        <f t="shared" si="18"/>
        <v>0.1539223700770318</v>
      </c>
      <c r="G47" s="595">
        <f t="shared" si="18"/>
        <v>0.12919711231961675</v>
      </c>
      <c r="H47" s="595">
        <f t="shared" si="18"/>
        <v>9.5671823956188395E-2</v>
      </c>
      <c r="I47" s="595">
        <f t="shared" si="18"/>
        <v>8.9044849326949435E-2</v>
      </c>
      <c r="J47" s="595">
        <f t="shared" si="18"/>
        <v>0.1000192304752645</v>
      </c>
      <c r="K47" s="595">
        <f t="shared" si="18"/>
        <v>0.19504128279632982</v>
      </c>
      <c r="L47" s="595">
        <f t="shared" si="18"/>
        <v>0.20291160585953377</v>
      </c>
      <c r="M47" s="595">
        <f t="shared" si="18"/>
        <v>0.20774057342221555</v>
      </c>
      <c r="N47" s="595">
        <f t="shared" si="18"/>
        <v>0.27586939513884057</v>
      </c>
      <c r="O47" s="595"/>
      <c r="P47" s="595"/>
      <c r="Q47" s="595"/>
      <c r="R47" s="344">
        <f>U164/U169</f>
        <v>0.21977766285717806</v>
      </c>
      <c r="S47" s="319"/>
    </row>
    <row r="48" spans="1:62" x14ac:dyDescent="0.6">
      <c r="A48" s="590" t="s">
        <v>228</v>
      </c>
      <c r="B48" s="595">
        <f t="shared" ref="B48:N48" si="19">B40/B42</f>
        <v>0</v>
      </c>
      <c r="C48" s="595">
        <f t="shared" si="19"/>
        <v>0</v>
      </c>
      <c r="D48" s="595">
        <f t="shared" si="19"/>
        <v>0</v>
      </c>
      <c r="E48" s="595">
        <f t="shared" si="19"/>
        <v>0.43351377719543838</v>
      </c>
      <c r="F48" s="595">
        <f t="shared" si="19"/>
        <v>0.69411189342078494</v>
      </c>
      <c r="G48" s="595">
        <f t="shared" si="19"/>
        <v>0.73603981378169137</v>
      </c>
      <c r="H48" s="595">
        <f t="shared" si="19"/>
        <v>0.75310132917079187</v>
      </c>
      <c r="I48" s="595">
        <f t="shared" si="19"/>
        <v>0.78095009893039979</v>
      </c>
      <c r="J48" s="595">
        <f t="shared" si="19"/>
        <v>0.83225080918027783</v>
      </c>
      <c r="K48" s="595">
        <f t="shared" si="19"/>
        <v>0.6559565199316133</v>
      </c>
      <c r="L48" s="595">
        <f t="shared" si="19"/>
        <v>0.68996916248007245</v>
      </c>
      <c r="M48" s="595">
        <f t="shared" si="19"/>
        <v>0.7131261946394708</v>
      </c>
      <c r="N48" s="595">
        <f t="shared" si="19"/>
        <v>0.71105978991470153</v>
      </c>
      <c r="O48" s="595"/>
      <c r="P48" s="595"/>
      <c r="Q48" s="595"/>
      <c r="R48" s="344">
        <f>U165/U169</f>
        <v>0.74644875956848966</v>
      </c>
    </row>
    <row r="49" spans="1:38" x14ac:dyDescent="0.6">
      <c r="A49" s="590" t="s">
        <v>227</v>
      </c>
      <c r="B49" s="595">
        <f t="shared" ref="B49:N49" si="20">B41/B42</f>
        <v>2.0813687717251571E-2</v>
      </c>
      <c r="C49" s="595">
        <f t="shared" si="20"/>
        <v>1.5846070752390033E-2</v>
      </c>
      <c r="D49" s="595">
        <f t="shared" si="20"/>
        <v>0</v>
      </c>
      <c r="E49" s="595">
        <f t="shared" si="20"/>
        <v>1.0874581895857622E-2</v>
      </c>
      <c r="F49" s="595">
        <f t="shared" si="20"/>
        <v>9.7252581840076447E-3</v>
      </c>
      <c r="G49" s="595">
        <f t="shared" si="20"/>
        <v>2.8318385755753885E-2</v>
      </c>
      <c r="H49" s="595">
        <f t="shared" si="20"/>
        <v>1.6931338868635553E-2</v>
      </c>
      <c r="I49" s="595">
        <f t="shared" si="20"/>
        <v>1.5952388512238055E-2</v>
      </c>
      <c r="J49" s="595">
        <f t="shared" si="20"/>
        <v>1.0442393403437443E-2</v>
      </c>
      <c r="K49" s="595">
        <f t="shared" si="20"/>
        <v>1.136615074148224E-2</v>
      </c>
      <c r="L49" s="595">
        <f t="shared" si="20"/>
        <v>1.1511579896929741E-2</v>
      </c>
      <c r="M49" s="595">
        <f t="shared" si="20"/>
        <v>7.9818199713222963E-3</v>
      </c>
      <c r="N49" s="595">
        <f t="shared" si="20"/>
        <v>5.7818094242533397E-3</v>
      </c>
      <c r="O49" s="595"/>
      <c r="P49" s="595"/>
      <c r="Q49" s="595"/>
      <c r="R49" s="344">
        <f>U167/U169</f>
        <v>2.5411164944340436E-3</v>
      </c>
      <c r="S49" s="319"/>
    </row>
    <row r="50" spans="1:38" x14ac:dyDescent="0.6">
      <c r="A50" s="590" t="s">
        <v>100</v>
      </c>
      <c r="B50" s="595">
        <f t="shared" ref="B50:N50" si="21">B42/B42</f>
        <v>1</v>
      </c>
      <c r="C50" s="595">
        <f t="shared" si="21"/>
        <v>1</v>
      </c>
      <c r="D50" s="595">
        <f t="shared" si="21"/>
        <v>1</v>
      </c>
      <c r="E50" s="595">
        <f t="shared" si="21"/>
        <v>1</v>
      </c>
      <c r="F50" s="595">
        <f t="shared" si="21"/>
        <v>1</v>
      </c>
      <c r="G50" s="595">
        <f t="shared" si="21"/>
        <v>1</v>
      </c>
      <c r="H50" s="595">
        <f t="shared" si="21"/>
        <v>1</v>
      </c>
      <c r="I50" s="595">
        <f t="shared" si="21"/>
        <v>1</v>
      </c>
      <c r="J50" s="595">
        <f t="shared" si="21"/>
        <v>1</v>
      </c>
      <c r="K50" s="595">
        <f t="shared" si="21"/>
        <v>1</v>
      </c>
      <c r="L50" s="595">
        <f t="shared" si="21"/>
        <v>1</v>
      </c>
      <c r="M50" s="595">
        <f t="shared" si="21"/>
        <v>1</v>
      </c>
      <c r="N50" s="595">
        <f t="shared" si="21"/>
        <v>1</v>
      </c>
      <c r="O50" s="595"/>
      <c r="P50" s="595"/>
      <c r="Q50" s="595"/>
      <c r="R50" s="344"/>
    </row>
    <row r="51" spans="1:38" x14ac:dyDescent="0.6">
      <c r="G51" s="319"/>
      <c r="J51" s="319"/>
      <c r="K51" s="319"/>
      <c r="L51" s="319"/>
      <c r="O51" s="319"/>
      <c r="P51" s="319"/>
      <c r="Q51" s="319"/>
    </row>
    <row r="52" spans="1:38" x14ac:dyDescent="0.6">
      <c r="A52" s="252" t="s">
        <v>165</v>
      </c>
      <c r="B52" s="252" t="s">
        <v>81</v>
      </c>
      <c r="C52" s="252" t="s">
        <v>80</v>
      </c>
      <c r="D52" s="252" t="s">
        <v>79</v>
      </c>
      <c r="E52" s="252" t="s">
        <v>78</v>
      </c>
      <c r="F52" s="252" t="s">
        <v>77</v>
      </c>
      <c r="G52" s="252" t="s">
        <v>76</v>
      </c>
      <c r="H52" s="252" t="s">
        <v>75</v>
      </c>
      <c r="I52" s="252" t="s">
        <v>74</v>
      </c>
      <c r="J52" s="252" t="s">
        <v>73</v>
      </c>
      <c r="K52" s="252" t="s">
        <v>72</v>
      </c>
      <c r="L52" s="252" t="s">
        <v>71</v>
      </c>
      <c r="M52" s="252" t="s">
        <v>70</v>
      </c>
      <c r="N52" s="285" t="s">
        <v>69</v>
      </c>
      <c r="O52" s="252" t="s">
        <v>68</v>
      </c>
      <c r="P52" s="252" t="s">
        <v>67</v>
      </c>
      <c r="Q52" s="252" t="s">
        <v>66</v>
      </c>
    </row>
    <row r="53" spans="1:38" x14ac:dyDescent="0.6">
      <c r="A53" s="330" t="s">
        <v>231</v>
      </c>
      <c r="B53" s="346">
        <f t="shared" ref="B53:I53" si="22">B37*1000000/B20</f>
        <v>7854076.907184286</v>
      </c>
      <c r="C53" s="346">
        <f t="shared" si="22"/>
        <v>7828175.7574676611</v>
      </c>
      <c r="D53" s="346">
        <f t="shared" si="22"/>
        <v>5335715.2357800426</v>
      </c>
      <c r="E53" s="346">
        <f t="shared" si="22"/>
        <v>6104288.4369472871</v>
      </c>
      <c r="F53" s="346">
        <f t="shared" si="22"/>
        <v>6285043.2892845878</v>
      </c>
      <c r="G53" s="346">
        <f t="shared" si="22"/>
        <v>7918029.4542826163</v>
      </c>
      <c r="H53" s="346">
        <f t="shared" si="22"/>
        <v>7738713.9955686852</v>
      </c>
      <c r="I53" s="346">
        <f t="shared" si="22"/>
        <v>8016666.7581015918</v>
      </c>
      <c r="J53" s="346">
        <v>0</v>
      </c>
      <c r="K53" s="346">
        <f t="shared" ref="K53:M56" si="23">K37*1000000/K20</f>
        <v>15695524.61905718</v>
      </c>
      <c r="L53" s="346">
        <f t="shared" si="23"/>
        <v>15897205.537144436</v>
      </c>
      <c r="M53" s="346">
        <f t="shared" si="23"/>
        <v>15551384.115773875</v>
      </c>
      <c r="N53" s="347">
        <v>0</v>
      </c>
      <c r="O53" s="346"/>
      <c r="P53" s="346">
        <f>P168</f>
        <v>18012916</v>
      </c>
      <c r="Q53" s="346"/>
      <c r="S53" s="320"/>
    </row>
    <row r="54" spans="1:38" x14ac:dyDescent="0.6">
      <c r="A54" s="330" t="s">
        <v>230</v>
      </c>
      <c r="B54" s="346">
        <f>B38*1000000/B21</f>
        <v>8698425.5866917521</v>
      </c>
      <c r="C54" s="346">
        <v>0</v>
      </c>
      <c r="D54" s="346">
        <f>D38*1000000/D21</f>
        <v>5432437.2759856628</v>
      </c>
      <c r="E54" s="346">
        <f>E38*1000000/E21</f>
        <v>5835075.9159923634</v>
      </c>
      <c r="F54" s="346">
        <v>0</v>
      </c>
      <c r="G54" s="346">
        <v>0</v>
      </c>
      <c r="H54" s="346">
        <f t="shared" ref="H54:J56" si="24">H38*1000000/H21</f>
        <v>10803521.709684702</v>
      </c>
      <c r="I54" s="346">
        <f t="shared" si="24"/>
        <v>11595881.915157529</v>
      </c>
      <c r="J54" s="346">
        <f t="shared" si="24"/>
        <v>12430794.430794431</v>
      </c>
      <c r="K54" s="346">
        <f t="shared" si="23"/>
        <v>14243404.678944748</v>
      </c>
      <c r="L54" s="346">
        <f t="shared" si="23"/>
        <v>14243404.678944748</v>
      </c>
      <c r="M54" s="346">
        <f t="shared" si="23"/>
        <v>14553802.779083038</v>
      </c>
      <c r="N54" s="347">
        <f>N38*1000000/N21</f>
        <v>17690531.177829098</v>
      </c>
      <c r="O54" s="346"/>
      <c r="P54" s="346">
        <f>P166</f>
        <v>20384490</v>
      </c>
      <c r="Q54" s="346"/>
      <c r="S54" s="320"/>
    </row>
    <row r="55" spans="1:38" x14ac:dyDescent="0.6">
      <c r="A55" s="330" t="s">
        <v>229</v>
      </c>
      <c r="B55" s="346">
        <v>0</v>
      </c>
      <c r="C55" s="346">
        <v>0</v>
      </c>
      <c r="D55" s="346">
        <f>D39*1000000/D22</f>
        <v>8475781.5756565239</v>
      </c>
      <c r="E55" s="346">
        <v>0</v>
      </c>
      <c r="F55" s="346">
        <f>F39*1000000/F22</f>
        <v>12410105.532459226</v>
      </c>
      <c r="G55" s="346">
        <f>G39*1000000/G22</f>
        <v>14458448.729929488</v>
      </c>
      <c r="H55" s="346">
        <f t="shared" si="24"/>
        <v>15193467.300593229</v>
      </c>
      <c r="I55" s="346">
        <f t="shared" si="24"/>
        <v>16481397.959681749</v>
      </c>
      <c r="J55" s="346">
        <f t="shared" si="24"/>
        <v>23304458.71075543</v>
      </c>
      <c r="K55" s="346">
        <f t="shared" si="23"/>
        <v>25385360.922820788</v>
      </c>
      <c r="L55" s="346">
        <f t="shared" si="23"/>
        <v>27956230.103257485</v>
      </c>
      <c r="M55" s="346">
        <f t="shared" si="23"/>
        <v>29025334.390826248</v>
      </c>
      <c r="N55" s="347">
        <f>N39*1000000/N22</f>
        <v>39241700.095981099</v>
      </c>
      <c r="O55" s="346"/>
      <c r="P55" s="346">
        <f>P164</f>
        <v>33826427</v>
      </c>
      <c r="Q55" s="346"/>
      <c r="S55" s="320"/>
    </row>
    <row r="56" spans="1:38" x14ac:dyDescent="0.6">
      <c r="A56" s="330" t="s">
        <v>228</v>
      </c>
      <c r="B56" s="346">
        <v>0</v>
      </c>
      <c r="C56" s="346">
        <v>0</v>
      </c>
      <c r="D56" s="346">
        <v>0</v>
      </c>
      <c r="E56" s="346">
        <f>E40*1000000/E23</f>
        <v>12938762.924605768</v>
      </c>
      <c r="F56" s="346">
        <f>F40*1000000/F23</f>
        <v>13779090.093069401</v>
      </c>
      <c r="G56" s="346">
        <f>G40*1000000/G23</f>
        <v>14626468.183450144</v>
      </c>
      <c r="H56" s="346">
        <f t="shared" si="24"/>
        <v>16276207.324582409</v>
      </c>
      <c r="I56" s="346">
        <f t="shared" si="24"/>
        <v>18373819.888416789</v>
      </c>
      <c r="J56" s="346">
        <f t="shared" si="24"/>
        <v>21298781.960261576</v>
      </c>
      <c r="K56" s="346">
        <f t="shared" si="23"/>
        <v>24696188.234754514</v>
      </c>
      <c r="L56" s="346">
        <f t="shared" si="23"/>
        <v>30467080.939436611</v>
      </c>
      <c r="M56" s="346">
        <f t="shared" si="23"/>
        <v>33189563.906008556</v>
      </c>
      <c r="N56" s="347">
        <f>N40*1000000/N23</f>
        <v>41368746.068094313</v>
      </c>
      <c r="O56" s="346"/>
      <c r="P56" s="346">
        <f>B177</f>
        <v>41580000</v>
      </c>
      <c r="Q56" s="346"/>
      <c r="S56" s="319"/>
    </row>
    <row r="57" spans="1:38" x14ac:dyDescent="0.6">
      <c r="A57" s="330" t="s">
        <v>227</v>
      </c>
      <c r="B57" s="346">
        <f>B41*1000000/B24</f>
        <v>1375186.6463385883</v>
      </c>
      <c r="C57" s="346">
        <f>C41*1000000/C24</f>
        <v>1522357.3047599422</v>
      </c>
      <c r="D57" s="346">
        <v>0</v>
      </c>
      <c r="E57" s="346">
        <f>E41*1000000/E24</f>
        <v>1509406.6119051701</v>
      </c>
      <c r="F57" s="346">
        <f>F41*1000000/F24</f>
        <v>1595873.4704504036</v>
      </c>
      <c r="G57" s="346">
        <v>0</v>
      </c>
      <c r="H57" s="346">
        <v>0</v>
      </c>
      <c r="I57" s="346">
        <v>0</v>
      </c>
      <c r="J57" s="346">
        <f>J41*1000000/J24</f>
        <v>2500022.5907016671</v>
      </c>
      <c r="K57" s="346">
        <v>0</v>
      </c>
      <c r="L57" s="346">
        <v>0</v>
      </c>
      <c r="M57" s="346">
        <v>0</v>
      </c>
      <c r="N57" s="347">
        <f>N41*1000000/N24</f>
        <v>3650101.0321664573</v>
      </c>
      <c r="O57" s="346"/>
      <c r="P57" s="346">
        <f>T167</f>
        <v>3650101</v>
      </c>
      <c r="Q57" s="346"/>
    </row>
    <row r="58" spans="1:38" x14ac:dyDescent="0.6">
      <c r="W58" s="713"/>
      <c r="AL58" s="343"/>
    </row>
    <row r="59" spans="1:38" x14ac:dyDescent="0.6">
      <c r="W59" s="713"/>
      <c r="AL59" s="343"/>
    </row>
    <row r="60" spans="1:38" x14ac:dyDescent="0.6">
      <c r="A60" s="590" t="s">
        <v>165</v>
      </c>
      <c r="B60" s="590" t="s">
        <v>81</v>
      </c>
      <c r="C60" s="590" t="s">
        <v>80</v>
      </c>
      <c r="D60" s="590" t="s">
        <v>79</v>
      </c>
      <c r="E60" s="590" t="s">
        <v>78</v>
      </c>
      <c r="F60" s="590" t="s">
        <v>77</v>
      </c>
      <c r="G60" s="590" t="s">
        <v>76</v>
      </c>
      <c r="H60" s="590" t="s">
        <v>75</v>
      </c>
      <c r="I60" s="590" t="s">
        <v>74</v>
      </c>
      <c r="J60" s="590" t="s">
        <v>73</v>
      </c>
      <c r="K60" s="590" t="s">
        <v>72</v>
      </c>
      <c r="L60" s="590" t="s">
        <v>71</v>
      </c>
      <c r="M60" s="590" t="s">
        <v>70</v>
      </c>
      <c r="N60" s="591" t="s">
        <v>69</v>
      </c>
      <c r="O60" s="590" t="s">
        <v>68</v>
      </c>
      <c r="P60" s="590" t="s">
        <v>67</v>
      </c>
      <c r="Q60" s="590" t="s">
        <v>66</v>
      </c>
      <c r="R60" s="200" t="s">
        <v>173</v>
      </c>
      <c r="S60" s="200" t="s">
        <v>223</v>
      </c>
      <c r="W60" s="713"/>
      <c r="AL60" s="343"/>
    </row>
    <row r="61" spans="1:38" x14ac:dyDescent="0.6">
      <c r="A61" s="590" t="s">
        <v>231</v>
      </c>
      <c r="B61" s="595">
        <v>0</v>
      </c>
      <c r="C61" s="595">
        <v>0</v>
      </c>
      <c r="D61" s="595">
        <v>0</v>
      </c>
      <c r="E61" s="595">
        <f t="shared" ref="E61:N61" si="25">E53/E56</f>
        <v>0.47178300371658438</v>
      </c>
      <c r="F61" s="595">
        <f t="shared" si="25"/>
        <v>0.45612905110808699</v>
      </c>
      <c r="G61" s="595">
        <f t="shared" si="25"/>
        <v>0.54134937805709449</v>
      </c>
      <c r="H61" s="595">
        <f t="shared" si="25"/>
        <v>0.47546174862743917</v>
      </c>
      <c r="I61" s="595">
        <f t="shared" si="25"/>
        <v>0.43630920553191299</v>
      </c>
      <c r="J61" s="595">
        <f t="shared" si="25"/>
        <v>0</v>
      </c>
      <c r="K61" s="595">
        <f t="shared" si="25"/>
        <v>0.63554441964323638</v>
      </c>
      <c r="L61" s="595">
        <f t="shared" si="25"/>
        <v>0.52178302111532715</v>
      </c>
      <c r="M61" s="595">
        <f t="shared" si="25"/>
        <v>0.46856247222213399</v>
      </c>
      <c r="N61" s="595">
        <f t="shared" si="25"/>
        <v>0</v>
      </c>
      <c r="O61" s="595"/>
      <c r="P61" s="595"/>
      <c r="Q61" s="595">
        <f>M61</f>
        <v>0.46856247222213399</v>
      </c>
      <c r="R61" s="344">
        <f>P168/P165</f>
        <v>0.43378631499299458</v>
      </c>
      <c r="S61" s="344">
        <f>T168/T165</f>
        <v>0.42389753064240648</v>
      </c>
      <c r="W61" s="713"/>
      <c r="AL61" s="343"/>
    </row>
    <row r="62" spans="1:38" x14ac:dyDescent="0.6">
      <c r="A62" s="590" t="s">
        <v>230</v>
      </c>
      <c r="B62" s="595">
        <v>0</v>
      </c>
      <c r="C62" s="595">
        <v>0</v>
      </c>
      <c r="D62" s="595">
        <v>0</v>
      </c>
      <c r="E62" s="595">
        <f t="shared" ref="E62:N62" si="26">E54/E56</f>
        <v>0.45097633753654642</v>
      </c>
      <c r="F62" s="595">
        <f t="shared" si="26"/>
        <v>0</v>
      </c>
      <c r="G62" s="595">
        <f t="shared" si="26"/>
        <v>0</v>
      </c>
      <c r="H62" s="595">
        <f t="shared" si="26"/>
        <v>0.66376161806244882</v>
      </c>
      <c r="I62" s="595">
        <f t="shared" si="26"/>
        <v>0.63110893573457727</v>
      </c>
      <c r="J62" s="595">
        <f t="shared" si="26"/>
        <v>0.58363874769868596</v>
      </c>
      <c r="K62" s="595">
        <f t="shared" si="26"/>
        <v>0.57674506460475761</v>
      </c>
      <c r="L62" s="595">
        <f t="shared" si="26"/>
        <v>0.46750145533332255</v>
      </c>
      <c r="M62" s="595">
        <f t="shared" si="26"/>
        <v>0.43850539345135092</v>
      </c>
      <c r="N62" s="595">
        <f t="shared" si="26"/>
        <v>0.42763034559253749</v>
      </c>
      <c r="O62" s="595"/>
      <c r="P62" s="595"/>
      <c r="Q62" s="595">
        <f>N62</f>
        <v>0.42763034559253749</v>
      </c>
      <c r="R62" s="344">
        <f>P166/P165</f>
        <v>0.49089846419710986</v>
      </c>
      <c r="S62" s="344">
        <f>T166/T165</f>
        <v>0.48265438421001278</v>
      </c>
      <c r="W62" s="713"/>
      <c r="AL62" s="343"/>
    </row>
    <row r="63" spans="1:38" x14ac:dyDescent="0.6">
      <c r="A63" s="590" t="s">
        <v>229</v>
      </c>
      <c r="B63" s="595">
        <v>0</v>
      </c>
      <c r="C63" s="595">
        <v>0</v>
      </c>
      <c r="D63" s="595">
        <v>0</v>
      </c>
      <c r="E63" s="595">
        <f t="shared" ref="E63:N63" si="27">E55/E56</f>
        <v>0</v>
      </c>
      <c r="F63" s="595">
        <f t="shared" si="27"/>
        <v>0.9006476805533955</v>
      </c>
      <c r="G63" s="595">
        <f t="shared" si="27"/>
        <v>0.98851264355733059</v>
      </c>
      <c r="H63" s="595">
        <f t="shared" si="27"/>
        <v>0.93347712999736199</v>
      </c>
      <c r="I63" s="595">
        <f t="shared" si="27"/>
        <v>0.89700443673511465</v>
      </c>
      <c r="J63" s="595">
        <f t="shared" si="27"/>
        <v>1.0941686127514694</v>
      </c>
      <c r="K63" s="595">
        <f t="shared" si="27"/>
        <v>1.0279060347902764</v>
      </c>
      <c r="L63" s="595">
        <f t="shared" si="27"/>
        <v>0.91758807346295268</v>
      </c>
      <c r="M63" s="595">
        <f t="shared" si="27"/>
        <v>0.87453196049893178</v>
      </c>
      <c r="N63" s="595">
        <f t="shared" si="27"/>
        <v>0.94858326214161703</v>
      </c>
      <c r="O63" s="595"/>
      <c r="P63" s="595"/>
      <c r="Q63" s="595">
        <f>N63</f>
        <v>0.94858326214161703</v>
      </c>
      <c r="R63" s="344">
        <f>P164/P165</f>
        <v>0.81460664768044977</v>
      </c>
      <c r="S63" s="344">
        <f>T164/T165</f>
        <v>0.86970983981055761</v>
      </c>
      <c r="W63" s="713"/>
      <c r="AL63" s="343"/>
    </row>
    <row r="64" spans="1:38" x14ac:dyDescent="0.6">
      <c r="A64" s="590" t="s">
        <v>228</v>
      </c>
      <c r="B64" s="595">
        <v>0</v>
      </c>
      <c r="C64" s="595">
        <v>0</v>
      </c>
      <c r="D64" s="595">
        <v>0</v>
      </c>
      <c r="E64" s="595">
        <f t="shared" ref="E64:N64" si="28">E56/E56</f>
        <v>1</v>
      </c>
      <c r="F64" s="595">
        <f t="shared" si="28"/>
        <v>1</v>
      </c>
      <c r="G64" s="595">
        <f t="shared" si="28"/>
        <v>1</v>
      </c>
      <c r="H64" s="595">
        <f t="shared" si="28"/>
        <v>1</v>
      </c>
      <c r="I64" s="595">
        <f t="shared" si="28"/>
        <v>1</v>
      </c>
      <c r="J64" s="595">
        <f t="shared" si="28"/>
        <v>1</v>
      </c>
      <c r="K64" s="595">
        <f t="shared" si="28"/>
        <v>1</v>
      </c>
      <c r="L64" s="595">
        <f t="shared" si="28"/>
        <v>1</v>
      </c>
      <c r="M64" s="595">
        <f t="shared" si="28"/>
        <v>1</v>
      </c>
      <c r="N64" s="595">
        <f t="shared" si="28"/>
        <v>1</v>
      </c>
      <c r="O64" s="595"/>
      <c r="P64" s="896"/>
      <c r="Q64" s="595">
        <f>N64</f>
        <v>1</v>
      </c>
      <c r="R64" s="344">
        <f>T165/T165</f>
        <v>1</v>
      </c>
      <c r="S64" s="344">
        <f>T165/T165</f>
        <v>1</v>
      </c>
      <c r="W64" s="713"/>
      <c r="AL64" s="343"/>
    </row>
    <row r="65" spans="1:38" x14ac:dyDescent="0.6">
      <c r="A65" s="590" t="s">
        <v>227</v>
      </c>
      <c r="B65" s="595">
        <v>0</v>
      </c>
      <c r="C65" s="595">
        <v>0</v>
      </c>
      <c r="D65" s="595">
        <v>0</v>
      </c>
      <c r="E65" s="595">
        <f t="shared" ref="E65:N65" si="29">E57/E56</f>
        <v>0.11665772227998067</v>
      </c>
      <c r="F65" s="595">
        <f t="shared" si="29"/>
        <v>0.11581849452113643</v>
      </c>
      <c r="G65" s="595">
        <f t="shared" si="29"/>
        <v>0</v>
      </c>
      <c r="H65" s="595">
        <f t="shared" si="29"/>
        <v>0</v>
      </c>
      <c r="I65" s="595">
        <f t="shared" si="29"/>
        <v>0</v>
      </c>
      <c r="J65" s="595">
        <f t="shared" si="29"/>
        <v>0.11737866490985777</v>
      </c>
      <c r="K65" s="595">
        <f t="shared" si="29"/>
        <v>0</v>
      </c>
      <c r="L65" s="595">
        <f t="shared" si="29"/>
        <v>0</v>
      </c>
      <c r="M65" s="595">
        <f t="shared" si="29"/>
        <v>0</v>
      </c>
      <c r="N65" s="595">
        <f t="shared" si="29"/>
        <v>8.8233301201788211E-2</v>
      </c>
      <c r="O65" s="595"/>
      <c r="P65" s="595"/>
      <c r="Q65" s="595">
        <f>N65</f>
        <v>8.8233301201788211E-2</v>
      </c>
      <c r="R65" s="344">
        <f>T167/P165</f>
        <v>8.7901584737431981E-2</v>
      </c>
      <c r="S65" s="344">
        <f>T167/T165</f>
        <v>8.5897741403744884E-2</v>
      </c>
      <c r="W65" s="713"/>
      <c r="AL65" s="343"/>
    </row>
    <row r="66" spans="1:38" x14ac:dyDescent="0.6">
      <c r="W66" s="713"/>
      <c r="AL66" s="343"/>
    </row>
    <row r="67" spans="1:38" x14ac:dyDescent="0.6">
      <c r="W67" s="713"/>
      <c r="AL67" s="343"/>
    </row>
    <row r="68" spans="1:38" x14ac:dyDescent="0.6">
      <c r="W68" s="713"/>
      <c r="AL68" s="343"/>
    </row>
    <row r="70" spans="1:38" ht="23.25" thickBot="1" x14ac:dyDescent="0.65"/>
    <row r="71" spans="1:38" x14ac:dyDescent="0.6">
      <c r="A71" s="333" t="s">
        <v>152</v>
      </c>
      <c r="B71" s="332" t="s">
        <v>151</v>
      </c>
      <c r="C71" s="332" t="s">
        <v>150</v>
      </c>
      <c r="D71" s="332" t="s">
        <v>72</v>
      </c>
      <c r="E71" s="332" t="s">
        <v>71</v>
      </c>
      <c r="F71" s="332" t="s">
        <v>149</v>
      </c>
      <c r="G71" s="332" t="s">
        <v>69</v>
      </c>
      <c r="H71" s="332" t="s">
        <v>68</v>
      </c>
      <c r="I71" s="332" t="s">
        <v>67</v>
      </c>
      <c r="J71" s="331" t="s">
        <v>66</v>
      </c>
    </row>
    <row r="72" spans="1:38" x14ac:dyDescent="0.6">
      <c r="A72" s="330" t="s">
        <v>148</v>
      </c>
      <c r="B72" s="329">
        <v>9012897</v>
      </c>
      <c r="C72" s="342">
        <f>4411415-3329215</f>
        <v>1082200</v>
      </c>
      <c r="D72" s="329">
        <v>5925745</v>
      </c>
      <c r="E72" s="329">
        <v>9896670</v>
      </c>
      <c r="F72" s="329">
        <v>13312363</v>
      </c>
      <c r="G72" s="329">
        <v>4867905</v>
      </c>
      <c r="H72" s="340"/>
      <c r="I72" s="304">
        <f>I96</f>
        <v>11466579.335383287</v>
      </c>
      <c r="J72" s="339"/>
    </row>
    <row r="73" spans="1:38" x14ac:dyDescent="0.6">
      <c r="A73" s="330" t="s">
        <v>147</v>
      </c>
      <c r="B73" s="329">
        <v>135995</v>
      </c>
      <c r="C73" s="329">
        <v>40242</v>
      </c>
      <c r="D73" s="329">
        <v>76800</v>
      </c>
      <c r="E73" s="329">
        <v>111759</v>
      </c>
      <c r="F73" s="329">
        <v>165834</v>
      </c>
      <c r="G73" s="329">
        <v>55848</v>
      </c>
      <c r="H73" s="340"/>
      <c r="I73" s="304">
        <f>F73*1.3</f>
        <v>215584.2</v>
      </c>
      <c r="J73" s="339"/>
    </row>
    <row r="74" spans="1:38" x14ac:dyDescent="0.6">
      <c r="A74" s="330" t="s">
        <v>146</v>
      </c>
      <c r="B74" s="329">
        <v>5519074</v>
      </c>
      <c r="C74" s="329">
        <v>1819318</v>
      </c>
      <c r="D74" s="329">
        <v>3958184</v>
      </c>
      <c r="E74" s="329">
        <v>6581162</v>
      </c>
      <c r="F74" s="329">
        <v>11796277</v>
      </c>
      <c r="G74" s="329">
        <v>3298181</v>
      </c>
      <c r="H74" s="340"/>
      <c r="I74" s="304">
        <f>J116</f>
        <v>10857351.400000002</v>
      </c>
      <c r="J74" s="339"/>
    </row>
    <row r="75" spans="1:38" x14ac:dyDescent="0.6">
      <c r="A75" s="330" t="s">
        <v>100</v>
      </c>
      <c r="B75" s="329">
        <v>14667966</v>
      </c>
      <c r="C75" s="329">
        <v>6270976</v>
      </c>
      <c r="D75" s="329">
        <v>9960729</v>
      </c>
      <c r="E75" s="329">
        <v>16589591</v>
      </c>
      <c r="F75" s="329">
        <v>25274474</v>
      </c>
      <c r="G75" s="329">
        <v>8221934</v>
      </c>
      <c r="H75" s="340"/>
      <c r="I75" s="341">
        <f>SUM(I72:I74)</f>
        <v>22539514.93538329</v>
      </c>
      <c r="J75" s="339"/>
    </row>
    <row r="76" spans="1:38" x14ac:dyDescent="0.6">
      <c r="A76" s="330" t="s">
        <v>145</v>
      </c>
      <c r="B76" s="329">
        <v>-34120</v>
      </c>
      <c r="C76" s="329">
        <v>0</v>
      </c>
      <c r="D76" s="329">
        <v>-43880</v>
      </c>
      <c r="E76" s="329">
        <v>-70691</v>
      </c>
      <c r="F76" s="329">
        <v>-130177</v>
      </c>
      <c r="G76" s="329">
        <v>-36397</v>
      </c>
      <c r="H76" s="340"/>
      <c r="I76" s="329"/>
      <c r="J76" s="339"/>
    </row>
    <row r="77" spans="1:38" x14ac:dyDescent="0.6">
      <c r="A77" s="330" t="s">
        <v>144</v>
      </c>
      <c r="B77" s="329">
        <v>14633846</v>
      </c>
      <c r="C77" s="329">
        <f>C75</f>
        <v>6270976</v>
      </c>
      <c r="D77" s="329">
        <v>9916849</v>
      </c>
      <c r="E77" s="329">
        <v>16518900</v>
      </c>
      <c r="F77" s="329">
        <v>25144297</v>
      </c>
      <c r="G77" s="329">
        <v>8185537</v>
      </c>
      <c r="H77" s="340"/>
      <c r="I77" s="341"/>
      <c r="J77" s="339"/>
    </row>
    <row r="78" spans="1:38" x14ac:dyDescent="0.6">
      <c r="A78" s="330" t="s">
        <v>143</v>
      </c>
      <c r="B78" s="329">
        <v>5949</v>
      </c>
      <c r="C78" s="329">
        <f>307313+9182</f>
        <v>316495</v>
      </c>
      <c r="D78" s="329">
        <v>375821</v>
      </c>
      <c r="E78" s="329">
        <v>348726</v>
      </c>
      <c r="F78" s="329">
        <v>348726</v>
      </c>
      <c r="G78" s="329">
        <v>368499</v>
      </c>
      <c r="H78" s="340"/>
      <c r="I78" s="329"/>
      <c r="J78" s="339"/>
    </row>
    <row r="79" spans="1:38" x14ac:dyDescent="0.6">
      <c r="A79" s="330" t="s">
        <v>142</v>
      </c>
      <c r="B79" s="329">
        <v>-348726</v>
      </c>
      <c r="C79" s="329">
        <v>0</v>
      </c>
      <c r="D79" s="329">
        <v>0</v>
      </c>
      <c r="E79" s="329">
        <v>-191049</v>
      </c>
      <c r="F79" s="329">
        <v>-368499</v>
      </c>
      <c r="G79" s="329">
        <v>-119743</v>
      </c>
      <c r="H79" s="340"/>
      <c r="I79" s="329"/>
      <c r="J79" s="339"/>
    </row>
    <row r="80" spans="1:38" x14ac:dyDescent="0.6">
      <c r="A80" s="330" t="s">
        <v>141</v>
      </c>
      <c r="B80" s="329">
        <v>-769228</v>
      </c>
      <c r="C80" s="329">
        <v>0</v>
      </c>
      <c r="D80" s="329">
        <v>-291496</v>
      </c>
      <c r="E80" s="329">
        <v>-301399</v>
      </c>
      <c r="F80" s="329">
        <v>-322365</v>
      </c>
      <c r="G80" s="329">
        <v>-278294</v>
      </c>
      <c r="H80" s="340"/>
      <c r="I80" s="329"/>
      <c r="J80" s="339"/>
    </row>
    <row r="81" spans="1:10" x14ac:dyDescent="0.6">
      <c r="A81" s="330" t="s">
        <v>140</v>
      </c>
      <c r="B81" s="329">
        <v>13521841</v>
      </c>
      <c r="C81" s="329">
        <v>6587472</v>
      </c>
      <c r="D81" s="329">
        <v>10001174</v>
      </c>
      <c r="E81" s="329">
        <v>16375178</v>
      </c>
      <c r="F81" s="329">
        <v>24802159</v>
      </c>
      <c r="G81" s="329">
        <v>8155999</v>
      </c>
      <c r="H81" s="340"/>
      <c r="I81" s="341"/>
      <c r="J81" s="339"/>
    </row>
    <row r="82" spans="1:10" x14ac:dyDescent="0.6">
      <c r="A82" s="330" t="s">
        <v>139</v>
      </c>
      <c r="B82" s="329">
        <v>247914</v>
      </c>
      <c r="C82" s="329">
        <v>595660</v>
      </c>
      <c r="D82" s="329">
        <v>595660</v>
      </c>
      <c r="E82" s="329">
        <v>595660</v>
      </c>
      <c r="F82" s="329">
        <v>595660</v>
      </c>
      <c r="G82" s="329">
        <v>1775726</v>
      </c>
      <c r="H82" s="340"/>
      <c r="I82" s="329"/>
      <c r="J82" s="339"/>
    </row>
    <row r="83" spans="1:10" x14ac:dyDescent="0.6">
      <c r="A83" s="330" t="s">
        <v>138</v>
      </c>
      <c r="B83" s="329">
        <v>-595660</v>
      </c>
      <c r="C83" s="329">
        <v>-802210</v>
      </c>
      <c r="D83" s="329">
        <v>-1507009</v>
      </c>
      <c r="E83" s="329">
        <v>-1542081</v>
      </c>
      <c r="F83" s="329">
        <v>-1775726</v>
      </c>
      <c r="G83" s="329">
        <v>-2297884</v>
      </c>
      <c r="H83" s="340"/>
      <c r="I83" s="329"/>
      <c r="J83" s="339"/>
    </row>
    <row r="84" spans="1:10" x14ac:dyDescent="0.6">
      <c r="A84" s="330" t="s">
        <v>137</v>
      </c>
      <c r="B84" s="329">
        <v>13174095</v>
      </c>
      <c r="C84" s="329">
        <v>3735111</v>
      </c>
      <c r="D84" s="329">
        <v>9089825</v>
      </c>
      <c r="E84" s="329">
        <v>15428757</v>
      </c>
      <c r="F84" s="329">
        <v>23622093</v>
      </c>
      <c r="G84" s="329">
        <v>7633841</v>
      </c>
      <c r="H84" s="340"/>
      <c r="I84" s="341"/>
      <c r="J84" s="339"/>
    </row>
    <row r="85" spans="1:10" x14ac:dyDescent="0.6">
      <c r="A85" s="330" t="s">
        <v>136</v>
      </c>
      <c r="B85" s="329">
        <v>0</v>
      </c>
      <c r="C85" s="329">
        <v>0</v>
      </c>
      <c r="D85" s="329">
        <v>54677</v>
      </c>
      <c r="E85" s="329">
        <v>107042</v>
      </c>
      <c r="F85" s="329">
        <v>0</v>
      </c>
      <c r="G85" s="329">
        <v>0</v>
      </c>
      <c r="H85" s="340"/>
      <c r="I85" s="340"/>
      <c r="J85" s="339"/>
    </row>
    <row r="86" spans="1:10" ht="23.25" thickBot="1" x14ac:dyDescent="0.65">
      <c r="A86" s="327" t="s">
        <v>135</v>
      </c>
      <c r="B86" s="326">
        <v>13174095</v>
      </c>
      <c r="C86" s="326">
        <f>C84</f>
        <v>3735111</v>
      </c>
      <c r="D86" s="326">
        <v>9144502</v>
      </c>
      <c r="E86" s="326">
        <v>15535799</v>
      </c>
      <c r="F86" s="326">
        <v>23622093</v>
      </c>
      <c r="G86" s="326">
        <v>7633841</v>
      </c>
      <c r="H86" s="338"/>
      <c r="I86" s="715">
        <f>I75*I87</f>
        <v>20807504.703680091</v>
      </c>
      <c r="J86" s="337">
        <f>I86+G86</f>
        <v>28441345.703680091</v>
      </c>
    </row>
    <row r="87" spans="1:10" x14ac:dyDescent="0.6">
      <c r="B87" s="298">
        <f>B86/B75</f>
        <v>0.89815418170453898</v>
      </c>
      <c r="C87" s="298">
        <f t="shared" ref="C87:G87" si="30">C86/C75</f>
        <v>0.59561876811520253</v>
      </c>
      <c r="D87" s="298">
        <f t="shared" si="30"/>
        <v>0.91805549573731005</v>
      </c>
      <c r="E87" s="298">
        <f t="shared" si="30"/>
        <v>0.93647872331511972</v>
      </c>
      <c r="F87" s="298">
        <f t="shared" si="30"/>
        <v>0.93462253655605254</v>
      </c>
      <c r="G87" s="298">
        <f t="shared" si="30"/>
        <v>0.92847266835272579</v>
      </c>
      <c r="I87" s="713">
        <f>AVERAGE(D87:G87,B87)</f>
        <v>0.9231567211331495</v>
      </c>
    </row>
    <row r="88" spans="1:10" ht="23.25" thickBot="1" x14ac:dyDescent="0.65"/>
    <row r="89" spans="1:10" x14ac:dyDescent="0.6">
      <c r="A89" s="333" t="s">
        <v>132</v>
      </c>
      <c r="B89" s="332" t="s">
        <v>74</v>
      </c>
      <c r="C89" s="332" t="s">
        <v>73</v>
      </c>
      <c r="D89" s="332" t="s">
        <v>72</v>
      </c>
      <c r="E89" s="332" t="s">
        <v>71</v>
      </c>
      <c r="F89" s="332" t="s">
        <v>70</v>
      </c>
      <c r="G89" s="332" t="s">
        <v>124</v>
      </c>
      <c r="H89" s="332" t="s">
        <v>68</v>
      </c>
      <c r="I89" s="332" t="s">
        <v>123</v>
      </c>
      <c r="J89" s="331" t="s">
        <v>66</v>
      </c>
    </row>
    <row r="90" spans="1:10" ht="23.25" thickBot="1" x14ac:dyDescent="0.65">
      <c r="A90" s="327" t="s">
        <v>225</v>
      </c>
      <c r="B90" s="300">
        <v>2033958</v>
      </c>
      <c r="C90" s="300">
        <v>422267</v>
      </c>
      <c r="D90" s="300">
        <v>1070092</v>
      </c>
      <c r="E90" s="300">
        <v>1504935</v>
      </c>
      <c r="F90" s="300">
        <v>2062021</v>
      </c>
      <c r="G90" s="300">
        <v>520973</v>
      </c>
      <c r="H90" s="300"/>
      <c r="I90" s="300">
        <f>J90-G90</f>
        <v>1276688.6750969535</v>
      </c>
      <c r="J90" s="299">
        <f>B182</f>
        <v>1797661.6750969535</v>
      </c>
    </row>
    <row r="91" spans="1:10" x14ac:dyDescent="0.6">
      <c r="A91" s="336" t="s">
        <v>226</v>
      </c>
      <c r="B91" s="336">
        <f t="shared" ref="B91:G91" si="31">I3</f>
        <v>916977</v>
      </c>
      <c r="C91" s="336">
        <f t="shared" si="31"/>
        <v>254127</v>
      </c>
      <c r="D91" s="336">
        <f t="shared" si="31"/>
        <v>479138</v>
      </c>
      <c r="E91" s="336">
        <f t="shared" si="31"/>
        <v>765011</v>
      </c>
      <c r="F91" s="336">
        <f t="shared" si="31"/>
        <v>1018768</v>
      </c>
      <c r="G91" s="336">
        <f t="shared" si="31"/>
        <v>295245</v>
      </c>
      <c r="H91" s="336"/>
      <c r="I91" s="336"/>
      <c r="J91" s="336"/>
    </row>
    <row r="92" spans="1:10" x14ac:dyDescent="0.6">
      <c r="B92" s="335">
        <f t="shared" ref="B92:G92" si="32">B90/B91</f>
        <v>2.2181123408765977</v>
      </c>
      <c r="C92" s="335">
        <f t="shared" si="32"/>
        <v>1.6616376850944607</v>
      </c>
      <c r="D92" s="335">
        <f t="shared" si="32"/>
        <v>2.2333690919943732</v>
      </c>
      <c r="E92" s="335">
        <f t="shared" si="32"/>
        <v>1.9672070074809382</v>
      </c>
      <c r="F92" s="335">
        <f t="shared" si="32"/>
        <v>2.0240339311796207</v>
      </c>
      <c r="G92" s="335">
        <f t="shared" si="32"/>
        <v>1.7645447001642705</v>
      </c>
      <c r="J92" s="334">
        <f>G92</f>
        <v>1.7645447001642705</v>
      </c>
    </row>
    <row r="94" spans="1:10" ht="23.25" thickBot="1" x14ac:dyDescent="0.65"/>
    <row r="95" spans="1:10" x14ac:dyDescent="0.6">
      <c r="A95" s="333" t="s">
        <v>131</v>
      </c>
      <c r="B95" s="332" t="s">
        <v>74</v>
      </c>
      <c r="C95" s="332" t="s">
        <v>73</v>
      </c>
      <c r="D95" s="332" t="s">
        <v>72</v>
      </c>
      <c r="E95" s="332" t="s">
        <v>71</v>
      </c>
      <c r="F95" s="332" t="s">
        <v>70</v>
      </c>
      <c r="G95" s="332" t="s">
        <v>124</v>
      </c>
      <c r="H95" s="332" t="s">
        <v>68</v>
      </c>
      <c r="I95" s="332" t="s">
        <v>123</v>
      </c>
      <c r="J95" s="331" t="s">
        <v>66</v>
      </c>
    </row>
    <row r="96" spans="1:10" ht="23.25" thickBot="1" x14ac:dyDescent="0.65">
      <c r="A96" s="327" t="s">
        <v>225</v>
      </c>
      <c r="B96" s="300">
        <v>8575365</v>
      </c>
      <c r="C96" s="300">
        <v>2083199</v>
      </c>
      <c r="D96" s="300">
        <v>5925745</v>
      </c>
      <c r="E96" s="300">
        <v>9896670</v>
      </c>
      <c r="F96" s="300">
        <v>12777080</v>
      </c>
      <c r="G96" s="300">
        <v>4867905</v>
      </c>
      <c r="H96" s="300"/>
      <c r="I96" s="300">
        <f>I90*I101/1000000</f>
        <v>11466579.335383287</v>
      </c>
      <c r="J96" s="299"/>
    </row>
    <row r="99" spans="1:21" ht="23.25" thickBot="1" x14ac:dyDescent="0.65"/>
    <row r="100" spans="1:21" x14ac:dyDescent="0.6">
      <c r="A100" s="333" t="s">
        <v>125</v>
      </c>
      <c r="B100" s="332" t="s">
        <v>74</v>
      </c>
      <c r="C100" s="332" t="s">
        <v>73</v>
      </c>
      <c r="D100" s="332" t="s">
        <v>72</v>
      </c>
      <c r="E100" s="332" t="s">
        <v>71</v>
      </c>
      <c r="F100" s="332" t="s">
        <v>70</v>
      </c>
      <c r="G100" s="332" t="s">
        <v>124</v>
      </c>
      <c r="H100" s="332" t="s">
        <v>68</v>
      </c>
      <c r="I100" s="332" t="s">
        <v>123</v>
      </c>
      <c r="J100" s="331" t="s">
        <v>66</v>
      </c>
    </row>
    <row r="101" spans="1:21" ht="23.25" thickBot="1" x14ac:dyDescent="0.65">
      <c r="A101" s="327" t="s">
        <v>225</v>
      </c>
      <c r="B101" s="300">
        <f t="shared" ref="B101:G101" si="33">B96*1000000/B90</f>
        <v>4216097.3825418223</v>
      </c>
      <c r="C101" s="300">
        <f t="shared" si="33"/>
        <v>4933369.1716378499</v>
      </c>
      <c r="D101" s="300">
        <f t="shared" si="33"/>
        <v>5537603.308874377</v>
      </c>
      <c r="E101" s="300">
        <f t="shared" si="33"/>
        <v>6576144.4846455166</v>
      </c>
      <c r="F101" s="300">
        <f t="shared" si="33"/>
        <v>6196386.9427129989</v>
      </c>
      <c r="G101" s="300">
        <f t="shared" si="33"/>
        <v>9343871.9472986124</v>
      </c>
      <c r="H101" s="300"/>
      <c r="I101" s="300">
        <f>B179</f>
        <v>8981500</v>
      </c>
      <c r="J101" s="299"/>
      <c r="K101" s="286" t="s">
        <v>126</v>
      </c>
    </row>
    <row r="104" spans="1:21" ht="23.25" thickBot="1" x14ac:dyDescent="0.65"/>
    <row r="105" spans="1:21" x14ac:dyDescent="0.6">
      <c r="A105" s="333" t="s">
        <v>114</v>
      </c>
      <c r="B105" s="332" t="s">
        <v>74</v>
      </c>
      <c r="C105" s="332" t="s">
        <v>73</v>
      </c>
      <c r="D105" s="332" t="s">
        <v>72</v>
      </c>
      <c r="E105" s="332" t="s">
        <v>71</v>
      </c>
      <c r="F105" s="332" t="s">
        <v>70</v>
      </c>
      <c r="G105" s="332" t="s">
        <v>69</v>
      </c>
      <c r="H105" s="332" t="s">
        <v>111</v>
      </c>
      <c r="I105" s="332" t="s">
        <v>68</v>
      </c>
      <c r="J105" s="332" t="s">
        <v>67</v>
      </c>
      <c r="K105" s="331" t="s">
        <v>66</v>
      </c>
    </row>
    <row r="106" spans="1:21" x14ac:dyDescent="0.6">
      <c r="A106" s="330" t="s">
        <v>110</v>
      </c>
      <c r="B106" s="304">
        <v>378164</v>
      </c>
      <c r="C106" s="304">
        <v>40243</v>
      </c>
      <c r="D106" s="304">
        <v>163823</v>
      </c>
      <c r="E106" s="304">
        <v>189526</v>
      </c>
      <c r="F106" s="304">
        <v>418372</v>
      </c>
      <c r="G106" s="304">
        <v>117378</v>
      </c>
      <c r="H106" s="304">
        <v>285970</v>
      </c>
      <c r="I106" s="304"/>
      <c r="J106" s="304">
        <f t="shared" ref="J106:J115" si="34">K106-G106</f>
        <v>384668.39999999997</v>
      </c>
      <c r="K106" s="303">
        <f t="shared" ref="K106:K115" si="35">F106*1.2</f>
        <v>502046.39999999997</v>
      </c>
    </row>
    <row r="107" spans="1:21" x14ac:dyDescent="0.6">
      <c r="A107" s="330" t="s">
        <v>109</v>
      </c>
      <c r="B107" s="304">
        <v>757131</v>
      </c>
      <c r="C107" s="304">
        <v>172643</v>
      </c>
      <c r="D107" s="304">
        <v>344726</v>
      </c>
      <c r="E107" s="304">
        <v>516395</v>
      </c>
      <c r="F107" s="304">
        <v>831178</v>
      </c>
      <c r="G107" s="304">
        <v>195121</v>
      </c>
      <c r="H107" s="304">
        <v>651435</v>
      </c>
      <c r="I107" s="304"/>
      <c r="J107" s="304">
        <f t="shared" si="34"/>
        <v>802292.6</v>
      </c>
      <c r="K107" s="303">
        <f t="shared" si="35"/>
        <v>997413.6</v>
      </c>
    </row>
    <row r="108" spans="1:21" x14ac:dyDescent="0.6">
      <c r="A108" s="330" t="s">
        <v>108</v>
      </c>
      <c r="B108" s="304">
        <v>1222891</v>
      </c>
      <c r="C108" s="304">
        <v>297134</v>
      </c>
      <c r="D108" s="304">
        <v>599215</v>
      </c>
      <c r="E108" s="304">
        <v>933606</v>
      </c>
      <c r="F108" s="304">
        <v>1549079</v>
      </c>
      <c r="G108" s="304">
        <v>558988</v>
      </c>
      <c r="H108" s="304">
        <v>1682302</v>
      </c>
      <c r="I108" s="304"/>
      <c r="J108" s="304">
        <f t="shared" si="34"/>
        <v>1299906.8</v>
      </c>
      <c r="K108" s="303">
        <f t="shared" si="35"/>
        <v>1858894.8</v>
      </c>
      <c r="O108" s="319"/>
      <c r="Q108" s="319"/>
      <c r="S108" s="319"/>
      <c r="U108" s="319"/>
    </row>
    <row r="109" spans="1:21" x14ac:dyDescent="0.6">
      <c r="A109" s="330" t="s">
        <v>107</v>
      </c>
      <c r="B109" s="304">
        <v>1949009</v>
      </c>
      <c r="C109" s="304">
        <v>793021</v>
      </c>
      <c r="D109" s="304">
        <v>1847755</v>
      </c>
      <c r="E109" s="304">
        <v>3217941</v>
      </c>
      <c r="F109" s="304">
        <v>6565990</v>
      </c>
      <c r="G109" s="304">
        <v>1713910</v>
      </c>
      <c r="H109" s="304">
        <v>4071142</v>
      </c>
      <c r="I109" s="304"/>
      <c r="J109" s="304">
        <f t="shared" si="34"/>
        <v>6165278</v>
      </c>
      <c r="K109" s="303">
        <f t="shared" si="35"/>
        <v>7879188</v>
      </c>
      <c r="O109" s="319"/>
      <c r="Q109" s="319"/>
      <c r="S109" s="319"/>
      <c r="U109" s="319"/>
    </row>
    <row r="110" spans="1:21" x14ac:dyDescent="0.6">
      <c r="A110" s="330" t="s">
        <v>106</v>
      </c>
      <c r="B110" s="304">
        <v>0</v>
      </c>
      <c r="C110" s="304">
        <v>0</v>
      </c>
      <c r="D110" s="304">
        <v>0</v>
      </c>
      <c r="E110" s="304">
        <v>0</v>
      </c>
      <c r="F110" s="304">
        <v>0</v>
      </c>
      <c r="G110" s="304">
        <v>0</v>
      </c>
      <c r="H110" s="304">
        <v>0</v>
      </c>
      <c r="I110" s="304"/>
      <c r="J110" s="304">
        <f t="shared" si="34"/>
        <v>0</v>
      </c>
      <c r="K110" s="303">
        <f t="shared" si="35"/>
        <v>0</v>
      </c>
      <c r="O110" s="319"/>
      <c r="Q110" s="319"/>
      <c r="S110" s="320"/>
      <c r="U110" s="319"/>
    </row>
    <row r="111" spans="1:21" x14ac:dyDescent="0.6">
      <c r="A111" s="330" t="s">
        <v>105</v>
      </c>
      <c r="B111" s="304">
        <v>0</v>
      </c>
      <c r="C111" s="304">
        <v>0</v>
      </c>
      <c r="D111" s="304">
        <v>0</v>
      </c>
      <c r="E111" s="304">
        <v>0</v>
      </c>
      <c r="F111" s="304">
        <v>0</v>
      </c>
      <c r="G111" s="304">
        <v>0</v>
      </c>
      <c r="H111" s="304">
        <v>0</v>
      </c>
      <c r="I111" s="304"/>
      <c r="J111" s="304">
        <f t="shared" si="34"/>
        <v>0</v>
      </c>
      <c r="K111" s="303">
        <f t="shared" si="35"/>
        <v>0</v>
      </c>
      <c r="O111" s="319"/>
      <c r="Q111" s="319"/>
      <c r="S111" s="320"/>
      <c r="U111" s="319"/>
    </row>
    <row r="112" spans="1:21" x14ac:dyDescent="0.6">
      <c r="A112" s="330" t="s">
        <v>104</v>
      </c>
      <c r="B112" s="304">
        <v>0</v>
      </c>
      <c r="C112" s="304">
        <v>0</v>
      </c>
      <c r="D112" s="304">
        <v>0</v>
      </c>
      <c r="E112" s="304">
        <v>0</v>
      </c>
      <c r="F112" s="304">
        <v>0</v>
      </c>
      <c r="G112" s="304">
        <v>0</v>
      </c>
      <c r="H112" s="304">
        <v>0</v>
      </c>
      <c r="I112" s="304"/>
      <c r="J112" s="304">
        <f t="shared" si="34"/>
        <v>0</v>
      </c>
      <c r="K112" s="303">
        <f t="shared" si="35"/>
        <v>0</v>
      </c>
      <c r="O112" s="320"/>
      <c r="Q112" s="319"/>
      <c r="S112" s="320"/>
      <c r="U112" s="320"/>
    </row>
    <row r="113" spans="1:23" x14ac:dyDescent="0.6">
      <c r="A113" s="330" t="s">
        <v>103</v>
      </c>
      <c r="B113" s="304">
        <v>0</v>
      </c>
      <c r="C113" s="304">
        <v>0</v>
      </c>
      <c r="D113" s="304">
        <v>0</v>
      </c>
      <c r="E113" s="304">
        <v>0</v>
      </c>
      <c r="F113" s="304">
        <v>0</v>
      </c>
      <c r="G113" s="304">
        <v>0</v>
      </c>
      <c r="H113" s="304">
        <v>0</v>
      </c>
      <c r="I113" s="304"/>
      <c r="J113" s="304">
        <f t="shared" si="34"/>
        <v>0</v>
      </c>
      <c r="K113" s="303">
        <f t="shared" si="35"/>
        <v>0</v>
      </c>
      <c r="O113" s="320"/>
      <c r="Q113" s="319"/>
      <c r="S113" s="320"/>
      <c r="U113" s="320"/>
    </row>
    <row r="114" spans="1:23" x14ac:dyDescent="0.6">
      <c r="A114" s="330" t="s">
        <v>102</v>
      </c>
      <c r="B114" s="304">
        <v>248407</v>
      </c>
      <c r="C114" s="304">
        <v>84256</v>
      </c>
      <c r="D114" s="304">
        <v>139928</v>
      </c>
      <c r="E114" s="304">
        <v>225419</v>
      </c>
      <c r="F114" s="304">
        <v>300574</v>
      </c>
      <c r="G114" s="304">
        <v>59431</v>
      </c>
      <c r="H114" s="304">
        <v>246847</v>
      </c>
      <c r="I114" s="304"/>
      <c r="J114" s="304">
        <f t="shared" si="34"/>
        <v>301257.8</v>
      </c>
      <c r="K114" s="303">
        <f t="shared" si="35"/>
        <v>360688.8</v>
      </c>
      <c r="O114" s="319"/>
      <c r="Q114" s="320"/>
      <c r="S114" s="319"/>
      <c r="U114" s="320"/>
      <c r="V114" s="319"/>
      <c r="W114" s="319"/>
    </row>
    <row r="115" spans="1:23" x14ac:dyDescent="0.6">
      <c r="A115" s="330" t="s">
        <v>101</v>
      </c>
      <c r="B115" s="304">
        <v>963472</v>
      </c>
      <c r="C115" s="304">
        <f>375939+31701+24385</f>
        <v>432025</v>
      </c>
      <c r="D115" s="304">
        <v>862737</v>
      </c>
      <c r="E115" s="304">
        <v>1498275</v>
      </c>
      <c r="F115" s="304">
        <v>2131084</v>
      </c>
      <c r="G115" s="304">
        <v>653353</v>
      </c>
      <c r="H115" s="304">
        <v>967358</v>
      </c>
      <c r="I115" s="304"/>
      <c r="J115" s="304">
        <f t="shared" si="34"/>
        <v>1903947.7999999998</v>
      </c>
      <c r="K115" s="303">
        <f t="shared" si="35"/>
        <v>2557300.7999999998</v>
      </c>
      <c r="O115" s="319"/>
      <c r="Q115" s="320"/>
      <c r="S115" s="319"/>
      <c r="U115" s="319"/>
      <c r="V115" s="319"/>
      <c r="W115" s="319"/>
    </row>
    <row r="116" spans="1:23" ht="23.25" thickBot="1" x14ac:dyDescent="0.65">
      <c r="A116" s="327" t="s">
        <v>100</v>
      </c>
      <c r="B116" s="300">
        <v>5519074</v>
      </c>
      <c r="C116" s="300">
        <f>SUM(C106:C115)</f>
        <v>1819322</v>
      </c>
      <c r="D116" s="300">
        <v>3958184</v>
      </c>
      <c r="E116" s="300">
        <v>6581162</v>
      </c>
      <c r="F116" s="300">
        <v>11796277</v>
      </c>
      <c r="G116" s="300">
        <v>3298181</v>
      </c>
      <c r="H116" s="300">
        <v>7905054</v>
      </c>
      <c r="I116" s="300"/>
      <c r="J116" s="300">
        <f>SUM(J106:J115)</f>
        <v>10857351.400000002</v>
      </c>
      <c r="K116" s="299">
        <f>SUM(K106:K115)</f>
        <v>14155532.400000002</v>
      </c>
      <c r="O116" s="319"/>
      <c r="Q116" s="320"/>
      <c r="S116" s="319"/>
      <c r="U116" s="319"/>
      <c r="V116" s="320"/>
      <c r="W116" s="320"/>
    </row>
    <row r="117" spans="1:23" x14ac:dyDescent="0.6">
      <c r="O117" s="319"/>
      <c r="Q117" s="320"/>
      <c r="S117" s="319"/>
      <c r="U117" s="319"/>
      <c r="V117" s="320"/>
      <c r="W117" s="320"/>
    </row>
    <row r="118" spans="1:23" ht="23.25" thickBot="1" x14ac:dyDescent="0.65">
      <c r="O118" s="320"/>
      <c r="Q118" s="319"/>
      <c r="S118" s="320"/>
      <c r="U118" s="319"/>
      <c r="V118" s="320"/>
      <c r="W118" s="320"/>
    </row>
    <row r="119" spans="1:23" x14ac:dyDescent="0.6">
      <c r="A119" s="333" t="s">
        <v>112</v>
      </c>
      <c r="B119" s="332" t="s">
        <v>74</v>
      </c>
      <c r="C119" s="332" t="s">
        <v>73</v>
      </c>
      <c r="D119" s="332" t="s">
        <v>72</v>
      </c>
      <c r="E119" s="332" t="s">
        <v>71</v>
      </c>
      <c r="F119" s="332" t="s">
        <v>70</v>
      </c>
      <c r="G119" s="332" t="s">
        <v>69</v>
      </c>
      <c r="H119" s="332" t="s">
        <v>111</v>
      </c>
      <c r="I119" s="332" t="s">
        <v>68</v>
      </c>
      <c r="J119" s="332" t="s">
        <v>67</v>
      </c>
      <c r="K119" s="331" t="s">
        <v>66</v>
      </c>
      <c r="O119" s="320"/>
      <c r="Q119" s="319"/>
      <c r="S119" s="320"/>
      <c r="T119" s="319"/>
      <c r="V119" s="320"/>
      <c r="W119" s="320"/>
    </row>
    <row r="120" spans="1:23" x14ac:dyDescent="0.6">
      <c r="A120" s="330" t="s">
        <v>110</v>
      </c>
      <c r="B120" s="304">
        <v>59643</v>
      </c>
      <c r="C120" s="304">
        <v>39487</v>
      </c>
      <c r="D120" s="304">
        <v>36682</v>
      </c>
      <c r="E120" s="304">
        <v>55316</v>
      </c>
      <c r="F120" s="304">
        <v>80348</v>
      </c>
      <c r="G120" s="304">
        <v>30768</v>
      </c>
      <c r="H120" s="304">
        <v>92794</v>
      </c>
      <c r="I120" s="304"/>
      <c r="J120" s="304">
        <f t="shared" ref="J120:J129" si="36">K120-G120</f>
        <v>65649.599999999991</v>
      </c>
      <c r="K120" s="303">
        <f t="shared" ref="K120:K129" si="37">F120*1.2</f>
        <v>96417.599999999991</v>
      </c>
      <c r="O120" s="320"/>
      <c r="Q120" s="319"/>
      <c r="S120" s="320"/>
      <c r="T120" s="319"/>
      <c r="V120" s="320"/>
      <c r="W120" s="320"/>
    </row>
    <row r="121" spans="1:23" x14ac:dyDescent="0.6">
      <c r="A121" s="330" t="s">
        <v>109</v>
      </c>
      <c r="B121" s="304">
        <v>1796</v>
      </c>
      <c r="C121" s="304">
        <v>1323</v>
      </c>
      <c r="D121" s="304">
        <v>1206</v>
      </c>
      <c r="E121" s="304">
        <v>12289</v>
      </c>
      <c r="F121" s="304">
        <v>2881</v>
      </c>
      <c r="G121" s="304">
        <v>10029</v>
      </c>
      <c r="H121" s="304">
        <v>3327</v>
      </c>
      <c r="I121" s="304"/>
      <c r="J121" s="304">
        <f t="shared" si="36"/>
        <v>-6571.8</v>
      </c>
      <c r="K121" s="303">
        <f t="shared" si="37"/>
        <v>3457.2</v>
      </c>
      <c r="O121" s="320"/>
      <c r="Q121" s="320"/>
      <c r="S121" s="320"/>
      <c r="T121" s="320"/>
      <c r="V121" s="319"/>
      <c r="W121" s="319"/>
    </row>
    <row r="122" spans="1:23" x14ac:dyDescent="0.6">
      <c r="A122" s="330" t="s">
        <v>108</v>
      </c>
      <c r="B122" s="304">
        <v>0</v>
      </c>
      <c r="C122" s="304">
        <v>0</v>
      </c>
      <c r="D122" s="304">
        <v>0</v>
      </c>
      <c r="E122" s="304">
        <v>0</v>
      </c>
      <c r="F122" s="304">
        <v>0</v>
      </c>
      <c r="G122" s="304">
        <v>271</v>
      </c>
      <c r="H122" s="304">
        <v>0</v>
      </c>
      <c r="I122" s="304"/>
      <c r="J122" s="304">
        <f t="shared" si="36"/>
        <v>-271</v>
      </c>
      <c r="K122" s="303">
        <f t="shared" si="37"/>
        <v>0</v>
      </c>
      <c r="O122" s="319"/>
      <c r="Q122" s="319"/>
      <c r="S122" s="319"/>
      <c r="T122" s="319"/>
      <c r="V122" s="319"/>
      <c r="W122" s="319"/>
    </row>
    <row r="123" spans="1:23" x14ac:dyDescent="0.6">
      <c r="A123" s="330" t="s">
        <v>107</v>
      </c>
      <c r="B123" s="304">
        <v>0</v>
      </c>
      <c r="C123" s="304">
        <v>0</v>
      </c>
      <c r="D123" s="304">
        <v>0</v>
      </c>
      <c r="E123" s="304">
        <v>0</v>
      </c>
      <c r="F123" s="304">
        <v>0</v>
      </c>
      <c r="G123" s="304">
        <v>0</v>
      </c>
      <c r="H123" s="304">
        <v>0</v>
      </c>
      <c r="I123" s="304"/>
      <c r="J123" s="304">
        <f t="shared" si="36"/>
        <v>0</v>
      </c>
      <c r="K123" s="303">
        <f t="shared" si="37"/>
        <v>0</v>
      </c>
      <c r="O123" s="319"/>
      <c r="Q123" s="319"/>
      <c r="S123" s="319"/>
      <c r="T123" s="319"/>
      <c r="V123" s="319"/>
      <c r="W123" s="319"/>
    </row>
    <row r="124" spans="1:23" x14ac:dyDescent="0.6">
      <c r="A124" s="330" t="s">
        <v>106</v>
      </c>
      <c r="B124" s="304">
        <v>0</v>
      </c>
      <c r="C124" s="304">
        <v>0</v>
      </c>
      <c r="D124" s="304">
        <v>0</v>
      </c>
      <c r="E124" s="304">
        <v>0</v>
      </c>
      <c r="F124" s="304">
        <v>0</v>
      </c>
      <c r="G124" s="304">
        <v>0</v>
      </c>
      <c r="H124" s="304">
        <v>0</v>
      </c>
      <c r="I124" s="304"/>
      <c r="J124" s="304">
        <f t="shared" si="36"/>
        <v>0</v>
      </c>
      <c r="K124" s="303">
        <f t="shared" si="37"/>
        <v>0</v>
      </c>
      <c r="O124" s="319"/>
      <c r="Q124" s="319"/>
      <c r="S124" s="319"/>
      <c r="T124" s="319"/>
      <c r="V124" s="319"/>
      <c r="W124" s="319"/>
    </row>
    <row r="125" spans="1:23" x14ac:dyDescent="0.6">
      <c r="A125" s="330" t="s">
        <v>105</v>
      </c>
      <c r="B125" s="304">
        <v>0</v>
      </c>
      <c r="C125" s="304">
        <v>0</v>
      </c>
      <c r="D125" s="304">
        <v>0</v>
      </c>
      <c r="E125" s="304">
        <v>0</v>
      </c>
      <c r="F125" s="304">
        <v>0</v>
      </c>
      <c r="G125" s="304">
        <v>0</v>
      </c>
      <c r="H125" s="304">
        <v>0</v>
      </c>
      <c r="I125" s="304"/>
      <c r="J125" s="304">
        <f t="shared" si="36"/>
        <v>0</v>
      </c>
      <c r="K125" s="303">
        <f t="shared" si="37"/>
        <v>0</v>
      </c>
    </row>
    <row r="126" spans="1:23" x14ac:dyDescent="0.6">
      <c r="A126" s="330" t="s">
        <v>104</v>
      </c>
      <c r="B126" s="304">
        <v>0</v>
      </c>
      <c r="C126" s="304">
        <v>0</v>
      </c>
      <c r="D126" s="304">
        <v>0</v>
      </c>
      <c r="E126" s="304">
        <v>0</v>
      </c>
      <c r="F126" s="304">
        <v>0</v>
      </c>
      <c r="G126" s="304">
        <v>0</v>
      </c>
      <c r="H126" s="304">
        <v>0</v>
      </c>
      <c r="I126" s="304"/>
      <c r="J126" s="304">
        <f t="shared" si="36"/>
        <v>0</v>
      </c>
      <c r="K126" s="303">
        <f t="shared" si="37"/>
        <v>0</v>
      </c>
    </row>
    <row r="127" spans="1:23" x14ac:dyDescent="0.6">
      <c r="A127" s="330" t="s">
        <v>103</v>
      </c>
      <c r="B127" s="304">
        <v>0</v>
      </c>
      <c r="C127" s="304">
        <v>0</v>
      </c>
      <c r="D127" s="304">
        <v>222972</v>
      </c>
      <c r="E127" s="304">
        <v>385273</v>
      </c>
      <c r="F127" s="304">
        <v>657500</v>
      </c>
      <c r="G127" s="304">
        <v>0</v>
      </c>
      <c r="H127" s="304">
        <v>0</v>
      </c>
      <c r="I127" s="304"/>
      <c r="J127" s="304">
        <f t="shared" si="36"/>
        <v>789000</v>
      </c>
      <c r="K127" s="303">
        <f t="shared" si="37"/>
        <v>789000</v>
      </c>
    </row>
    <row r="128" spans="1:23" x14ac:dyDescent="0.6">
      <c r="A128" s="330" t="s">
        <v>102</v>
      </c>
      <c r="B128" s="304">
        <v>236689</v>
      </c>
      <c r="C128" s="304">
        <v>116661</v>
      </c>
      <c r="D128" s="304">
        <v>106376</v>
      </c>
      <c r="E128" s="304">
        <v>175720</v>
      </c>
      <c r="F128" s="304">
        <v>315210</v>
      </c>
      <c r="G128" s="304">
        <v>164448</v>
      </c>
      <c r="H128" s="304">
        <v>356676</v>
      </c>
      <c r="I128" s="304"/>
      <c r="J128" s="304">
        <f t="shared" si="36"/>
        <v>213804</v>
      </c>
      <c r="K128" s="303">
        <f t="shared" si="37"/>
        <v>378252</v>
      </c>
    </row>
    <row r="129" spans="1:24" x14ac:dyDescent="0.6">
      <c r="A129" s="330" t="s">
        <v>101</v>
      </c>
      <c r="B129" s="304">
        <v>55696</v>
      </c>
      <c r="C129" s="304">
        <f>27167+5839</f>
        <v>33006</v>
      </c>
      <c r="D129" s="304">
        <v>36301</v>
      </c>
      <c r="E129" s="304">
        <v>108134</v>
      </c>
      <c r="F129" s="304">
        <v>57050</v>
      </c>
      <c r="G129" s="304">
        <v>51380</v>
      </c>
      <c r="H129" s="304">
        <v>71634</v>
      </c>
      <c r="I129" s="304"/>
      <c r="J129" s="304">
        <f t="shared" si="36"/>
        <v>17080</v>
      </c>
      <c r="K129" s="303">
        <f t="shared" si="37"/>
        <v>68460</v>
      </c>
    </row>
    <row r="130" spans="1:24" ht="23.25" thickBot="1" x14ac:dyDescent="0.65">
      <c r="A130" s="327" t="s">
        <v>100</v>
      </c>
      <c r="B130" s="300">
        <v>353824</v>
      </c>
      <c r="C130" s="300">
        <f>SUM(C120:C129)</f>
        <v>190477</v>
      </c>
      <c r="D130" s="300">
        <v>403537</v>
      </c>
      <c r="E130" s="300">
        <v>736732</v>
      </c>
      <c r="F130" s="300">
        <v>1112989</v>
      </c>
      <c r="G130" s="300">
        <v>256896</v>
      </c>
      <c r="H130" s="300">
        <v>524431</v>
      </c>
      <c r="I130" s="300"/>
      <c r="J130" s="300">
        <f>SUM(J120:J129)</f>
        <v>1078690.8</v>
      </c>
      <c r="K130" s="299">
        <f>SUM(K120:K129)</f>
        <v>1335586.8</v>
      </c>
    </row>
    <row r="132" spans="1:24" ht="23.25" thickBot="1" x14ac:dyDescent="0.65"/>
    <row r="133" spans="1:24" x14ac:dyDescent="0.6">
      <c r="A133" s="333" t="s">
        <v>99</v>
      </c>
      <c r="B133" s="332" t="s">
        <v>81</v>
      </c>
      <c r="C133" s="332" t="s">
        <v>80</v>
      </c>
      <c r="D133" s="332" t="s">
        <v>79</v>
      </c>
      <c r="E133" s="332" t="s">
        <v>78</v>
      </c>
      <c r="F133" s="332" t="s">
        <v>77</v>
      </c>
      <c r="G133" s="332" t="s">
        <v>76</v>
      </c>
      <c r="H133" s="332" t="s">
        <v>75</v>
      </c>
      <c r="I133" s="332" t="s">
        <v>74</v>
      </c>
      <c r="J133" s="332" t="s">
        <v>73</v>
      </c>
      <c r="K133" s="332" t="s">
        <v>72</v>
      </c>
      <c r="L133" s="332" t="s">
        <v>71</v>
      </c>
      <c r="M133" s="332" t="s">
        <v>70</v>
      </c>
      <c r="N133" s="332" t="s">
        <v>69</v>
      </c>
      <c r="O133" s="332" t="s">
        <v>68</v>
      </c>
      <c r="P133" s="332" t="s">
        <v>67</v>
      </c>
      <c r="Q133" s="331" t="s">
        <v>66</v>
      </c>
    </row>
    <row r="134" spans="1:24" x14ac:dyDescent="0.6">
      <c r="A134" s="330" t="s">
        <v>98</v>
      </c>
      <c r="B134" s="329">
        <v>8407304</v>
      </c>
      <c r="C134" s="329">
        <v>10257180</v>
      </c>
      <c r="D134" s="329">
        <v>5788249</v>
      </c>
      <c r="E134" s="329">
        <v>8905078</v>
      </c>
      <c r="F134" s="329">
        <v>2521167</v>
      </c>
      <c r="G134" s="329">
        <v>6586463</v>
      </c>
      <c r="H134" s="329">
        <v>11056066</v>
      </c>
      <c r="I134" s="329">
        <v>18959794</v>
      </c>
      <c r="J134" s="329">
        <v>5298881</v>
      </c>
      <c r="K134" s="329">
        <v>13133558</v>
      </c>
      <c r="L134" s="329">
        <v>23456815</v>
      </c>
      <c r="M134" s="329">
        <v>33823489</v>
      </c>
      <c r="N134" s="329">
        <v>11559876</v>
      </c>
      <c r="O134" s="329"/>
      <c r="P134" s="329">
        <f>P42</f>
        <v>32693272.913158368</v>
      </c>
      <c r="Q134" s="328">
        <f>P134+N134</f>
        <v>44253148.913158372</v>
      </c>
    </row>
    <row r="135" spans="1:24" x14ac:dyDescent="0.6">
      <c r="A135" s="330" t="s">
        <v>97</v>
      </c>
      <c r="B135" s="329">
        <v>-6888201</v>
      </c>
      <c r="C135" s="329">
        <v>-8683823</v>
      </c>
      <c r="D135" s="329">
        <v>-4644197</v>
      </c>
      <c r="E135" s="329">
        <v>-6704670</v>
      </c>
      <c r="F135" s="329">
        <v>-1881217</v>
      </c>
      <c r="G135" s="329">
        <v>-4804430</v>
      </c>
      <c r="H135" s="329">
        <v>-8137650</v>
      </c>
      <c r="I135" s="329">
        <v>-13174095</v>
      </c>
      <c r="J135" s="329">
        <v>-3735111</v>
      </c>
      <c r="K135" s="329">
        <v>-9144502</v>
      </c>
      <c r="L135" s="329">
        <v>-15535799</v>
      </c>
      <c r="M135" s="329">
        <v>-23622093</v>
      </c>
      <c r="N135" s="329">
        <v>-7633841</v>
      </c>
      <c r="O135" s="329"/>
      <c r="P135" s="329">
        <f>-I86</f>
        <v>-20807504.703680091</v>
      </c>
      <c r="Q135" s="328">
        <f>P135+N135</f>
        <v>-28441345.703680091</v>
      </c>
    </row>
    <row r="136" spans="1:24" x14ac:dyDescent="0.6">
      <c r="A136" s="330" t="s">
        <v>96</v>
      </c>
      <c r="B136" s="329">
        <v>1519103</v>
      </c>
      <c r="C136" s="329">
        <v>1573357</v>
      </c>
      <c r="D136" s="329">
        <v>1144052</v>
      </c>
      <c r="E136" s="329">
        <v>2200408</v>
      </c>
      <c r="F136" s="329">
        <v>639950</v>
      </c>
      <c r="G136" s="329">
        <v>1782033</v>
      </c>
      <c r="H136" s="329">
        <v>2918416</v>
      </c>
      <c r="I136" s="329">
        <v>5785699</v>
      </c>
      <c r="J136" s="329">
        <v>1563770</v>
      </c>
      <c r="K136" s="329">
        <v>3989056</v>
      </c>
      <c r="L136" s="329">
        <v>7921016</v>
      </c>
      <c r="M136" s="329">
        <v>10201396</v>
      </c>
      <c r="N136" s="329">
        <v>3926035</v>
      </c>
      <c r="O136" s="329"/>
      <c r="P136" s="329">
        <f>SUM(P134:P135)</f>
        <v>11885768.209478278</v>
      </c>
      <c r="Q136" s="328">
        <f>SUM(Q134:Q135)</f>
        <v>15811803.209478281</v>
      </c>
    </row>
    <row r="137" spans="1:24" x14ac:dyDescent="0.6">
      <c r="A137" s="330" t="s">
        <v>95</v>
      </c>
      <c r="B137" s="329">
        <v>-95343</v>
      </c>
      <c r="C137" s="329">
        <v>-140901</v>
      </c>
      <c r="D137" s="329">
        <v>-142934</v>
      </c>
      <c r="E137" s="329">
        <v>-269345</v>
      </c>
      <c r="F137" s="329">
        <v>-67352</v>
      </c>
      <c r="G137" s="329">
        <v>-154756</v>
      </c>
      <c r="H137" s="329">
        <v>-253489</v>
      </c>
      <c r="I137" s="329">
        <v>-353824</v>
      </c>
      <c r="J137" s="329">
        <v>-190476</v>
      </c>
      <c r="K137" s="329">
        <v>-403537</v>
      </c>
      <c r="L137" s="329">
        <v>-736732</v>
      </c>
      <c r="M137" s="329">
        <v>-1112989</v>
      </c>
      <c r="N137" s="329">
        <v>-256896</v>
      </c>
      <c r="O137" s="329"/>
      <c r="P137" s="329">
        <f>-K130</f>
        <v>-1335586.8</v>
      </c>
      <c r="Q137" s="328">
        <f>P137+N137</f>
        <v>-1592482.8</v>
      </c>
    </row>
    <row r="138" spans="1:24" x14ac:dyDescent="0.6">
      <c r="A138" s="330" t="s">
        <v>94</v>
      </c>
      <c r="B138" s="329">
        <v>127484</v>
      </c>
      <c r="C138" s="329">
        <v>37999</v>
      </c>
      <c r="D138" s="329">
        <v>0</v>
      </c>
      <c r="E138" s="329">
        <v>0</v>
      </c>
      <c r="F138" s="329">
        <v>0</v>
      </c>
      <c r="G138" s="329">
        <v>0</v>
      </c>
      <c r="H138" s="329">
        <v>0</v>
      </c>
      <c r="I138" s="329">
        <v>10483</v>
      </c>
      <c r="J138" s="329">
        <v>264574</v>
      </c>
      <c r="K138" s="329">
        <v>381618</v>
      </c>
      <c r="L138" s="329">
        <v>586721</v>
      </c>
      <c r="M138" s="329">
        <v>115771</v>
      </c>
      <c r="N138" s="329">
        <v>0</v>
      </c>
      <c r="O138" s="329"/>
      <c r="P138" s="329">
        <f>M138</f>
        <v>115771</v>
      </c>
      <c r="Q138" s="328">
        <f>M138</f>
        <v>115771</v>
      </c>
    </row>
    <row r="139" spans="1:24" x14ac:dyDescent="0.6">
      <c r="A139" s="330" t="s">
        <v>93</v>
      </c>
      <c r="B139" s="329">
        <v>32141</v>
      </c>
      <c r="C139" s="329">
        <v>-102902</v>
      </c>
      <c r="D139" s="329">
        <v>-80821</v>
      </c>
      <c r="E139" s="329">
        <v>-305378</v>
      </c>
      <c r="F139" s="329">
        <v>-1414</v>
      </c>
      <c r="G139" s="329">
        <v>-96818</v>
      </c>
      <c r="H139" s="329">
        <v>-159312</v>
      </c>
      <c r="I139" s="329">
        <v>-192099</v>
      </c>
      <c r="J139" s="329">
        <v>0</v>
      </c>
      <c r="K139" s="329">
        <v>-156008</v>
      </c>
      <c r="L139" s="329">
        <v>-530012</v>
      </c>
      <c r="M139" s="329">
        <v>-363298</v>
      </c>
      <c r="N139" s="329">
        <v>-86514</v>
      </c>
      <c r="O139" s="329"/>
      <c r="P139" s="329">
        <f>Q139-N139</f>
        <v>-276784</v>
      </c>
      <c r="Q139" s="328">
        <f>M139</f>
        <v>-363298</v>
      </c>
    </row>
    <row r="140" spans="1:24" x14ac:dyDescent="0.6">
      <c r="A140" s="330" t="s">
        <v>92</v>
      </c>
      <c r="B140" s="329">
        <v>1551244</v>
      </c>
      <c r="C140" s="329">
        <v>1470455</v>
      </c>
      <c r="D140" s="329">
        <v>920297</v>
      </c>
      <c r="E140" s="329">
        <v>1625685</v>
      </c>
      <c r="F140" s="329">
        <v>571184</v>
      </c>
      <c r="G140" s="329">
        <v>1530459</v>
      </c>
      <c r="H140" s="329">
        <v>2505615</v>
      </c>
      <c r="I140" s="329">
        <v>5250259</v>
      </c>
      <c r="J140" s="329">
        <v>1637868</v>
      </c>
      <c r="K140" s="329">
        <v>3811129</v>
      </c>
      <c r="L140" s="329">
        <v>7240993</v>
      </c>
      <c r="M140" s="329">
        <v>8840880</v>
      </c>
      <c r="N140" s="329">
        <v>3582625</v>
      </c>
      <c r="O140" s="329"/>
      <c r="P140" s="329">
        <f>SUM(P136:P139)</f>
        <v>10389168.409478277</v>
      </c>
      <c r="Q140" s="328">
        <f>SUM(Q136:Q139)</f>
        <v>13971793.409478281</v>
      </c>
    </row>
    <row r="141" spans="1:24" x14ac:dyDescent="0.6">
      <c r="A141" s="330" t="s">
        <v>91</v>
      </c>
      <c r="B141" s="329">
        <v>-583124</v>
      </c>
      <c r="C141" s="329">
        <v>-798703</v>
      </c>
      <c r="D141" s="329">
        <v>-626021</v>
      </c>
      <c r="E141" s="329">
        <v>-1485026</v>
      </c>
      <c r="F141" s="329">
        <v>-375000</v>
      </c>
      <c r="G141" s="329">
        <v>-742660</v>
      </c>
      <c r="H141" s="329">
        <v>-1217681</v>
      </c>
      <c r="I141" s="329">
        <v>-2655049</v>
      </c>
      <c r="J141" s="329">
        <v>-619155</v>
      </c>
      <c r="K141" s="329">
        <v>-1640764</v>
      </c>
      <c r="L141" s="329">
        <v>-2090106</v>
      </c>
      <c r="M141" s="329">
        <v>-2730674</v>
      </c>
      <c r="N141" s="329">
        <v>-883375</v>
      </c>
      <c r="O141" s="329"/>
      <c r="P141" s="329">
        <f>Q141-N141</f>
        <v>-1847299</v>
      </c>
      <c r="Q141" s="328">
        <f>M141</f>
        <v>-2730674</v>
      </c>
    </row>
    <row r="142" spans="1:24" x14ac:dyDescent="0.6">
      <c r="A142" s="330" t="s">
        <v>89</v>
      </c>
      <c r="B142" s="329">
        <v>0</v>
      </c>
      <c r="C142" s="329">
        <v>0</v>
      </c>
      <c r="D142" s="329">
        <v>0</v>
      </c>
      <c r="E142" s="329">
        <v>0</v>
      </c>
      <c r="F142" s="329">
        <v>0</v>
      </c>
      <c r="G142" s="329">
        <v>0</v>
      </c>
      <c r="H142" s="329">
        <v>0</v>
      </c>
      <c r="I142" s="329">
        <v>6094</v>
      </c>
      <c r="J142" s="329">
        <v>0</v>
      </c>
      <c r="K142" s="329">
        <v>9803</v>
      </c>
      <c r="L142" s="329">
        <v>10988</v>
      </c>
      <c r="M142" s="329">
        <v>210944</v>
      </c>
      <c r="N142" s="329">
        <v>8402</v>
      </c>
      <c r="O142" s="329"/>
      <c r="P142" s="329">
        <f>Q142-N142</f>
        <v>202542</v>
      </c>
      <c r="Q142" s="328">
        <f>M142</f>
        <v>210944</v>
      </c>
    </row>
    <row r="143" spans="1:24" x14ac:dyDescent="0.6">
      <c r="A143" s="330" t="s">
        <v>88</v>
      </c>
      <c r="B143" s="329">
        <v>36048</v>
      </c>
      <c r="C143" s="329">
        <v>11026</v>
      </c>
      <c r="D143" s="329">
        <v>37239</v>
      </c>
      <c r="E143" s="329">
        <v>-50943</v>
      </c>
      <c r="F143" s="329">
        <v>0</v>
      </c>
      <c r="G143" s="329">
        <v>-124335</v>
      </c>
      <c r="H143" s="329">
        <v>-222419</v>
      </c>
      <c r="I143" s="329">
        <v>-999079</v>
      </c>
      <c r="J143" s="329">
        <v>-488048</v>
      </c>
      <c r="K143" s="329">
        <v>-172417</v>
      </c>
      <c r="L143" s="329">
        <v>-174820</v>
      </c>
      <c r="M143" s="329">
        <v>-306300</v>
      </c>
      <c r="N143" s="329">
        <v>0</v>
      </c>
      <c r="O143" s="329"/>
      <c r="P143" s="329">
        <f>Q143</f>
        <v>-306300</v>
      </c>
      <c r="Q143" s="328">
        <f>M143</f>
        <v>-306300</v>
      </c>
    </row>
    <row r="144" spans="1:24" x14ac:dyDescent="0.6">
      <c r="A144" s="330" t="s">
        <v>87</v>
      </c>
      <c r="B144" s="329">
        <v>1004168</v>
      </c>
      <c r="C144" s="329">
        <v>682778</v>
      </c>
      <c r="D144" s="329">
        <v>331515</v>
      </c>
      <c r="E144" s="329">
        <v>89716</v>
      </c>
      <c r="F144" s="329">
        <v>196184</v>
      </c>
      <c r="G144" s="329">
        <v>663464</v>
      </c>
      <c r="H144" s="329">
        <v>1065515</v>
      </c>
      <c r="I144" s="329">
        <v>1602225</v>
      </c>
      <c r="J144" s="329">
        <v>530665</v>
      </c>
      <c r="K144" s="329">
        <v>2007751</v>
      </c>
      <c r="L144" s="329">
        <v>4987055</v>
      </c>
      <c r="M144" s="329">
        <v>6014850</v>
      </c>
      <c r="N144" s="329">
        <v>2707652</v>
      </c>
      <c r="O144" s="329"/>
      <c r="P144" s="329">
        <f>SUM(P140:P143)</f>
        <v>8438111.409478277</v>
      </c>
      <c r="Q144" s="328">
        <f>SUM(Q140:Q143)</f>
        <v>11145763.409478281</v>
      </c>
      <c r="V144" s="319"/>
      <c r="W144" s="320"/>
      <c r="X144" s="319"/>
    </row>
    <row r="145" spans="1:39" x14ac:dyDescent="0.6">
      <c r="A145" s="330" t="s">
        <v>83</v>
      </c>
      <c r="B145" s="329">
        <v>-199798</v>
      </c>
      <c r="C145" s="329">
        <v>-159544</v>
      </c>
      <c r="D145" s="329">
        <v>-72502</v>
      </c>
      <c r="E145" s="329">
        <v>0</v>
      </c>
      <c r="F145" s="329">
        <v>0</v>
      </c>
      <c r="G145" s="329">
        <v>0</v>
      </c>
      <c r="H145" s="329">
        <v>0</v>
      </c>
      <c r="I145" s="329">
        <v>-4187</v>
      </c>
      <c r="J145" s="329">
        <v>0</v>
      </c>
      <c r="K145" s="329">
        <v>0</v>
      </c>
      <c r="L145" s="329">
        <v>0</v>
      </c>
      <c r="M145" s="329">
        <v>0</v>
      </c>
      <c r="N145" s="329">
        <v>0</v>
      </c>
      <c r="O145" s="329"/>
      <c r="P145" s="329">
        <v>0</v>
      </c>
      <c r="Q145" s="328">
        <v>0</v>
      </c>
      <c r="V145" s="319"/>
      <c r="W145" s="320"/>
      <c r="X145" s="319"/>
    </row>
    <row r="146" spans="1:39" x14ac:dyDescent="0.6">
      <c r="A146" s="330" t="s">
        <v>86</v>
      </c>
      <c r="B146" s="329">
        <v>804370</v>
      </c>
      <c r="C146" s="329">
        <v>523234</v>
      </c>
      <c r="D146" s="329">
        <v>259013</v>
      </c>
      <c r="E146" s="329">
        <v>89716</v>
      </c>
      <c r="F146" s="329">
        <v>196184</v>
      </c>
      <c r="G146" s="329">
        <v>663464</v>
      </c>
      <c r="H146" s="329">
        <v>1065515</v>
      </c>
      <c r="I146" s="329">
        <v>1598038</v>
      </c>
      <c r="J146" s="329">
        <v>530665</v>
      </c>
      <c r="K146" s="329">
        <v>2007751</v>
      </c>
      <c r="L146" s="329">
        <v>4987055</v>
      </c>
      <c r="M146" s="329">
        <v>6014850</v>
      </c>
      <c r="N146" s="329">
        <v>2707652</v>
      </c>
      <c r="O146" s="329"/>
      <c r="P146" s="329">
        <f>P144</f>
        <v>8438111.409478277</v>
      </c>
      <c r="Q146" s="328">
        <f>Q144</f>
        <v>11145763.409478281</v>
      </c>
      <c r="V146" s="319"/>
      <c r="W146" s="320"/>
      <c r="X146" s="319"/>
    </row>
    <row r="147" spans="1:39" x14ac:dyDescent="0.6">
      <c r="A147" s="330" t="s">
        <v>85</v>
      </c>
      <c r="B147" s="329">
        <v>161</v>
      </c>
      <c r="C147" s="329">
        <v>87</v>
      </c>
      <c r="D147" s="329">
        <v>43</v>
      </c>
      <c r="E147" s="329">
        <v>13</v>
      </c>
      <c r="F147" s="329">
        <v>28</v>
      </c>
      <c r="G147" s="329">
        <v>95</v>
      </c>
      <c r="H147" s="329">
        <v>152</v>
      </c>
      <c r="I147" s="329">
        <v>228</v>
      </c>
      <c r="J147" s="329">
        <v>76</v>
      </c>
      <c r="K147" s="329">
        <v>287</v>
      </c>
      <c r="L147" s="329">
        <v>712</v>
      </c>
      <c r="M147" s="329">
        <f>M146*1000/M148</f>
        <v>859.26428571428573</v>
      </c>
      <c r="N147" s="329">
        <f>N146*1000/N148</f>
        <v>246.15018181818181</v>
      </c>
      <c r="O147" s="329"/>
      <c r="P147" s="329">
        <f>P146*1000/P148</f>
        <v>767.10103722529789</v>
      </c>
      <c r="Q147" s="328">
        <f>Q146*1000/Q148</f>
        <v>1013.2512190434801</v>
      </c>
      <c r="V147" s="319"/>
      <c r="W147" s="320"/>
      <c r="X147" s="319"/>
    </row>
    <row r="148" spans="1:39" ht="23.25" thickBot="1" x14ac:dyDescent="0.65">
      <c r="A148" s="327" t="s">
        <v>84</v>
      </c>
      <c r="B148" s="326">
        <v>5000000</v>
      </c>
      <c r="C148" s="326">
        <v>6000000</v>
      </c>
      <c r="D148" s="326">
        <v>6000000</v>
      </c>
      <c r="E148" s="326">
        <v>7000000</v>
      </c>
      <c r="F148" s="326">
        <v>7000000</v>
      </c>
      <c r="G148" s="326">
        <v>7000000</v>
      </c>
      <c r="H148" s="326">
        <v>7000000</v>
      </c>
      <c r="I148" s="326">
        <v>7000000</v>
      </c>
      <c r="J148" s="326">
        <v>7000000</v>
      </c>
      <c r="K148" s="326">
        <v>7000000</v>
      </c>
      <c r="L148" s="326">
        <v>7000000</v>
      </c>
      <c r="M148" s="326">
        <v>7000000</v>
      </c>
      <c r="N148" s="326">
        <v>11000000</v>
      </c>
      <c r="O148" s="326"/>
      <c r="P148" s="326">
        <f>N148</f>
        <v>11000000</v>
      </c>
      <c r="Q148" s="325">
        <f>P148</f>
        <v>11000000</v>
      </c>
      <c r="V148" s="320"/>
      <c r="X148" s="320"/>
    </row>
    <row r="149" spans="1:39" x14ac:dyDescent="0.6">
      <c r="V149" s="319"/>
      <c r="W149" s="320"/>
      <c r="X149" s="319"/>
    </row>
    <row r="150" spans="1:39" ht="40.5" x14ac:dyDescent="1.05">
      <c r="A150" s="95" t="s">
        <v>82</v>
      </c>
      <c r="B150" s="405" t="s">
        <v>81</v>
      </c>
      <c r="C150" s="405" t="s">
        <v>80</v>
      </c>
      <c r="D150" s="405" t="s">
        <v>79</v>
      </c>
      <c r="E150" s="405" t="s">
        <v>78</v>
      </c>
      <c r="F150" s="405" t="s">
        <v>77</v>
      </c>
      <c r="G150" s="405" t="s">
        <v>76</v>
      </c>
      <c r="H150" s="405" t="s">
        <v>75</v>
      </c>
      <c r="I150" s="405" t="s">
        <v>74</v>
      </c>
      <c r="J150" s="405" t="s">
        <v>73</v>
      </c>
      <c r="K150" s="405" t="s">
        <v>72</v>
      </c>
      <c r="L150" s="405" t="s">
        <v>71</v>
      </c>
      <c r="M150" s="405" t="s">
        <v>70</v>
      </c>
      <c r="N150" s="405" t="s">
        <v>69</v>
      </c>
      <c r="O150" s="405" t="s">
        <v>68</v>
      </c>
      <c r="P150" s="405" t="s">
        <v>67</v>
      </c>
      <c r="Q150" s="405" t="s">
        <v>66</v>
      </c>
      <c r="V150" s="319"/>
      <c r="W150" s="320"/>
      <c r="X150" s="319"/>
    </row>
    <row r="151" spans="1:39" x14ac:dyDescent="0.6">
      <c r="A151" s="93" t="s">
        <v>65</v>
      </c>
      <c r="B151" s="247">
        <f t="shared" ref="B151:N151" si="38">B136/B134</f>
        <v>0.18068848230062812</v>
      </c>
      <c r="C151" s="247">
        <f t="shared" si="38"/>
        <v>0.15339079552079615</v>
      </c>
      <c r="D151" s="247">
        <f t="shared" si="38"/>
        <v>0.19765079214802267</v>
      </c>
      <c r="E151" s="247">
        <f t="shared" si="38"/>
        <v>0.24709587046851245</v>
      </c>
      <c r="F151" s="247">
        <f t="shared" si="38"/>
        <v>0.25383086483362666</v>
      </c>
      <c r="G151" s="247">
        <f t="shared" si="38"/>
        <v>0.27055993482389562</v>
      </c>
      <c r="H151" s="247">
        <f t="shared" si="38"/>
        <v>0.26396513913719399</v>
      </c>
      <c r="I151" s="247">
        <f t="shared" si="38"/>
        <v>0.30515621635973472</v>
      </c>
      <c r="J151" s="247">
        <f t="shared" si="38"/>
        <v>0.29511325126946614</v>
      </c>
      <c r="K151" s="247">
        <f t="shared" si="38"/>
        <v>0.30373003263852794</v>
      </c>
      <c r="L151" s="247">
        <f t="shared" si="38"/>
        <v>0.33768506082347499</v>
      </c>
      <c r="M151" s="247">
        <f t="shared" si="38"/>
        <v>0.30160685078940258</v>
      </c>
      <c r="N151" s="247">
        <f t="shared" si="38"/>
        <v>0.33962604789186318</v>
      </c>
      <c r="O151" s="247"/>
      <c r="P151" s="247">
        <f>P136/P134</f>
        <v>0.36355394092998566</v>
      </c>
      <c r="Q151" s="247">
        <f>Q136/Q134</f>
        <v>0.35730345970423699</v>
      </c>
      <c r="V151" s="319"/>
      <c r="W151" s="320"/>
      <c r="X151" s="319"/>
      <c r="Z151" s="349"/>
      <c r="AF151" s="349"/>
      <c r="AJ151" s="349"/>
    </row>
    <row r="152" spans="1:39" x14ac:dyDescent="0.6">
      <c r="A152" s="91" t="s">
        <v>64</v>
      </c>
      <c r="B152" s="246">
        <f t="shared" ref="B152:N152" si="39">B140/B134</f>
        <v>0.18451146764765494</v>
      </c>
      <c r="C152" s="246">
        <f t="shared" si="39"/>
        <v>0.14335860343681206</v>
      </c>
      <c r="D152" s="246">
        <f t="shared" si="39"/>
        <v>0.1589940239267523</v>
      </c>
      <c r="E152" s="246">
        <f t="shared" si="39"/>
        <v>0.18255707586166006</v>
      </c>
      <c r="F152" s="246">
        <f t="shared" si="39"/>
        <v>0.2265554007330732</v>
      </c>
      <c r="G152" s="246">
        <f t="shared" si="39"/>
        <v>0.23236432057691661</v>
      </c>
      <c r="H152" s="246">
        <f t="shared" si="39"/>
        <v>0.22662807910155383</v>
      </c>
      <c r="I152" s="246">
        <f t="shared" si="39"/>
        <v>0.27691540319478153</v>
      </c>
      <c r="J152" s="246">
        <f t="shared" si="39"/>
        <v>0.30909695839555557</v>
      </c>
      <c r="K152" s="246">
        <f t="shared" si="39"/>
        <v>0.29018252327358662</v>
      </c>
      <c r="L152" s="246">
        <f t="shared" si="39"/>
        <v>0.30869463735805563</v>
      </c>
      <c r="M152" s="246">
        <f t="shared" si="39"/>
        <v>0.26138285142611989</v>
      </c>
      <c r="N152" s="246">
        <f t="shared" si="39"/>
        <v>0.3099189818299089</v>
      </c>
      <c r="O152" s="246"/>
      <c r="P152" s="246">
        <f>P140/P134</f>
        <v>0.31777694564488984</v>
      </c>
      <c r="Q152" s="246">
        <f>Q140/Q134</f>
        <v>0.31572427618419407</v>
      </c>
      <c r="V152" s="320"/>
      <c r="W152" s="349"/>
      <c r="X152" s="320"/>
      <c r="Y152" s="349"/>
      <c r="Z152" s="349"/>
      <c r="AA152" s="349"/>
      <c r="AB152" s="349"/>
      <c r="AC152" s="349"/>
      <c r="AF152" s="349"/>
      <c r="AG152" s="349"/>
      <c r="AH152" s="349"/>
      <c r="AI152" s="349"/>
      <c r="AJ152" s="349"/>
      <c r="AK152" s="349"/>
      <c r="AL152" s="349"/>
      <c r="AM152" s="349"/>
    </row>
    <row r="153" spans="1:39" x14ac:dyDescent="0.6">
      <c r="A153" s="89" t="s">
        <v>63</v>
      </c>
      <c r="B153" s="245">
        <f t="shared" ref="B153:N153" si="40">B146/B134</f>
        <v>9.5675141519802304E-2</v>
      </c>
      <c r="C153" s="245">
        <f t="shared" si="40"/>
        <v>5.1011486587931573E-2</v>
      </c>
      <c r="D153" s="245">
        <f t="shared" si="40"/>
        <v>4.4748074935960773E-2</v>
      </c>
      <c r="E153" s="245">
        <f t="shared" si="40"/>
        <v>1.0074701198574567E-2</v>
      </c>
      <c r="F153" s="245">
        <f t="shared" si="40"/>
        <v>7.7814758006907125E-2</v>
      </c>
      <c r="G153" s="245">
        <f t="shared" si="40"/>
        <v>0.10073145480358729</v>
      </c>
      <c r="H153" s="245">
        <f t="shared" si="40"/>
        <v>9.6373791545745116E-2</v>
      </c>
      <c r="I153" s="245">
        <f t="shared" si="40"/>
        <v>8.4285620402837713E-2</v>
      </c>
      <c r="J153" s="245">
        <f t="shared" si="40"/>
        <v>0.1001466158609714</v>
      </c>
      <c r="K153" s="245">
        <f t="shared" si="40"/>
        <v>0.15287182650733336</v>
      </c>
      <c r="L153" s="245">
        <f t="shared" si="40"/>
        <v>0.21260580347331895</v>
      </c>
      <c r="M153" s="245">
        <f t="shared" si="40"/>
        <v>0.1778305602949477</v>
      </c>
      <c r="N153" s="245">
        <f t="shared" si="40"/>
        <v>0.23422846404234787</v>
      </c>
      <c r="O153" s="245"/>
      <c r="P153" s="245">
        <f>P146/P134</f>
        <v>0.25809931700298233</v>
      </c>
      <c r="Q153" s="245">
        <f>Q146/Q134</f>
        <v>0.25186373587449196</v>
      </c>
      <c r="V153" s="319"/>
      <c r="W153" s="320"/>
      <c r="X153" s="319"/>
      <c r="Y153" s="349"/>
      <c r="Z153" s="349"/>
      <c r="AA153" s="349"/>
      <c r="AB153" s="349"/>
      <c r="AC153" s="349"/>
      <c r="AF153" s="349"/>
      <c r="AG153" s="349"/>
      <c r="AH153" s="349"/>
      <c r="AI153" s="349"/>
      <c r="AJ153" s="349"/>
      <c r="AK153" s="349"/>
      <c r="AL153" s="349"/>
      <c r="AM153" s="349"/>
    </row>
    <row r="154" spans="1:39" x14ac:dyDescent="0.6">
      <c r="W154" s="349"/>
      <c r="X154" s="319"/>
      <c r="Y154" s="349"/>
      <c r="Z154" s="349"/>
      <c r="AA154" s="349"/>
      <c r="AB154" s="349"/>
      <c r="AC154" s="349"/>
      <c r="AF154" s="349"/>
      <c r="AG154" s="349"/>
      <c r="AH154" s="349"/>
      <c r="AI154" s="349"/>
      <c r="AJ154" s="349"/>
      <c r="AK154" s="349"/>
      <c r="AL154" s="349"/>
      <c r="AM154" s="349"/>
    </row>
    <row r="155" spans="1:39" x14ac:dyDescent="0.6">
      <c r="A155" s="81"/>
      <c r="B155" s="81" t="s">
        <v>81</v>
      </c>
      <c r="C155" s="81" t="s">
        <v>80</v>
      </c>
      <c r="D155" s="81" t="s">
        <v>79</v>
      </c>
      <c r="E155" s="81" t="s">
        <v>78</v>
      </c>
      <c r="F155" s="81" t="s">
        <v>74</v>
      </c>
      <c r="G155" s="81" t="s">
        <v>70</v>
      </c>
      <c r="H155" s="81" t="s">
        <v>69</v>
      </c>
      <c r="I155" s="81" t="s">
        <v>66</v>
      </c>
      <c r="W155" s="349"/>
      <c r="X155" s="319"/>
      <c r="Y155" s="349"/>
      <c r="Z155" s="349"/>
      <c r="AA155" s="349"/>
      <c r="AB155" s="349"/>
      <c r="AC155" s="349"/>
      <c r="AF155" s="349"/>
      <c r="AG155" s="349"/>
      <c r="AH155" s="349"/>
      <c r="AI155" s="349"/>
      <c r="AJ155" s="349"/>
      <c r="AK155" s="349"/>
      <c r="AL155" s="349"/>
      <c r="AM155" s="349"/>
    </row>
    <row r="156" spans="1:39" ht="25.5" x14ac:dyDescent="0.7">
      <c r="A156" s="637" t="s">
        <v>441</v>
      </c>
      <c r="B156" s="639">
        <f>B134*1000/B148</f>
        <v>1681.4608000000001</v>
      </c>
      <c r="C156" s="639">
        <f>C134*1000/C148</f>
        <v>1709.53</v>
      </c>
      <c r="D156" s="639">
        <f>D134*1000/D148</f>
        <v>964.70816666666667</v>
      </c>
      <c r="E156" s="639">
        <f>E134*1000/E148</f>
        <v>1272.154</v>
      </c>
      <c r="F156" s="639">
        <f>I134*1000/I148</f>
        <v>2708.5419999999999</v>
      </c>
      <c r="G156" s="639">
        <f>M134*1000/M148</f>
        <v>4831.9269999999997</v>
      </c>
      <c r="H156" s="639">
        <f>N134*1000/N148</f>
        <v>1050.8978181818181</v>
      </c>
      <c r="I156" s="639">
        <f>Q134*1000/Q148</f>
        <v>4023.013537559852</v>
      </c>
      <c r="W156" s="349"/>
      <c r="X156" s="319"/>
      <c r="Y156" s="349"/>
      <c r="Z156" s="349"/>
      <c r="AA156" s="349"/>
      <c r="AB156" s="349"/>
      <c r="AC156" s="349"/>
      <c r="AF156" s="349"/>
      <c r="AG156" s="349"/>
      <c r="AH156" s="349"/>
      <c r="AI156" s="349"/>
      <c r="AJ156" s="349"/>
      <c r="AK156" s="349"/>
      <c r="AL156" s="349"/>
      <c r="AM156" s="349"/>
    </row>
    <row r="157" spans="1:39" ht="25.5" x14ac:dyDescent="0.7">
      <c r="A157" s="638" t="s">
        <v>442</v>
      </c>
      <c r="B157" s="647">
        <f>B246*1000/B148</f>
        <v>1125.9880000000001</v>
      </c>
      <c r="C157" s="647">
        <f>C246*1000/C148</f>
        <v>1087.7713333333334</v>
      </c>
      <c r="D157" s="647">
        <f>D246*1000/D148</f>
        <v>1208.5681666666667</v>
      </c>
      <c r="E157" s="647">
        <f>E246*1000/E148</f>
        <v>1027.8517142857143</v>
      </c>
      <c r="F157" s="647">
        <f>F246*1000/I148</f>
        <v>1254.1428571428571</v>
      </c>
      <c r="G157" s="647">
        <f>G246*1000/M148</f>
        <v>2431.1618571428571</v>
      </c>
      <c r="H157" s="647">
        <f>H246*1000/N148</f>
        <v>1853.8257272727274</v>
      </c>
      <c r="I157" s="647"/>
      <c r="W157" s="349"/>
      <c r="X157" s="319"/>
      <c r="Y157" s="349"/>
      <c r="Z157" s="349"/>
      <c r="AA157" s="349"/>
      <c r="AB157" s="349"/>
      <c r="AC157" s="349"/>
      <c r="AF157" s="349"/>
      <c r="AG157" s="349"/>
      <c r="AH157" s="349"/>
      <c r="AI157" s="349"/>
      <c r="AJ157" s="349"/>
      <c r="AK157" s="349"/>
      <c r="AL157" s="349"/>
      <c r="AM157" s="349"/>
    </row>
    <row r="158" spans="1:39" x14ac:dyDescent="0.6">
      <c r="W158" s="349"/>
      <c r="X158" s="320"/>
      <c r="Y158" s="349"/>
      <c r="Z158" s="349"/>
      <c r="AA158" s="349"/>
      <c r="AB158" s="349"/>
      <c r="AC158" s="349"/>
      <c r="AF158" s="349"/>
      <c r="AG158" s="349"/>
      <c r="AH158" s="349"/>
      <c r="AI158" s="349"/>
      <c r="AJ158" s="349"/>
      <c r="AK158" s="349"/>
      <c r="AL158" s="349"/>
      <c r="AM158" s="349"/>
    </row>
    <row r="159" spans="1:39" x14ac:dyDescent="0.6">
      <c r="A159" s="87" t="s">
        <v>60</v>
      </c>
      <c r="W159" s="320"/>
      <c r="X159" s="319"/>
      <c r="Y159" s="349"/>
      <c r="AC159" s="349"/>
      <c r="AI159" s="349"/>
      <c r="AM159" s="349"/>
    </row>
    <row r="160" spans="1:39" x14ac:dyDescent="0.6">
      <c r="A160" s="322" t="s">
        <v>59</v>
      </c>
      <c r="B160" s="322"/>
      <c r="C160" s="322" t="s">
        <v>57</v>
      </c>
      <c r="D160" s="322"/>
      <c r="E160" s="322"/>
      <c r="F160" s="322"/>
      <c r="G160" s="322" t="s">
        <v>58</v>
      </c>
      <c r="H160" s="322"/>
      <c r="I160" s="322"/>
      <c r="J160" s="322" t="s">
        <v>467</v>
      </c>
      <c r="K160" s="322"/>
      <c r="L160" s="322"/>
      <c r="M160" s="322"/>
      <c r="N160" s="322" t="s">
        <v>468</v>
      </c>
      <c r="O160" s="322"/>
      <c r="P160" s="322"/>
      <c r="Q160" s="322"/>
      <c r="R160" s="322" t="s">
        <v>469</v>
      </c>
      <c r="S160" s="322"/>
      <c r="T160" s="322"/>
      <c r="U160" s="322"/>
      <c r="W160" s="320"/>
      <c r="X160" s="320"/>
    </row>
    <row r="161" spans="1:24" x14ac:dyDescent="0.6">
      <c r="A161" s="322" t="s">
        <v>51</v>
      </c>
      <c r="B161" s="322" t="s">
        <v>56</v>
      </c>
      <c r="C161" s="322" t="s">
        <v>55</v>
      </c>
      <c r="D161" s="322" t="s">
        <v>54</v>
      </c>
      <c r="E161" s="322" t="s">
        <v>53</v>
      </c>
      <c r="F161" s="322" t="s">
        <v>52</v>
      </c>
      <c r="G161" s="322" t="s">
        <v>55</v>
      </c>
      <c r="H161" s="322" t="s">
        <v>54</v>
      </c>
      <c r="I161" s="322" t="s">
        <v>52</v>
      </c>
      <c r="J161" s="322" t="s">
        <v>55</v>
      </c>
      <c r="K161" s="322" t="s">
        <v>54</v>
      </c>
      <c r="L161" s="322" t="s">
        <v>53</v>
      </c>
      <c r="M161" s="322" t="s">
        <v>52</v>
      </c>
      <c r="N161" s="322" t="s">
        <v>55</v>
      </c>
      <c r="O161" s="322" t="s">
        <v>54</v>
      </c>
      <c r="P161" s="322" t="s">
        <v>53</v>
      </c>
      <c r="Q161" s="322" t="s">
        <v>52</v>
      </c>
      <c r="R161" s="322" t="s">
        <v>55</v>
      </c>
      <c r="S161" s="322" t="s">
        <v>54</v>
      </c>
      <c r="T161" s="322" t="s">
        <v>53</v>
      </c>
      <c r="U161" s="322" t="s">
        <v>52</v>
      </c>
      <c r="W161" s="320"/>
      <c r="X161" s="319"/>
    </row>
    <row r="162" spans="1:24" x14ac:dyDescent="0.6">
      <c r="A162" s="322" t="s">
        <v>222</v>
      </c>
      <c r="B162" s="322" t="s">
        <v>188</v>
      </c>
      <c r="C162" s="321">
        <v>491655</v>
      </c>
      <c r="D162" s="323">
        <v>0</v>
      </c>
      <c r="E162" s="323">
        <v>0</v>
      </c>
      <c r="F162" s="323">
        <v>0</v>
      </c>
      <c r="G162" s="323">
        <v>0</v>
      </c>
      <c r="H162" s="323">
        <v>0</v>
      </c>
      <c r="I162" s="323">
        <v>0</v>
      </c>
      <c r="J162" s="321">
        <v>491655</v>
      </c>
      <c r="K162" s="323">
        <v>0</v>
      </c>
      <c r="L162" s="323">
        <v>0</v>
      </c>
      <c r="M162" s="323">
        <v>0</v>
      </c>
      <c r="N162" s="321">
        <v>98860</v>
      </c>
      <c r="O162" s="323">
        <v>0</v>
      </c>
      <c r="P162" s="323">
        <v>0</v>
      </c>
      <c r="Q162" s="323">
        <v>0</v>
      </c>
      <c r="R162" s="321">
        <v>590515</v>
      </c>
      <c r="S162" s="323">
        <v>0</v>
      </c>
      <c r="T162" s="323">
        <v>0</v>
      </c>
      <c r="U162" s="323">
        <v>0</v>
      </c>
    </row>
    <row r="163" spans="1:24" x14ac:dyDescent="0.6">
      <c r="A163" s="322" t="s">
        <v>220</v>
      </c>
      <c r="B163" s="322" t="s">
        <v>188</v>
      </c>
      <c r="C163" s="321">
        <v>626468</v>
      </c>
      <c r="D163" s="323">
        <v>0</v>
      </c>
      <c r="E163" s="323">
        <v>0</v>
      </c>
      <c r="F163" s="323">
        <v>0</v>
      </c>
      <c r="G163" s="323">
        <v>0</v>
      </c>
      <c r="H163" s="323">
        <v>0</v>
      </c>
      <c r="I163" s="323">
        <v>0</v>
      </c>
      <c r="J163" s="321">
        <v>626468</v>
      </c>
      <c r="K163" s="323">
        <v>0</v>
      </c>
      <c r="L163" s="323">
        <v>0</v>
      </c>
      <c r="M163" s="323">
        <v>0</v>
      </c>
      <c r="N163" s="321">
        <v>135201</v>
      </c>
      <c r="O163" s="323">
        <v>0</v>
      </c>
      <c r="P163" s="323">
        <v>0</v>
      </c>
      <c r="Q163" s="323">
        <v>0</v>
      </c>
      <c r="R163" s="321">
        <v>761669</v>
      </c>
      <c r="S163" s="323">
        <v>0</v>
      </c>
      <c r="T163" s="323">
        <v>0</v>
      </c>
      <c r="U163" s="323">
        <v>0</v>
      </c>
    </row>
    <row r="164" spans="1:24" x14ac:dyDescent="0.6">
      <c r="A164" s="322" t="s">
        <v>217</v>
      </c>
      <c r="B164" s="322" t="s">
        <v>188</v>
      </c>
      <c r="C164" s="323">
        <v>0</v>
      </c>
      <c r="D164" s="321">
        <v>125863</v>
      </c>
      <c r="E164" s="321">
        <v>37717026</v>
      </c>
      <c r="F164" s="321">
        <v>4747178</v>
      </c>
      <c r="G164" s="323">
        <v>0</v>
      </c>
      <c r="H164" s="323">
        <v>0</v>
      </c>
      <c r="I164" s="323">
        <v>-3</v>
      </c>
      <c r="J164" s="323">
        <v>0</v>
      </c>
      <c r="K164" s="321">
        <v>125863</v>
      </c>
      <c r="L164" s="321">
        <v>37717002</v>
      </c>
      <c r="M164" s="321">
        <v>4747175</v>
      </c>
      <c r="N164" s="323">
        <v>0</v>
      </c>
      <c r="O164" s="321">
        <v>30552</v>
      </c>
      <c r="P164" s="321">
        <v>33826427</v>
      </c>
      <c r="Q164" s="321">
        <v>1033465</v>
      </c>
      <c r="R164" s="323">
        <v>0</v>
      </c>
      <c r="S164" s="321">
        <v>156415</v>
      </c>
      <c r="T164" s="321">
        <v>36957069</v>
      </c>
      <c r="U164" s="321">
        <v>5780640</v>
      </c>
    </row>
    <row r="165" spans="1:24" x14ac:dyDescent="0.6">
      <c r="A165" s="322" t="s">
        <v>216</v>
      </c>
      <c r="B165" s="322" t="s">
        <v>188</v>
      </c>
      <c r="C165" s="323">
        <v>0</v>
      </c>
      <c r="D165" s="321">
        <v>385319</v>
      </c>
      <c r="E165" s="321">
        <v>42686413</v>
      </c>
      <c r="F165" s="321">
        <v>16447886</v>
      </c>
      <c r="G165" s="323">
        <v>0</v>
      </c>
      <c r="H165" s="323">
        <v>0</v>
      </c>
      <c r="I165" s="323">
        <v>0</v>
      </c>
      <c r="J165" s="323">
        <v>0</v>
      </c>
      <c r="K165" s="321">
        <v>385319</v>
      </c>
      <c r="L165" s="321">
        <v>42686413</v>
      </c>
      <c r="M165" s="321">
        <v>16447886</v>
      </c>
      <c r="N165" s="323">
        <v>0</v>
      </c>
      <c r="O165" s="321">
        <v>76710</v>
      </c>
      <c r="P165" s="321">
        <v>41524860</v>
      </c>
      <c r="Q165" s="321">
        <v>3185372</v>
      </c>
      <c r="R165" s="323">
        <v>0</v>
      </c>
      <c r="S165" s="321">
        <v>462029</v>
      </c>
      <c r="T165" s="321">
        <v>42493562</v>
      </c>
      <c r="U165" s="321">
        <v>19633258</v>
      </c>
    </row>
    <row r="166" spans="1:24" x14ac:dyDescent="0.6">
      <c r="A166" s="322" t="s">
        <v>215</v>
      </c>
      <c r="B166" s="322" t="s">
        <v>188</v>
      </c>
      <c r="C166" s="323">
        <v>0</v>
      </c>
      <c r="D166" s="321">
        <v>17297</v>
      </c>
      <c r="E166" s="321">
        <v>20566803</v>
      </c>
      <c r="F166" s="321">
        <v>355744</v>
      </c>
      <c r="G166" s="323">
        <v>0</v>
      </c>
      <c r="H166" s="323">
        <v>-125</v>
      </c>
      <c r="I166" s="323">
        <v>-2321</v>
      </c>
      <c r="J166" s="323">
        <v>0</v>
      </c>
      <c r="K166" s="321">
        <v>17172</v>
      </c>
      <c r="L166" s="321">
        <v>20581353</v>
      </c>
      <c r="M166" s="321">
        <v>353423</v>
      </c>
      <c r="N166" s="323">
        <v>0</v>
      </c>
      <c r="O166" s="321">
        <v>9826</v>
      </c>
      <c r="P166" s="321">
        <v>20384490</v>
      </c>
      <c r="Q166" s="321">
        <v>200298</v>
      </c>
      <c r="R166" s="323">
        <v>0</v>
      </c>
      <c r="S166" s="321">
        <v>26998</v>
      </c>
      <c r="T166" s="321">
        <v>20509704</v>
      </c>
      <c r="U166" s="321">
        <v>553721</v>
      </c>
    </row>
    <row r="167" spans="1:24" x14ac:dyDescent="0.6">
      <c r="A167" s="322" t="s">
        <v>214</v>
      </c>
      <c r="B167" s="322" t="s">
        <v>188</v>
      </c>
      <c r="C167" s="323">
        <v>0</v>
      </c>
      <c r="D167" s="321">
        <v>18311</v>
      </c>
      <c r="E167" s="321">
        <v>3650101</v>
      </c>
      <c r="F167" s="321">
        <v>66837</v>
      </c>
      <c r="G167" s="323">
        <v>0</v>
      </c>
      <c r="H167" s="323">
        <v>0</v>
      </c>
      <c r="I167" s="323">
        <v>0</v>
      </c>
      <c r="J167" s="323">
        <v>0</v>
      </c>
      <c r="K167" s="321">
        <v>18311</v>
      </c>
      <c r="L167" s="321">
        <v>3650101</v>
      </c>
      <c r="M167" s="321">
        <v>66837</v>
      </c>
      <c r="N167" s="323">
        <v>0</v>
      </c>
      <c r="O167" s="323">
        <v>0</v>
      </c>
      <c r="P167" s="323">
        <v>0</v>
      </c>
      <c r="Q167" s="323">
        <v>0</v>
      </c>
      <c r="R167" s="323">
        <v>0</v>
      </c>
      <c r="S167" s="321">
        <v>18311</v>
      </c>
      <c r="T167" s="321">
        <v>3650101</v>
      </c>
      <c r="U167" s="321">
        <v>66837</v>
      </c>
    </row>
    <row r="168" spans="1:24" x14ac:dyDescent="0.6">
      <c r="A168" s="322" t="s">
        <v>472</v>
      </c>
      <c r="B168" s="322" t="s">
        <v>188</v>
      </c>
      <c r="C168" s="323">
        <v>0</v>
      </c>
      <c r="D168" s="323">
        <v>0</v>
      </c>
      <c r="E168" s="323">
        <v>0</v>
      </c>
      <c r="F168" s="321">
        <v>0</v>
      </c>
      <c r="G168" s="323">
        <v>0</v>
      </c>
      <c r="H168" s="323">
        <v>0</v>
      </c>
      <c r="I168" s="323">
        <v>0</v>
      </c>
      <c r="J168" s="323">
        <v>0</v>
      </c>
      <c r="K168" s="323">
        <v>0</v>
      </c>
      <c r="L168" s="323">
        <v>0</v>
      </c>
      <c r="M168" s="321">
        <v>0</v>
      </c>
      <c r="N168" s="323">
        <v>0</v>
      </c>
      <c r="O168" s="321">
        <v>14865</v>
      </c>
      <c r="P168" s="321">
        <v>18012916</v>
      </c>
      <c r="Q168" s="321">
        <v>267762</v>
      </c>
      <c r="R168" s="323">
        <v>0</v>
      </c>
      <c r="S168" s="321">
        <v>14865</v>
      </c>
      <c r="T168" s="321">
        <v>18012916</v>
      </c>
      <c r="U168" s="321">
        <v>267762</v>
      </c>
    </row>
    <row r="169" spans="1:24" x14ac:dyDescent="0.6">
      <c r="A169" s="286" t="s">
        <v>45</v>
      </c>
      <c r="F169" s="319">
        <v>21617645</v>
      </c>
      <c r="I169" s="319">
        <v>-2324</v>
      </c>
      <c r="M169" s="319">
        <v>21615321</v>
      </c>
      <c r="Q169" s="319">
        <v>4686897</v>
      </c>
      <c r="U169" s="319">
        <v>26302218</v>
      </c>
    </row>
    <row r="170" spans="1:24" x14ac:dyDescent="0.6">
      <c r="N170" s="319">
        <f>N162</f>
        <v>98860</v>
      </c>
      <c r="Q170" s="320"/>
      <c r="R170" s="319">
        <f>R162</f>
        <v>590515</v>
      </c>
      <c r="S170" s="320">
        <f>SUM(S162:S168)</f>
        <v>678618</v>
      </c>
    </row>
    <row r="171" spans="1:24" x14ac:dyDescent="0.6">
      <c r="N171" s="319"/>
      <c r="R171" s="319">
        <f>R162+R163</f>
        <v>1352184</v>
      </c>
    </row>
    <row r="172" spans="1:24" x14ac:dyDescent="0.6">
      <c r="A172" s="1036" t="s">
        <v>44</v>
      </c>
    </row>
    <row r="173" spans="1:24" x14ac:dyDescent="0.6">
      <c r="A173" s="1036"/>
    </row>
    <row r="174" spans="1:24" ht="23.25" thickBot="1" x14ac:dyDescent="0.65">
      <c r="A174" s="1036"/>
      <c r="B174" s="200"/>
      <c r="C174" s="82" t="s">
        <v>43</v>
      </c>
      <c r="D174" s="82" t="s">
        <v>224</v>
      </c>
      <c r="E174" s="82" t="s">
        <v>41</v>
      </c>
      <c r="F174" s="82" t="s">
        <v>223</v>
      </c>
      <c r="G174" s="82" t="s">
        <v>499</v>
      </c>
      <c r="H174" s="82" t="s">
        <v>38</v>
      </c>
      <c r="I174" s="82" t="s">
        <v>37</v>
      </c>
      <c r="J174" s="82" t="s">
        <v>36</v>
      </c>
      <c r="K174" s="82" t="s">
        <v>35</v>
      </c>
      <c r="L174" s="82" t="s">
        <v>34</v>
      </c>
    </row>
    <row r="175" spans="1:24" ht="24" thickTop="1" thickBot="1" x14ac:dyDescent="0.65">
      <c r="A175" s="719" t="s">
        <v>221</v>
      </c>
      <c r="B175" s="720">
        <f>H175</f>
        <v>1018768</v>
      </c>
      <c r="C175" s="721"/>
      <c r="D175" s="722">
        <f>AVERAGE(M3,I3)</f>
        <v>967872.5</v>
      </c>
      <c r="E175" s="722">
        <f>N170</f>
        <v>98860</v>
      </c>
      <c r="F175" s="722">
        <f>R162</f>
        <v>590515</v>
      </c>
      <c r="G175" s="722">
        <f>N3</f>
        <v>295245</v>
      </c>
      <c r="H175" s="722">
        <f>MAX(M3,I3,D3:H3)</f>
        <v>1018768</v>
      </c>
      <c r="I175" s="722">
        <f>MIN(M3,I3,E3,D3)</f>
        <v>20304</v>
      </c>
      <c r="J175" s="722">
        <f>AVERAGE(D175:H175)</f>
        <v>594252.1</v>
      </c>
      <c r="K175" s="722"/>
      <c r="L175" s="721"/>
    </row>
    <row r="176" spans="1:24" ht="24" thickTop="1" thickBot="1" x14ac:dyDescent="0.65">
      <c r="A176" s="723" t="s">
        <v>193</v>
      </c>
      <c r="B176" s="724">
        <f>C176+23</f>
        <v>378</v>
      </c>
      <c r="C176" s="725">
        <f>پنل!B2</f>
        <v>355</v>
      </c>
      <c r="D176" s="725"/>
      <c r="E176" s="725"/>
      <c r="F176" s="726"/>
      <c r="G176" s="725"/>
      <c r="H176" s="725"/>
      <c r="I176" s="725"/>
      <c r="J176" s="725"/>
      <c r="K176" s="725"/>
      <c r="L176" s="726"/>
    </row>
    <row r="177" spans="1:24" ht="24" thickTop="1" thickBot="1" x14ac:dyDescent="0.65">
      <c r="A177" s="727" t="s">
        <v>192</v>
      </c>
      <c r="B177" s="728">
        <f>B176*B178</f>
        <v>41580000</v>
      </c>
      <c r="C177" s="729">
        <f>C176*B178</f>
        <v>39050000</v>
      </c>
      <c r="D177" s="729"/>
      <c r="E177" s="729">
        <f>P165</f>
        <v>41524860</v>
      </c>
      <c r="F177" s="729">
        <f>T165</f>
        <v>42493562</v>
      </c>
      <c r="G177" s="729">
        <f>N56</f>
        <v>41368746.068094313</v>
      </c>
      <c r="H177" s="729"/>
      <c r="I177" s="729"/>
      <c r="J177" s="729"/>
      <c r="K177" s="729" t="s">
        <v>498</v>
      </c>
      <c r="L177" s="729">
        <v>34260285.714285716</v>
      </c>
    </row>
    <row r="178" spans="1:24" ht="24" thickTop="1" thickBot="1" x14ac:dyDescent="0.65">
      <c r="A178" s="730" t="s">
        <v>26</v>
      </c>
      <c r="B178" s="731">
        <f>C178</f>
        <v>110000</v>
      </c>
      <c r="C178" s="732">
        <f>پنل!B1</f>
        <v>110000</v>
      </c>
      <c r="D178" s="733"/>
      <c r="E178" s="732"/>
      <c r="F178" s="733"/>
      <c r="G178" s="733"/>
      <c r="H178" s="733"/>
      <c r="I178" s="733"/>
      <c r="J178" s="733"/>
      <c r="K178" s="733"/>
      <c r="L178" s="732"/>
    </row>
    <row r="179" spans="1:24" ht="24" thickTop="1" thickBot="1" x14ac:dyDescent="0.65">
      <c r="A179" s="772" t="s">
        <v>29</v>
      </c>
      <c r="B179" s="773">
        <f>C179</f>
        <v>8981500</v>
      </c>
      <c r="C179" s="759">
        <f>پنل!B8</f>
        <v>8981500</v>
      </c>
      <c r="D179" s="759"/>
      <c r="E179" s="759"/>
      <c r="F179" s="759"/>
      <c r="G179" s="759">
        <f>G101</f>
        <v>9343871.9472986124</v>
      </c>
      <c r="H179" s="759"/>
      <c r="I179" s="759"/>
      <c r="J179" s="759"/>
      <c r="K179" s="759"/>
      <c r="L179" s="760"/>
      <c r="S179" s="288"/>
      <c r="T179" s="288"/>
      <c r="U179" s="288"/>
      <c r="V179" s="288"/>
      <c r="W179" s="288"/>
      <c r="X179" s="288"/>
    </row>
    <row r="180" spans="1:24" ht="24" thickTop="1" thickBot="1" x14ac:dyDescent="0.65">
      <c r="A180" s="734" t="s">
        <v>31</v>
      </c>
      <c r="B180" s="735">
        <f>C180</f>
        <v>39050000</v>
      </c>
      <c r="C180" s="736">
        <f>پنل!B6</f>
        <v>39050000</v>
      </c>
      <c r="D180" s="737"/>
      <c r="E180" s="737"/>
      <c r="F180" s="737"/>
      <c r="G180" s="737"/>
      <c r="H180" s="737"/>
      <c r="I180" s="737"/>
      <c r="J180" s="737"/>
      <c r="K180" s="737"/>
      <c r="L180" s="737"/>
      <c r="S180" s="288"/>
      <c r="T180" s="288"/>
      <c r="U180" s="288"/>
      <c r="V180" s="288"/>
      <c r="W180" s="288"/>
      <c r="X180" s="288"/>
    </row>
    <row r="181" spans="1:24" ht="24" thickTop="1" thickBot="1" x14ac:dyDescent="0.65">
      <c r="A181" s="768" t="s">
        <v>219</v>
      </c>
      <c r="B181" s="769">
        <f>J92</f>
        <v>1.7645447001642705</v>
      </c>
      <c r="C181" s="766"/>
      <c r="D181" s="766"/>
      <c r="E181" s="766"/>
      <c r="F181" s="766"/>
      <c r="G181" s="766"/>
      <c r="H181" s="766"/>
      <c r="I181" s="766"/>
      <c r="J181" s="766"/>
      <c r="K181" s="766"/>
      <c r="L181" s="766"/>
      <c r="S181" s="288"/>
      <c r="T181" s="288"/>
      <c r="U181" s="288"/>
      <c r="V181" s="288"/>
      <c r="W181" s="288"/>
      <c r="X181" s="288"/>
    </row>
    <row r="182" spans="1:24" ht="30" thickTop="1" thickBot="1" x14ac:dyDescent="0.8">
      <c r="A182" s="770" t="s">
        <v>23</v>
      </c>
      <c r="B182" s="771">
        <f>B181*B175</f>
        <v>1797661.6750969535</v>
      </c>
      <c r="C182" s="653"/>
      <c r="D182" s="653"/>
      <c r="E182" s="653"/>
      <c r="F182" s="653"/>
      <c r="G182" s="653"/>
      <c r="H182" s="653"/>
      <c r="I182" s="653"/>
      <c r="J182" s="653"/>
      <c r="K182" s="653"/>
      <c r="L182" s="653"/>
      <c r="S182" s="288"/>
      <c r="T182" s="297"/>
      <c r="U182" s="297"/>
      <c r="V182" s="297"/>
      <c r="W182" s="297"/>
      <c r="X182" s="288"/>
    </row>
    <row r="183" spans="1:24" ht="49.5" thickTop="1" thickBot="1" x14ac:dyDescent="0.8">
      <c r="A183" s="318"/>
      <c r="C183" s="318"/>
      <c r="D183" s="1075" t="s">
        <v>26</v>
      </c>
      <c r="E183" s="1072" t="s">
        <v>218</v>
      </c>
      <c r="F183" s="1073"/>
      <c r="G183" s="1073"/>
      <c r="H183" s="1073"/>
      <c r="I183" s="1073"/>
      <c r="J183" s="1073"/>
      <c r="K183" s="1073"/>
      <c r="L183" s="1073"/>
      <c r="M183" s="1073"/>
      <c r="N183" s="1073"/>
      <c r="O183" s="1073"/>
      <c r="P183" s="1073"/>
      <c r="Q183" s="1074"/>
      <c r="S183" s="288"/>
      <c r="T183" s="297"/>
      <c r="U183" s="775"/>
      <c r="V183" s="775"/>
      <c r="W183" s="775"/>
      <c r="X183" s="288"/>
    </row>
    <row r="184" spans="1:24" ht="30" thickTop="1" thickBot="1" x14ac:dyDescent="0.8">
      <c r="A184" s="51" t="s">
        <v>22</v>
      </c>
      <c r="B184" s="317">
        <f>Q147</f>
        <v>1013.2512190434801</v>
      </c>
      <c r="D184" s="1076"/>
      <c r="E184" s="316">
        <f>B184</f>
        <v>1013.2512190434801</v>
      </c>
      <c r="F184" s="316">
        <v>320</v>
      </c>
      <c r="G184" s="315">
        <v>330</v>
      </c>
      <c r="H184" s="315">
        <v>340</v>
      </c>
      <c r="I184" s="315">
        <v>350</v>
      </c>
      <c r="J184" s="315">
        <v>360</v>
      </c>
      <c r="K184" s="315">
        <v>370</v>
      </c>
      <c r="L184" s="315">
        <v>380</v>
      </c>
      <c r="M184" s="315">
        <v>390</v>
      </c>
      <c r="N184" s="315">
        <v>400</v>
      </c>
      <c r="O184" s="315">
        <v>410</v>
      </c>
      <c r="P184" s="315">
        <v>420</v>
      </c>
      <c r="Q184" s="314">
        <v>430</v>
      </c>
      <c r="S184" s="288"/>
      <c r="T184" s="297"/>
      <c r="U184" s="775"/>
      <c r="V184" s="775"/>
      <c r="W184" s="775"/>
      <c r="X184" s="288"/>
    </row>
    <row r="185" spans="1:24" ht="29.25" thickTop="1" x14ac:dyDescent="0.75">
      <c r="D185" s="1076"/>
      <c r="E185" s="313">
        <v>100000</v>
      </c>
      <c r="F185" s="312">
        <f t="dataTable" ref="F185:Q193" dt2D="1" dtr="1" r1="C176" r2="B178"/>
        <v>617.21495308977671</v>
      </c>
      <c r="G185" s="311">
        <v>671.61553907242865</v>
      </c>
      <c r="H185" s="311">
        <v>726.01612505507978</v>
      </c>
      <c r="I185" s="311">
        <v>780.41671103773103</v>
      </c>
      <c r="J185" s="311">
        <v>834.81729702038274</v>
      </c>
      <c r="K185" s="311">
        <v>889.21788300303479</v>
      </c>
      <c r="L185" s="311">
        <v>943.61846898568513</v>
      </c>
      <c r="M185" s="311">
        <v>998.01905496833717</v>
      </c>
      <c r="N185" s="311">
        <v>1052.4196409509889</v>
      </c>
      <c r="O185" s="311">
        <v>1106.8202269336402</v>
      </c>
      <c r="P185" s="311">
        <v>1161.2208129162921</v>
      </c>
      <c r="Q185" s="310">
        <v>1215.6213988989432</v>
      </c>
      <c r="S185" s="288"/>
      <c r="T185" s="297"/>
      <c r="U185" s="775"/>
      <c r="V185" s="775"/>
      <c r="W185" s="775"/>
      <c r="X185" s="288"/>
    </row>
    <row r="186" spans="1:24" ht="33" thickBot="1" x14ac:dyDescent="0.9">
      <c r="A186" s="82" t="s">
        <v>450</v>
      </c>
      <c r="B186" s="680">
        <f>F241*1000/F231</f>
        <v>1269.8444285714286</v>
      </c>
      <c r="C186" s="1027" t="s">
        <v>3197</v>
      </c>
      <c r="D186" s="1076"/>
      <c r="E186" s="306">
        <v>110000</v>
      </c>
      <c r="F186" s="305">
        <v>803.80896301027144</v>
      </c>
      <c r="G186" s="304">
        <v>863.64960759118776</v>
      </c>
      <c r="H186" s="304">
        <v>923.49025217210476</v>
      </c>
      <c r="I186" s="304">
        <v>983.33089675302153</v>
      </c>
      <c r="J186" s="304">
        <v>1043.1715413339386</v>
      </c>
      <c r="K186" s="304">
        <v>1103.0121859148549</v>
      </c>
      <c r="L186" s="304">
        <v>1162.8528304957711</v>
      </c>
      <c r="M186" s="304">
        <v>1222.6934750766879</v>
      </c>
      <c r="N186" s="304">
        <v>1282.5341196576048</v>
      </c>
      <c r="O186" s="304">
        <v>1342.374764238521</v>
      </c>
      <c r="P186" s="304">
        <v>1402.2154088194382</v>
      </c>
      <c r="Q186" s="303">
        <v>1462.0560534003548</v>
      </c>
      <c r="S186" s="288"/>
      <c r="T186" s="297"/>
      <c r="U186" s="775"/>
      <c r="V186" s="775"/>
      <c r="W186" s="775"/>
      <c r="X186" s="288"/>
    </row>
    <row r="187" spans="1:24" ht="45" thickBot="1" x14ac:dyDescent="1.2">
      <c r="A187" s="49" t="s">
        <v>21</v>
      </c>
      <c r="B187" s="309">
        <f>VLOOKUP(C186,'دیده بان بازار'!A:W,8,0)</f>
        <v>5799</v>
      </c>
      <c r="C187" s="502">
        <f>B208</f>
        <v>4838.8378953216097</v>
      </c>
      <c r="D187" s="1076"/>
      <c r="E187" s="306">
        <v>120000</v>
      </c>
      <c r="F187" s="305">
        <v>990.4029729307664</v>
      </c>
      <c r="G187" s="304">
        <v>1055.6836761099482</v>
      </c>
      <c r="H187" s="304">
        <v>1120.9643792891302</v>
      </c>
      <c r="I187" s="304">
        <v>1186.2450824683115</v>
      </c>
      <c r="J187" s="304">
        <v>1251.5257856474936</v>
      </c>
      <c r="K187" s="304">
        <v>1316.8064888266756</v>
      </c>
      <c r="L187" s="304">
        <v>1382.0871920058576</v>
      </c>
      <c r="M187" s="304">
        <v>1447.3678951850388</v>
      </c>
      <c r="N187" s="304">
        <v>1512.6485983642208</v>
      </c>
      <c r="O187" s="304">
        <v>1577.9293015434025</v>
      </c>
      <c r="P187" s="304">
        <v>1643.2100047225847</v>
      </c>
      <c r="Q187" s="303">
        <v>1708.490707901766</v>
      </c>
      <c r="S187" s="288"/>
      <c r="T187" s="288"/>
      <c r="U187" s="288"/>
      <c r="V187" s="288"/>
      <c r="W187" s="288"/>
      <c r="X187" s="288"/>
    </row>
    <row r="188" spans="1:24" x14ac:dyDescent="0.6">
      <c r="A188" s="676" t="s">
        <v>478</v>
      </c>
      <c r="B188" s="711">
        <f>B187-B186</f>
        <v>4529.1555714285714</v>
      </c>
      <c r="D188" s="1076"/>
      <c r="E188" s="306">
        <v>130000</v>
      </c>
      <c r="F188" s="305">
        <v>1176.9969828512612</v>
      </c>
      <c r="G188" s="304">
        <v>1247.7177446287076</v>
      </c>
      <c r="H188" s="304">
        <v>1318.4385064061544</v>
      </c>
      <c r="I188" s="304">
        <v>1389.1592681836023</v>
      </c>
      <c r="J188" s="304">
        <v>1459.8800299610484</v>
      </c>
      <c r="K188" s="304">
        <v>1530.6007917384957</v>
      </c>
      <c r="L188" s="304">
        <v>1601.3215535159427</v>
      </c>
      <c r="M188" s="304">
        <v>1672.0423152933897</v>
      </c>
      <c r="N188" s="304">
        <v>1742.7630770708365</v>
      </c>
      <c r="O188" s="304">
        <v>1813.4838388482835</v>
      </c>
      <c r="P188" s="304">
        <v>1884.2046006257308</v>
      </c>
      <c r="Q188" s="303">
        <v>1954.9253624031771</v>
      </c>
      <c r="S188" s="288"/>
      <c r="T188" s="288"/>
      <c r="U188" s="288"/>
      <c r="V188" s="288"/>
      <c r="W188" s="288"/>
      <c r="X188" s="288"/>
    </row>
    <row r="189" spans="1:24" x14ac:dyDescent="0.6">
      <c r="A189" s="47">
        <v>3</v>
      </c>
      <c r="B189" s="308">
        <f>$B$188/A189</f>
        <v>1509.7185238095237</v>
      </c>
      <c r="D189" s="1076"/>
      <c r="E189" s="306">
        <v>140000</v>
      </c>
      <c r="F189" s="305">
        <v>1363.590992771756</v>
      </c>
      <c r="G189" s="304">
        <v>1439.7518131474681</v>
      </c>
      <c r="H189" s="304">
        <v>1515.9126335231792</v>
      </c>
      <c r="I189" s="304">
        <v>1592.0734538988922</v>
      </c>
      <c r="J189" s="304">
        <v>1668.2342742746041</v>
      </c>
      <c r="K189" s="304">
        <v>1744.3950946503164</v>
      </c>
      <c r="L189" s="304">
        <v>1820.5559150260283</v>
      </c>
      <c r="M189" s="304">
        <v>1896.7167354017404</v>
      </c>
      <c r="N189" s="304">
        <v>1972.8775557774534</v>
      </c>
      <c r="O189" s="304">
        <v>2049.0383761531648</v>
      </c>
      <c r="P189" s="304">
        <v>2125.1991965288767</v>
      </c>
      <c r="Q189" s="303">
        <v>2201.3600169045894</v>
      </c>
      <c r="S189" s="288"/>
      <c r="T189" s="288"/>
      <c r="U189" s="288"/>
      <c r="V189" s="288"/>
      <c r="W189" s="288"/>
      <c r="X189" s="288"/>
    </row>
    <row r="190" spans="1:24" x14ac:dyDescent="0.6">
      <c r="A190" s="47">
        <v>4</v>
      </c>
      <c r="B190" s="308">
        <f t="shared" ref="B190:B191" si="41">$B$188/A190</f>
        <v>1132.2888928571429</v>
      </c>
      <c r="D190" s="1076"/>
      <c r="E190" s="306">
        <v>150000</v>
      </c>
      <c r="F190" s="305">
        <v>1550.18500269225</v>
      </c>
      <c r="G190" s="304">
        <v>1631.7858816662279</v>
      </c>
      <c r="H190" s="304">
        <v>1713.386760640205</v>
      </c>
      <c r="I190" s="304">
        <v>1794.9876396141822</v>
      </c>
      <c r="J190" s="304">
        <v>1876.58851858816</v>
      </c>
      <c r="K190" s="304">
        <v>1958.1893975621369</v>
      </c>
      <c r="L190" s="304">
        <v>2039.7902765361141</v>
      </c>
      <c r="M190" s="304">
        <v>2121.3911555100913</v>
      </c>
      <c r="N190" s="304">
        <v>2202.9920344840684</v>
      </c>
      <c r="O190" s="304">
        <v>2284.5929134580465</v>
      </c>
      <c r="P190" s="304">
        <v>2366.1937924320237</v>
      </c>
      <c r="Q190" s="303">
        <v>2447.7946714060008</v>
      </c>
      <c r="S190" s="288"/>
      <c r="T190" s="288"/>
      <c r="U190" s="288"/>
      <c r="V190" s="288"/>
      <c r="W190" s="288"/>
      <c r="X190" s="288"/>
    </row>
    <row r="191" spans="1:24" ht="23.25" thickBot="1" x14ac:dyDescent="0.65">
      <c r="A191" s="42">
        <v>5</v>
      </c>
      <c r="B191" s="307">
        <f t="shared" si="41"/>
        <v>905.83111428571431</v>
      </c>
      <c r="D191" s="1076"/>
      <c r="E191" s="306">
        <v>160000</v>
      </c>
      <c r="F191" s="305">
        <v>1736.7790126127447</v>
      </c>
      <c r="G191" s="304">
        <v>1823.8199501849879</v>
      </c>
      <c r="H191" s="304">
        <v>1910.8608877572299</v>
      </c>
      <c r="I191" s="304">
        <v>1997.9018253294719</v>
      </c>
      <c r="J191" s="304">
        <v>2084.942762901715</v>
      </c>
      <c r="K191" s="304">
        <v>2171.983700473957</v>
      </c>
      <c r="L191" s="304">
        <v>2259.0246380461995</v>
      </c>
      <c r="M191" s="304">
        <v>2346.0655756184424</v>
      </c>
      <c r="N191" s="304">
        <v>2433.1065131906844</v>
      </c>
      <c r="O191" s="304">
        <v>2520.1474507629268</v>
      </c>
      <c r="P191" s="304">
        <v>2607.1883883351693</v>
      </c>
      <c r="Q191" s="303">
        <v>2694.2293259074113</v>
      </c>
      <c r="S191" s="288"/>
      <c r="T191" s="288"/>
      <c r="U191" s="288"/>
      <c r="V191" s="288"/>
      <c r="W191" s="288"/>
      <c r="X191" s="288"/>
    </row>
    <row r="192" spans="1:24" ht="29.25" thickBot="1" x14ac:dyDescent="0.8">
      <c r="D192" s="1076"/>
      <c r="E192" s="306">
        <v>170000</v>
      </c>
      <c r="F192" s="305">
        <v>1923.3730225332395</v>
      </c>
      <c r="G192" s="304">
        <v>2015.8540187037474</v>
      </c>
      <c r="H192" s="304">
        <v>2108.3350148742547</v>
      </c>
      <c r="I192" s="304">
        <v>2200.8160110447625</v>
      </c>
      <c r="J192" s="304">
        <v>2293.2970072152707</v>
      </c>
      <c r="K192" s="304">
        <v>2385.7780033857771</v>
      </c>
      <c r="L192" s="304">
        <v>2478.2589995562853</v>
      </c>
      <c r="M192" s="304">
        <v>2570.739995726793</v>
      </c>
      <c r="N192" s="304">
        <v>2663.2209918973003</v>
      </c>
      <c r="O192" s="304">
        <v>2755.7019880678081</v>
      </c>
      <c r="P192" s="304">
        <v>2848.1829842383163</v>
      </c>
      <c r="Q192" s="303">
        <v>2940.6639804088236</v>
      </c>
      <c r="S192" s="288"/>
      <c r="T192" s="297"/>
      <c r="U192" s="297"/>
      <c r="V192" s="297"/>
      <c r="W192" s="297"/>
      <c r="X192" s="288"/>
    </row>
    <row r="193" spans="1:24" ht="33" thickBot="1" x14ac:dyDescent="0.8">
      <c r="A193" s="21" t="s">
        <v>20</v>
      </c>
      <c r="B193" s="37">
        <v>0.7</v>
      </c>
      <c r="D193" s="1077"/>
      <c r="E193" s="302">
        <v>180000</v>
      </c>
      <c r="F193" s="301">
        <v>2109.9670324537342</v>
      </c>
      <c r="G193" s="300">
        <v>2207.8880872225068</v>
      </c>
      <c r="H193" s="300">
        <v>2305.8091419912794</v>
      </c>
      <c r="I193" s="300">
        <v>2403.7301967600529</v>
      </c>
      <c r="J193" s="300">
        <v>2501.651251528825</v>
      </c>
      <c r="K193" s="300">
        <v>2599.5723062975981</v>
      </c>
      <c r="L193" s="300">
        <v>2697.4933610663707</v>
      </c>
      <c r="M193" s="300">
        <v>2795.4144158351432</v>
      </c>
      <c r="N193" s="300">
        <v>2893.3354706039163</v>
      </c>
      <c r="O193" s="300">
        <v>2991.2565253726884</v>
      </c>
      <c r="P193" s="300">
        <v>3089.1775801414619</v>
      </c>
      <c r="Q193" s="299">
        <v>3187.0986349102345</v>
      </c>
      <c r="S193" s="288"/>
      <c r="T193" s="297"/>
      <c r="U193" s="295"/>
      <c r="V193" s="295"/>
      <c r="W193" s="295"/>
      <c r="X193" s="288"/>
    </row>
    <row r="194" spans="1:24" ht="33" thickBot="1" x14ac:dyDescent="0.8">
      <c r="A194" s="34" t="s">
        <v>19</v>
      </c>
      <c r="B194" s="36">
        <f>B184*B193</f>
        <v>709.27585333043601</v>
      </c>
      <c r="S194" s="288"/>
      <c r="T194" s="297"/>
      <c r="U194" s="295"/>
      <c r="V194" s="295"/>
      <c r="W194" s="295"/>
      <c r="X194" s="288"/>
    </row>
    <row r="195" spans="1:24" ht="33" thickBot="1" x14ac:dyDescent="0.8">
      <c r="A195" s="216"/>
      <c r="B195" s="216"/>
      <c r="S195" s="288"/>
      <c r="T195" s="297"/>
      <c r="U195" s="295"/>
      <c r="V195" s="295"/>
      <c r="W195" s="295"/>
      <c r="X195" s="288"/>
    </row>
    <row r="196" spans="1:24" ht="33" thickBot="1" x14ac:dyDescent="0.8">
      <c r="A196" s="21" t="s">
        <v>18</v>
      </c>
      <c r="B196" s="20" t="s">
        <v>17</v>
      </c>
      <c r="E196" s="298"/>
      <c r="F196" s="298"/>
      <c r="G196" s="298"/>
      <c r="H196" s="298"/>
      <c r="S196" s="288"/>
      <c r="T196" s="297"/>
      <c r="U196" s="295"/>
      <c r="V196" s="295"/>
      <c r="W196" s="295"/>
      <c r="X196" s="288"/>
    </row>
    <row r="197" spans="1:24" ht="33" thickBot="1" x14ac:dyDescent="0.8">
      <c r="A197" s="34" t="s">
        <v>16</v>
      </c>
      <c r="B197" s="33" t="s">
        <v>184</v>
      </c>
      <c r="F197" s="1078" t="s">
        <v>213</v>
      </c>
      <c r="G197" s="1079"/>
      <c r="H197" s="667" t="s">
        <v>212</v>
      </c>
      <c r="I197" s="29" t="s">
        <v>211</v>
      </c>
      <c r="K197" s="291"/>
      <c r="S197" s="288"/>
      <c r="T197" s="297"/>
      <c r="U197" s="296"/>
      <c r="V197" s="295"/>
      <c r="W197" s="295"/>
      <c r="X197" s="288"/>
    </row>
    <row r="198" spans="1:24" ht="29.25" thickBot="1" x14ac:dyDescent="0.8">
      <c r="A198" s="216"/>
      <c r="B198" s="216"/>
      <c r="F198" s="294" t="s">
        <v>210</v>
      </c>
      <c r="G198" s="25">
        <v>2400000</v>
      </c>
      <c r="H198" s="293" t="s">
        <v>209</v>
      </c>
      <c r="I198" s="292" t="s">
        <v>208</v>
      </c>
      <c r="K198" s="291"/>
      <c r="L198" s="291"/>
      <c r="M198" s="291"/>
      <c r="S198" s="288"/>
      <c r="T198" s="288"/>
      <c r="U198" s="288"/>
      <c r="V198" s="288"/>
      <c r="W198" s="288"/>
      <c r="X198" s="288"/>
    </row>
    <row r="199" spans="1:24" ht="29.25" thickBot="1" x14ac:dyDescent="0.65">
      <c r="A199" s="21" t="s">
        <v>14</v>
      </c>
      <c r="B199" s="20">
        <v>10</v>
      </c>
      <c r="K199" s="291"/>
      <c r="L199" s="291"/>
      <c r="M199" s="290"/>
    </row>
    <row r="200" spans="1:24" ht="29.25" thickBot="1" x14ac:dyDescent="0.65">
      <c r="A200" s="34" t="s">
        <v>13</v>
      </c>
      <c r="B200" s="33">
        <v>16</v>
      </c>
      <c r="F200" s="31" t="s">
        <v>12</v>
      </c>
      <c r="G200" s="30" t="s">
        <v>11</v>
      </c>
      <c r="H200" s="30" t="s">
        <v>10</v>
      </c>
      <c r="I200" s="30" t="s">
        <v>9</v>
      </c>
      <c r="J200" s="29" t="s">
        <v>8</v>
      </c>
      <c r="L200" s="15" t="s">
        <v>4</v>
      </c>
      <c r="M200" s="289">
        <f>J201*B204</f>
        <v>3715.2544698260936</v>
      </c>
    </row>
    <row r="201" spans="1:24" ht="29.25" thickBot="1" x14ac:dyDescent="0.8">
      <c r="A201" s="216"/>
      <c r="B201" s="216"/>
      <c r="F201" s="26">
        <v>0.36</v>
      </c>
      <c r="G201" s="25">
        <v>15000000</v>
      </c>
      <c r="H201" s="24">
        <f>G201/11000000</f>
        <v>1.3636363636363635</v>
      </c>
      <c r="I201" s="23">
        <f>B187/H201</f>
        <v>4252.6000000000004</v>
      </c>
      <c r="J201" s="22">
        <f>Q146*1000/G201</f>
        <v>743.05089396521873</v>
      </c>
      <c r="L201" s="9" t="s">
        <v>3</v>
      </c>
      <c r="M201" s="8">
        <f>M200/(1+A204)^B199</f>
        <v>3149.2179565310794</v>
      </c>
    </row>
    <row r="202" spans="1:24" ht="29.25" thickBot="1" x14ac:dyDescent="0.8">
      <c r="A202" s="215">
        <v>0.2</v>
      </c>
      <c r="B202" s="214" t="s">
        <v>7</v>
      </c>
      <c r="L202" s="9" t="s">
        <v>2</v>
      </c>
      <c r="M202" s="8">
        <f>J201*(1+A204)^B200</f>
        <v>968.00124315384926</v>
      </c>
    </row>
    <row r="203" spans="1:24" ht="29.25" thickBot="1" x14ac:dyDescent="0.65">
      <c r="A203" s="21" t="s">
        <v>6</v>
      </c>
      <c r="B203" s="20" t="s">
        <v>5</v>
      </c>
      <c r="L203" s="5" t="s">
        <v>0</v>
      </c>
      <c r="M203" s="4">
        <f>M202+M201</f>
        <v>4117.2191996849288</v>
      </c>
    </row>
    <row r="204" spans="1:24" ht="29.25" thickBot="1" x14ac:dyDescent="0.8">
      <c r="A204" s="19">
        <f>A202/12</f>
        <v>1.6666666666666666E-2</v>
      </c>
      <c r="B204" s="18">
        <v>5</v>
      </c>
      <c r="F204" s="1080" t="s">
        <v>207</v>
      </c>
      <c r="G204" s="1081"/>
      <c r="H204" s="1081"/>
      <c r="I204" s="1082"/>
    </row>
    <row r="205" spans="1:24" ht="28.5" x14ac:dyDescent="0.75">
      <c r="A205" s="213" t="s">
        <v>4</v>
      </c>
      <c r="B205" s="16">
        <f>B204*B184</f>
        <v>5066.2560952174008</v>
      </c>
      <c r="F205" s="1064" t="s">
        <v>206</v>
      </c>
      <c r="G205" s="1065"/>
      <c r="H205" s="1066">
        <v>2000</v>
      </c>
      <c r="I205" s="1067"/>
    </row>
    <row r="206" spans="1:24" ht="29.25" thickBot="1" x14ac:dyDescent="0.8">
      <c r="A206" s="211" t="s">
        <v>3</v>
      </c>
      <c r="B206" s="12">
        <f>B205/(1+A204)^B199</f>
        <v>4294.3881225423811</v>
      </c>
      <c r="F206" s="1068" t="s">
        <v>205</v>
      </c>
      <c r="G206" s="1069"/>
      <c r="H206" s="1070">
        <v>2000000</v>
      </c>
      <c r="I206" s="1071"/>
    </row>
    <row r="207" spans="1:24" ht="29.25" thickBot="1" x14ac:dyDescent="0.8">
      <c r="A207" s="209" t="s">
        <v>2</v>
      </c>
      <c r="B207" s="10">
        <f>B194/(1+A204)^B200</f>
        <v>544.4497727792284</v>
      </c>
    </row>
    <row r="208" spans="1:24" ht="29.25" thickBot="1" x14ac:dyDescent="0.8">
      <c r="A208" s="207" t="s">
        <v>1</v>
      </c>
      <c r="B208" s="6">
        <f>SUM(B206:B207)</f>
        <v>4838.8378953216097</v>
      </c>
    </row>
    <row r="209" spans="1:8" x14ac:dyDescent="0.6">
      <c r="A209" s="286" t="s">
        <v>440</v>
      </c>
    </row>
    <row r="210" spans="1:8" x14ac:dyDescent="0.6">
      <c r="A210" s="322" t="s">
        <v>59</v>
      </c>
      <c r="B210" s="322" t="s">
        <v>384</v>
      </c>
      <c r="C210" s="322" t="s">
        <v>386</v>
      </c>
      <c r="D210" s="322" t="s">
        <v>159</v>
      </c>
      <c r="E210" s="322" t="s">
        <v>59</v>
      </c>
      <c r="F210" s="322" t="s">
        <v>384</v>
      </c>
      <c r="G210" s="322" t="s">
        <v>386</v>
      </c>
      <c r="H210" s="322" t="s">
        <v>159</v>
      </c>
    </row>
    <row r="211" spans="1:8" x14ac:dyDescent="0.6">
      <c r="A211" s="322"/>
      <c r="B211" s="893" t="s">
        <v>385</v>
      </c>
      <c r="C211" s="322" t="s">
        <v>387</v>
      </c>
      <c r="D211" s="322" t="s">
        <v>388</v>
      </c>
      <c r="E211" s="322"/>
      <c r="F211" s="322" t="s">
        <v>385</v>
      </c>
      <c r="G211" s="322" t="s">
        <v>387</v>
      </c>
      <c r="H211" s="322" t="s">
        <v>388</v>
      </c>
    </row>
    <row r="212" spans="1:8" x14ac:dyDescent="0.6">
      <c r="A212" s="322" t="s">
        <v>389</v>
      </c>
      <c r="B212" s="893"/>
      <c r="C212" s="322"/>
      <c r="D212" s="322"/>
      <c r="E212" s="322" t="s">
        <v>390</v>
      </c>
      <c r="F212" s="322"/>
      <c r="G212" s="322"/>
      <c r="H212" s="322"/>
    </row>
    <row r="213" spans="1:8" x14ac:dyDescent="0.6">
      <c r="A213" s="322" t="s">
        <v>391</v>
      </c>
      <c r="B213" s="893"/>
      <c r="C213" s="322"/>
      <c r="D213" s="322"/>
      <c r="E213" s="322" t="s">
        <v>392</v>
      </c>
      <c r="F213" s="322"/>
      <c r="G213" s="322"/>
      <c r="H213" s="322"/>
    </row>
    <row r="214" spans="1:8" x14ac:dyDescent="0.6">
      <c r="A214" s="322" t="s">
        <v>393</v>
      </c>
      <c r="B214" s="893">
        <v>1458966</v>
      </c>
      <c r="C214" s="321">
        <v>222986</v>
      </c>
      <c r="D214" s="323">
        <v>554</v>
      </c>
      <c r="E214" s="322" t="s">
        <v>394</v>
      </c>
      <c r="F214" s="321">
        <v>5614071</v>
      </c>
      <c r="G214" s="321">
        <v>4258571</v>
      </c>
      <c r="H214" s="323">
        <v>32</v>
      </c>
    </row>
    <row r="215" spans="1:8" x14ac:dyDescent="0.6">
      <c r="A215" s="322" t="s">
        <v>395</v>
      </c>
      <c r="B215" s="893">
        <v>0</v>
      </c>
      <c r="C215" s="323">
        <v>0</v>
      </c>
      <c r="D215" s="322" t="s">
        <v>405</v>
      </c>
      <c r="E215" s="322" t="s">
        <v>396</v>
      </c>
      <c r="F215" s="321">
        <v>2911417</v>
      </c>
      <c r="G215" s="321">
        <v>2311393</v>
      </c>
      <c r="H215" s="323">
        <v>26</v>
      </c>
    </row>
    <row r="216" spans="1:8" x14ac:dyDescent="0.6">
      <c r="A216" s="322" t="s">
        <v>397</v>
      </c>
      <c r="B216" s="893">
        <v>515154</v>
      </c>
      <c r="C216" s="321">
        <v>294035</v>
      </c>
      <c r="D216" s="323">
        <v>75</v>
      </c>
      <c r="E216" s="322" t="s">
        <v>398</v>
      </c>
      <c r="F216" s="323">
        <v>0</v>
      </c>
      <c r="G216" s="323">
        <v>0</v>
      </c>
      <c r="H216" s="322" t="s">
        <v>405</v>
      </c>
    </row>
    <row r="217" spans="1:8" x14ac:dyDescent="0.6">
      <c r="A217" s="322" t="s">
        <v>399</v>
      </c>
      <c r="B217" s="893">
        <v>2003565</v>
      </c>
      <c r="C217" s="321">
        <v>1143577</v>
      </c>
      <c r="D217" s="323">
        <v>75</v>
      </c>
      <c r="E217" s="322" t="s">
        <v>400</v>
      </c>
      <c r="F217" s="323">
        <v>97</v>
      </c>
      <c r="G217" s="321">
        <v>7899</v>
      </c>
      <c r="H217" s="323">
        <v>-99</v>
      </c>
    </row>
    <row r="218" spans="1:8" x14ac:dyDescent="0.6">
      <c r="A218" s="322" t="s">
        <v>401</v>
      </c>
      <c r="B218" s="893">
        <v>7346770</v>
      </c>
      <c r="C218" s="321">
        <v>6990302</v>
      </c>
      <c r="D218" s="323">
        <v>5</v>
      </c>
      <c r="E218" s="322" t="s">
        <v>402</v>
      </c>
      <c r="F218" s="321">
        <v>4308046</v>
      </c>
      <c r="G218" s="321">
        <v>4309946</v>
      </c>
      <c r="H218" s="323">
        <v>0</v>
      </c>
    </row>
    <row r="219" spans="1:8" x14ac:dyDescent="0.6">
      <c r="A219" s="322" t="s">
        <v>403</v>
      </c>
      <c r="B219" s="893">
        <v>2127259</v>
      </c>
      <c r="C219" s="321">
        <v>2698686</v>
      </c>
      <c r="D219" s="323">
        <v>-21</v>
      </c>
      <c r="E219" s="322" t="s">
        <v>404</v>
      </c>
      <c r="F219" s="323">
        <v>0</v>
      </c>
      <c r="G219" s="323">
        <v>0</v>
      </c>
      <c r="H219" s="322" t="s">
        <v>405</v>
      </c>
    </row>
    <row r="220" spans="1:8" x14ac:dyDescent="0.6">
      <c r="A220" s="322" t="s">
        <v>406</v>
      </c>
      <c r="B220" s="893">
        <v>0</v>
      </c>
      <c r="C220" s="323">
        <v>0</v>
      </c>
      <c r="D220" s="322" t="s">
        <v>405</v>
      </c>
      <c r="E220" s="322" t="s">
        <v>407</v>
      </c>
      <c r="F220" s="321">
        <v>494668</v>
      </c>
      <c r="G220" s="321">
        <v>1402952</v>
      </c>
      <c r="H220" s="323">
        <v>-65</v>
      </c>
    </row>
    <row r="221" spans="1:8" x14ac:dyDescent="0.6">
      <c r="A221" s="322" t="s">
        <v>408</v>
      </c>
      <c r="B221" s="893">
        <v>13451714</v>
      </c>
      <c r="C221" s="321">
        <v>11349586</v>
      </c>
      <c r="D221" s="323">
        <v>19</v>
      </c>
      <c r="E221" s="322" t="s">
        <v>409</v>
      </c>
      <c r="F221" s="323">
        <v>0</v>
      </c>
      <c r="G221" s="323">
        <v>0</v>
      </c>
      <c r="H221" s="322" t="s">
        <v>405</v>
      </c>
    </row>
    <row r="222" spans="1:8" x14ac:dyDescent="0.6">
      <c r="A222" s="322" t="s">
        <v>410</v>
      </c>
      <c r="B222" s="893"/>
      <c r="C222" s="322"/>
      <c r="D222" s="322"/>
      <c r="E222" s="322" t="s">
        <v>411</v>
      </c>
      <c r="F222" s="321">
        <v>13328299</v>
      </c>
      <c r="G222" s="321">
        <v>12290761</v>
      </c>
      <c r="H222" s="323">
        <v>8</v>
      </c>
    </row>
    <row r="223" spans="1:8" x14ac:dyDescent="0.6">
      <c r="A223" s="322" t="s">
        <v>412</v>
      </c>
      <c r="B223" s="893">
        <v>0</v>
      </c>
      <c r="C223" s="323">
        <v>0</v>
      </c>
      <c r="D223" s="322" t="s">
        <v>405</v>
      </c>
      <c r="E223" s="322" t="s">
        <v>413</v>
      </c>
      <c r="F223" s="322"/>
      <c r="G223" s="322"/>
      <c r="H223" s="322"/>
    </row>
    <row r="224" spans="1:8" x14ac:dyDescent="0.6">
      <c r="A224" s="322" t="s">
        <v>414</v>
      </c>
      <c r="B224" s="893">
        <v>0</v>
      </c>
      <c r="C224" s="323">
        <v>0</v>
      </c>
      <c r="D224" s="322" t="s">
        <v>405</v>
      </c>
      <c r="E224" s="322" t="s">
        <v>415</v>
      </c>
      <c r="F224" s="321">
        <v>27638</v>
      </c>
      <c r="G224" s="321">
        <v>813450</v>
      </c>
      <c r="H224" s="323">
        <v>-97</v>
      </c>
    </row>
    <row r="225" spans="1:8" x14ac:dyDescent="0.6">
      <c r="A225" s="322" t="s">
        <v>416</v>
      </c>
      <c r="B225" s="893">
        <v>0</v>
      </c>
      <c r="C225" s="323">
        <v>0</v>
      </c>
      <c r="D225" s="322" t="s">
        <v>405</v>
      </c>
      <c r="E225" s="322" t="s">
        <v>417</v>
      </c>
      <c r="F225" s="323">
        <v>0</v>
      </c>
      <c r="G225" s="323">
        <v>0</v>
      </c>
      <c r="H225" s="322" t="s">
        <v>405</v>
      </c>
    </row>
    <row r="226" spans="1:8" x14ac:dyDescent="0.6">
      <c r="A226" s="322" t="s">
        <v>418</v>
      </c>
      <c r="B226" s="893">
        <v>680720</v>
      </c>
      <c r="C226" s="321">
        <v>678483</v>
      </c>
      <c r="D226" s="323">
        <v>0</v>
      </c>
      <c r="E226" s="322" t="s">
        <v>419</v>
      </c>
      <c r="F226" s="321">
        <v>27372392</v>
      </c>
      <c r="G226" s="321">
        <v>27372392</v>
      </c>
      <c r="H226" s="323">
        <v>0</v>
      </c>
    </row>
    <row r="227" spans="1:8" x14ac:dyDescent="0.6">
      <c r="A227" s="322" t="s">
        <v>420</v>
      </c>
      <c r="B227" s="893">
        <v>46841383</v>
      </c>
      <c r="C227" s="321">
        <v>45537078</v>
      </c>
      <c r="D227" s="323">
        <v>3</v>
      </c>
      <c r="E227" s="322" t="s">
        <v>421</v>
      </c>
      <c r="F227" s="321">
        <v>80851</v>
      </c>
      <c r="G227" s="321">
        <v>76036</v>
      </c>
      <c r="H227" s="323">
        <v>6</v>
      </c>
    </row>
    <row r="228" spans="1:8" x14ac:dyDescent="0.6">
      <c r="A228" s="322" t="s">
        <v>422</v>
      </c>
      <c r="B228" s="893">
        <v>227446</v>
      </c>
      <c r="C228" s="321">
        <v>5625</v>
      </c>
      <c r="D228" s="321">
        <v>3943</v>
      </c>
      <c r="E228" s="322" t="s">
        <v>423</v>
      </c>
      <c r="F228" s="321">
        <v>27480881</v>
      </c>
      <c r="G228" s="321">
        <v>28261878</v>
      </c>
      <c r="H228" s="323">
        <v>-3</v>
      </c>
    </row>
    <row r="229" spans="1:8" x14ac:dyDescent="0.6">
      <c r="A229" s="322" t="s">
        <v>424</v>
      </c>
      <c r="B229" s="893">
        <v>47749549</v>
      </c>
      <c r="C229" s="321">
        <v>46221186</v>
      </c>
      <c r="D229" s="323">
        <v>3</v>
      </c>
      <c r="E229" s="322" t="s">
        <v>425</v>
      </c>
      <c r="F229" s="321">
        <v>40809180</v>
      </c>
      <c r="G229" s="321">
        <v>40552639</v>
      </c>
      <c r="H229" s="323">
        <v>1</v>
      </c>
    </row>
    <row r="230" spans="1:8" x14ac:dyDescent="0.6">
      <c r="A230" s="322"/>
      <c r="B230" s="893"/>
      <c r="C230" s="322"/>
      <c r="D230" s="322"/>
      <c r="E230" s="322" t="s">
        <v>426</v>
      </c>
      <c r="F230" s="322"/>
      <c r="G230" s="322"/>
      <c r="H230" s="322"/>
    </row>
    <row r="231" spans="1:8" x14ac:dyDescent="0.6">
      <c r="A231" s="322"/>
      <c r="B231" s="893"/>
      <c r="C231" s="322"/>
      <c r="D231" s="322"/>
      <c r="E231" s="322" t="s">
        <v>84</v>
      </c>
      <c r="F231" s="321">
        <v>7000000</v>
      </c>
      <c r="G231" s="321">
        <v>7000000</v>
      </c>
      <c r="H231" s="323">
        <v>0</v>
      </c>
    </row>
    <row r="232" spans="1:8" x14ac:dyDescent="0.6">
      <c r="A232" s="322"/>
      <c r="B232" s="893"/>
      <c r="C232" s="322"/>
      <c r="D232" s="322"/>
      <c r="E232" s="322" t="s">
        <v>427</v>
      </c>
      <c r="F232" s="321">
        <v>3905581</v>
      </c>
      <c r="G232" s="321">
        <v>3239283</v>
      </c>
      <c r="H232" s="323">
        <v>21</v>
      </c>
    </row>
    <row r="233" spans="1:8" x14ac:dyDescent="0.6">
      <c r="A233" s="322"/>
      <c r="B233" s="893"/>
      <c r="C233" s="322"/>
      <c r="D233" s="322"/>
      <c r="E233" s="322" t="s">
        <v>428</v>
      </c>
      <c r="F233" s="323">
        <v>0</v>
      </c>
      <c r="G233" s="323">
        <v>0</v>
      </c>
      <c r="H233" s="322" t="s">
        <v>405</v>
      </c>
    </row>
    <row r="234" spans="1:8" x14ac:dyDescent="0.6">
      <c r="A234" s="322"/>
      <c r="B234" s="893"/>
      <c r="C234" s="322"/>
      <c r="D234" s="322"/>
      <c r="E234" s="322" t="s">
        <v>429</v>
      </c>
      <c r="F234" s="323">
        <v>0</v>
      </c>
      <c r="G234" s="323">
        <v>0</v>
      </c>
      <c r="H234" s="322" t="s">
        <v>405</v>
      </c>
    </row>
    <row r="235" spans="1:8" x14ac:dyDescent="0.6">
      <c r="A235" s="322"/>
      <c r="B235" s="893"/>
      <c r="C235" s="322"/>
      <c r="D235" s="322"/>
      <c r="E235" s="322" t="s">
        <v>430</v>
      </c>
      <c r="F235" s="321">
        <v>597591</v>
      </c>
      <c r="G235" s="321">
        <v>462208</v>
      </c>
      <c r="H235" s="323">
        <v>29</v>
      </c>
    </row>
    <row r="236" spans="1:8" x14ac:dyDescent="0.6">
      <c r="A236" s="322"/>
      <c r="B236" s="893"/>
      <c r="C236" s="322"/>
      <c r="D236" s="322"/>
      <c r="E236" s="322" t="s">
        <v>431</v>
      </c>
      <c r="F236" s="323">
        <v>0</v>
      </c>
      <c r="G236" s="323">
        <v>0</v>
      </c>
      <c r="H236" s="322" t="s">
        <v>405</v>
      </c>
    </row>
    <row r="237" spans="1:8" x14ac:dyDescent="0.6">
      <c r="A237" s="322"/>
      <c r="B237" s="893"/>
      <c r="C237" s="322"/>
      <c r="D237" s="322"/>
      <c r="E237" s="322" t="s">
        <v>432</v>
      </c>
      <c r="F237" s="323">
        <v>0</v>
      </c>
      <c r="G237" s="323">
        <v>0</v>
      </c>
      <c r="H237" s="322" t="s">
        <v>405</v>
      </c>
    </row>
    <row r="238" spans="1:8" x14ac:dyDescent="0.6">
      <c r="A238" s="322"/>
      <c r="B238" s="893"/>
      <c r="C238" s="322"/>
      <c r="D238" s="322"/>
      <c r="E238" s="322" t="s">
        <v>433</v>
      </c>
      <c r="F238" s="323">
        <v>0</v>
      </c>
      <c r="G238" s="323">
        <v>0</v>
      </c>
      <c r="H238" s="322" t="s">
        <v>405</v>
      </c>
    </row>
    <row r="239" spans="1:8" x14ac:dyDescent="0.6">
      <c r="A239" s="322"/>
      <c r="B239" s="893"/>
      <c r="C239" s="322"/>
      <c r="D239" s="322"/>
      <c r="E239" s="322" t="s">
        <v>434</v>
      </c>
      <c r="F239" s="323">
        <v>0</v>
      </c>
      <c r="G239" s="323">
        <v>0</v>
      </c>
      <c r="H239" s="322" t="s">
        <v>405</v>
      </c>
    </row>
    <row r="240" spans="1:8" x14ac:dyDescent="0.6">
      <c r="A240" s="322"/>
      <c r="B240" s="893"/>
      <c r="C240" s="322"/>
      <c r="D240" s="322"/>
      <c r="E240" s="322" t="s">
        <v>435</v>
      </c>
      <c r="F240" s="323">
        <v>0</v>
      </c>
      <c r="G240" s="323">
        <v>0</v>
      </c>
      <c r="H240" s="322" t="s">
        <v>405</v>
      </c>
    </row>
    <row r="241" spans="1:45" x14ac:dyDescent="0.6">
      <c r="A241" s="322"/>
      <c r="B241" s="893"/>
      <c r="C241" s="322"/>
      <c r="D241" s="322"/>
      <c r="E241" s="322" t="s">
        <v>436</v>
      </c>
      <c r="F241" s="321">
        <v>8888911</v>
      </c>
      <c r="G241" s="321">
        <v>6316642</v>
      </c>
      <c r="H241" s="323">
        <v>41</v>
      </c>
    </row>
    <row r="242" spans="1:45" x14ac:dyDescent="0.6">
      <c r="A242" s="322"/>
      <c r="B242" s="893"/>
      <c r="C242" s="322"/>
      <c r="D242" s="322"/>
      <c r="E242" s="322" t="s">
        <v>437</v>
      </c>
      <c r="F242" s="321">
        <v>20392083</v>
      </c>
      <c r="G242" s="321">
        <v>17018133</v>
      </c>
      <c r="H242" s="323">
        <v>20</v>
      </c>
    </row>
    <row r="243" spans="1:45" x14ac:dyDescent="0.6">
      <c r="A243" s="322" t="s">
        <v>438</v>
      </c>
      <c r="B243" s="321">
        <v>61201263</v>
      </c>
      <c r="C243" s="321">
        <v>57570772</v>
      </c>
      <c r="D243" s="323">
        <v>6</v>
      </c>
      <c r="E243" s="322" t="s">
        <v>439</v>
      </c>
      <c r="F243" s="321">
        <v>61201263</v>
      </c>
      <c r="G243" s="321">
        <v>57570772</v>
      </c>
      <c r="H243" s="323">
        <v>6</v>
      </c>
    </row>
    <row r="244" spans="1:45" ht="23.25" thickBot="1" x14ac:dyDescent="0.65"/>
    <row r="245" spans="1:45" ht="25.5" x14ac:dyDescent="0.7">
      <c r="A245" s="640" t="s">
        <v>59</v>
      </c>
      <c r="B245" s="641" t="s">
        <v>81</v>
      </c>
      <c r="C245" s="641" t="s">
        <v>80</v>
      </c>
      <c r="D245" s="641" t="s">
        <v>79</v>
      </c>
      <c r="E245" s="641" t="s">
        <v>78</v>
      </c>
      <c r="F245" s="641" t="s">
        <v>74</v>
      </c>
      <c r="G245" s="641" t="s">
        <v>70</v>
      </c>
      <c r="H245" s="642" t="s">
        <v>69</v>
      </c>
    </row>
    <row r="246" spans="1:45" ht="26.25" thickBot="1" x14ac:dyDescent="0.75">
      <c r="A246" s="643" t="s">
        <v>437</v>
      </c>
      <c r="B246" s="644">
        <v>5629940</v>
      </c>
      <c r="C246" s="644">
        <v>6526628</v>
      </c>
      <c r="D246" s="645">
        <v>7251409</v>
      </c>
      <c r="E246" s="645">
        <v>7194962</v>
      </c>
      <c r="F246" s="645">
        <v>8779000</v>
      </c>
      <c r="G246" s="645">
        <v>17018133</v>
      </c>
      <c r="H246" s="646">
        <v>20392083</v>
      </c>
    </row>
    <row r="249" spans="1:45" x14ac:dyDescent="0.6">
      <c r="A249" s="629" t="s">
        <v>349</v>
      </c>
      <c r="B249" s="629" t="s">
        <v>350</v>
      </c>
      <c r="C249" s="629" t="s">
        <v>351</v>
      </c>
      <c r="D249" s="629" t="s">
        <v>473</v>
      </c>
      <c r="E249" s="629" t="s">
        <v>352</v>
      </c>
      <c r="F249" s="629" t="s">
        <v>353</v>
      </c>
      <c r="G249" s="629" t="s">
        <v>354</v>
      </c>
      <c r="H249" s="629" t="s">
        <v>355</v>
      </c>
      <c r="I249" s="629" t="s">
        <v>356</v>
      </c>
      <c r="J249" s="629" t="s">
        <v>357</v>
      </c>
      <c r="K249" s="629" t="s">
        <v>358</v>
      </c>
      <c r="L249" s="629" t="s">
        <v>359</v>
      </c>
      <c r="M249" s="629" t="s">
        <v>360</v>
      </c>
      <c r="N249" s="629" t="s">
        <v>361</v>
      </c>
      <c r="O249" s="635" t="s">
        <v>453</v>
      </c>
      <c r="Q249" s="629" t="s">
        <v>368</v>
      </c>
      <c r="R249" s="629" t="s">
        <v>369</v>
      </c>
      <c r="S249" s="629" t="s">
        <v>370</v>
      </c>
      <c r="T249" s="629" t="s">
        <v>371</v>
      </c>
      <c r="U249" s="629" t="s">
        <v>372</v>
      </c>
      <c r="V249" s="629" t="s">
        <v>373</v>
      </c>
      <c r="W249" s="629" t="s">
        <v>374</v>
      </c>
      <c r="X249" s="629" t="s">
        <v>375</v>
      </c>
      <c r="Y249" s="629" t="s">
        <v>376</v>
      </c>
      <c r="Z249" s="629" t="s">
        <v>377</v>
      </c>
      <c r="AA249" s="629" t="s">
        <v>378</v>
      </c>
      <c r="AB249" s="629" t="s">
        <v>379</v>
      </c>
      <c r="AC249" s="629" t="s">
        <v>380</v>
      </c>
      <c r="AD249" s="629" t="s">
        <v>361</v>
      </c>
      <c r="AF249" s="629" t="s">
        <v>368</v>
      </c>
      <c r="AG249" s="629" t="s">
        <v>369</v>
      </c>
      <c r="AH249" s="629" t="s">
        <v>370</v>
      </c>
      <c r="AI249" s="629" t="s">
        <v>371</v>
      </c>
      <c r="AJ249" s="629" t="s">
        <v>372</v>
      </c>
      <c r="AK249" s="629" t="s">
        <v>373</v>
      </c>
      <c r="AL249" s="629" t="s">
        <v>374</v>
      </c>
      <c r="AM249" s="629" t="s">
        <v>375</v>
      </c>
      <c r="AN249" s="629" t="s">
        <v>376</v>
      </c>
      <c r="AO249" s="629" t="s">
        <v>377</v>
      </c>
      <c r="AP249" s="629" t="s">
        <v>378</v>
      </c>
      <c r="AQ249" s="629" t="s">
        <v>379</v>
      </c>
      <c r="AR249" s="629" t="s">
        <v>380</v>
      </c>
      <c r="AS249" s="629" t="s">
        <v>361</v>
      </c>
    </row>
    <row r="250" spans="1:45" x14ac:dyDescent="0.6">
      <c r="A250" s="629" t="s">
        <v>222</v>
      </c>
      <c r="B250" s="630">
        <v>101030</v>
      </c>
      <c r="C250" s="630">
        <v>98191</v>
      </c>
      <c r="D250" s="630">
        <v>96024</v>
      </c>
      <c r="E250" s="630">
        <v>94753</v>
      </c>
      <c r="F250" s="630">
        <v>101657</v>
      </c>
      <c r="G250" s="630">
        <v>98860</v>
      </c>
      <c r="H250" s="630"/>
      <c r="I250" s="630"/>
      <c r="J250" s="630"/>
      <c r="K250" s="630"/>
      <c r="L250" s="630"/>
      <c r="M250" s="630"/>
      <c r="N250" s="630">
        <f>SUM(B250:M250)</f>
        <v>590515</v>
      </c>
      <c r="O250" s="712">
        <f>SUM(R250:W250)</f>
        <v>479138</v>
      </c>
      <c r="Q250" s="629" t="s">
        <v>222</v>
      </c>
      <c r="R250" s="630">
        <f>AG253+AG254</f>
        <v>92123</v>
      </c>
      <c r="S250" s="630">
        <f t="shared" ref="S250:AD250" si="42">AH253+AH254</f>
        <v>78675</v>
      </c>
      <c r="T250" s="630">
        <f t="shared" si="42"/>
        <v>83329</v>
      </c>
      <c r="U250" s="630">
        <f t="shared" si="42"/>
        <v>91553</v>
      </c>
      <c r="V250" s="630">
        <f t="shared" si="42"/>
        <v>92349</v>
      </c>
      <c r="W250" s="630">
        <f t="shared" si="42"/>
        <v>41109</v>
      </c>
      <c r="X250" s="630">
        <f t="shared" si="42"/>
        <v>98649</v>
      </c>
      <c r="Y250" s="630">
        <f t="shared" si="42"/>
        <v>101709</v>
      </c>
      <c r="Z250" s="630">
        <f t="shared" si="42"/>
        <v>85515</v>
      </c>
      <c r="AA250" s="630">
        <f t="shared" si="42"/>
        <v>95707</v>
      </c>
      <c r="AB250" s="630">
        <f t="shared" si="42"/>
        <v>89264</v>
      </c>
      <c r="AC250" s="630">
        <f t="shared" si="42"/>
        <v>68786</v>
      </c>
      <c r="AD250" s="630">
        <f t="shared" si="42"/>
        <v>1018768</v>
      </c>
      <c r="AF250" s="629" t="s">
        <v>472</v>
      </c>
      <c r="AG250" s="630">
        <v>100000</v>
      </c>
      <c r="AH250" s="630">
        <v>21823</v>
      </c>
      <c r="AI250" s="630">
        <v>17738</v>
      </c>
      <c r="AJ250" s="630">
        <v>76697</v>
      </c>
      <c r="AK250" s="630">
        <v>73476</v>
      </c>
      <c r="AL250" s="630">
        <v>100000</v>
      </c>
      <c r="AM250" s="630">
        <v>55202</v>
      </c>
      <c r="AN250" s="630">
        <v>12903</v>
      </c>
      <c r="AO250" s="630">
        <v>43089</v>
      </c>
      <c r="AP250" s="630">
        <v>100000</v>
      </c>
      <c r="AQ250" s="630">
        <v>51913</v>
      </c>
      <c r="AR250" s="630">
        <v>47820</v>
      </c>
      <c r="AS250" s="630">
        <v>700661</v>
      </c>
    </row>
    <row r="251" spans="1:45" x14ac:dyDescent="0.6">
      <c r="A251" s="629" t="s">
        <v>220</v>
      </c>
      <c r="B251" s="630">
        <v>10558</v>
      </c>
      <c r="C251" s="630">
        <v>152852</v>
      </c>
      <c r="D251" s="630">
        <v>116366</v>
      </c>
      <c r="E251" s="630">
        <v>115517</v>
      </c>
      <c r="F251" s="630">
        <v>136175</v>
      </c>
      <c r="G251" s="630">
        <v>135201</v>
      </c>
      <c r="H251" s="630"/>
      <c r="I251" s="630"/>
      <c r="J251" s="630"/>
      <c r="K251" s="630"/>
      <c r="L251" s="630"/>
      <c r="M251" s="630"/>
      <c r="N251" s="630">
        <f>SUM(B251:M251)</f>
        <v>666669</v>
      </c>
      <c r="O251" s="712">
        <f>SUM(R251:W251)</f>
        <v>737126</v>
      </c>
      <c r="Q251" s="629" t="s">
        <v>220</v>
      </c>
      <c r="R251" s="630">
        <f>AG250+AG251</f>
        <v>124567</v>
      </c>
      <c r="S251" s="630">
        <f t="shared" ref="S251:AD251" si="43">AH250+AH251</f>
        <v>77113</v>
      </c>
      <c r="T251" s="630">
        <f t="shared" si="43"/>
        <v>101368</v>
      </c>
      <c r="U251" s="630">
        <f t="shared" si="43"/>
        <v>143341</v>
      </c>
      <c r="V251" s="630">
        <f t="shared" si="43"/>
        <v>146951</v>
      </c>
      <c r="W251" s="630">
        <f t="shared" si="43"/>
        <v>143786</v>
      </c>
      <c r="X251" s="630">
        <f t="shared" si="43"/>
        <v>87997</v>
      </c>
      <c r="Y251" s="630">
        <f t="shared" si="43"/>
        <v>112903</v>
      </c>
      <c r="Z251" s="630">
        <f t="shared" si="43"/>
        <v>96358</v>
      </c>
      <c r="AA251" s="630">
        <f t="shared" si="43"/>
        <v>184763</v>
      </c>
      <c r="AB251" s="630">
        <f t="shared" si="43"/>
        <v>101790</v>
      </c>
      <c r="AC251" s="630">
        <f t="shared" si="43"/>
        <v>93820</v>
      </c>
      <c r="AD251" s="630">
        <f t="shared" si="43"/>
        <v>1414757</v>
      </c>
      <c r="AF251" s="629" t="s">
        <v>215</v>
      </c>
      <c r="AG251" s="630">
        <v>24567</v>
      </c>
      <c r="AH251" s="630">
        <v>55290</v>
      </c>
      <c r="AI251" s="630">
        <v>83630</v>
      </c>
      <c r="AJ251" s="630">
        <v>66644</v>
      </c>
      <c r="AK251" s="630">
        <v>73475</v>
      </c>
      <c r="AL251" s="630">
        <v>43786</v>
      </c>
      <c r="AM251" s="630">
        <v>32795</v>
      </c>
      <c r="AN251" s="630">
        <v>100000</v>
      </c>
      <c r="AO251" s="630">
        <v>53269</v>
      </c>
      <c r="AP251" s="630">
        <v>84763</v>
      </c>
      <c r="AQ251" s="630">
        <v>49877</v>
      </c>
      <c r="AR251" s="630">
        <v>46000</v>
      </c>
      <c r="AS251" s="630">
        <v>714096</v>
      </c>
    </row>
    <row r="252" spans="1:45" x14ac:dyDescent="0.6">
      <c r="B252" s="349"/>
      <c r="C252" s="349"/>
      <c r="D252" s="349"/>
      <c r="E252" s="349"/>
      <c r="F252" s="349"/>
      <c r="G252" s="349"/>
      <c r="H252" s="349"/>
      <c r="I252" s="349"/>
      <c r="J252" s="349"/>
      <c r="K252" s="349"/>
      <c r="L252" s="349"/>
      <c r="M252" s="349"/>
      <c r="N252" s="349"/>
      <c r="AF252" s="629" t="s">
        <v>214</v>
      </c>
      <c r="AG252" s="630">
        <v>19609</v>
      </c>
      <c r="AH252" s="630">
        <v>2524</v>
      </c>
      <c r="AI252" s="630">
        <v>0</v>
      </c>
      <c r="AJ252" s="630">
        <v>11013</v>
      </c>
      <c r="AK252" s="630">
        <v>11106</v>
      </c>
      <c r="AL252" s="630">
        <v>5802</v>
      </c>
      <c r="AM252" s="630">
        <v>12480</v>
      </c>
      <c r="AN252" s="630">
        <v>21982</v>
      </c>
      <c r="AO252" s="630">
        <v>17666</v>
      </c>
      <c r="AP252" s="630">
        <v>17</v>
      </c>
      <c r="AQ252" s="630">
        <v>0</v>
      </c>
      <c r="AR252" s="630">
        <v>0</v>
      </c>
      <c r="AS252" s="630">
        <v>102199</v>
      </c>
    </row>
    <row r="253" spans="1:45" x14ac:dyDescent="0.6">
      <c r="AF253" s="629" t="s">
        <v>216</v>
      </c>
      <c r="AG253" s="630">
        <v>71927</v>
      </c>
      <c r="AH253" s="630">
        <v>73675</v>
      </c>
      <c r="AI253" s="630">
        <v>69692</v>
      </c>
      <c r="AJ253" s="630">
        <v>63914</v>
      </c>
      <c r="AK253" s="630">
        <v>15877</v>
      </c>
      <c r="AL253" s="630">
        <v>21109</v>
      </c>
      <c r="AM253" s="630">
        <v>55647</v>
      </c>
      <c r="AN253" s="630">
        <v>100000</v>
      </c>
      <c r="AO253" s="630">
        <v>78876</v>
      </c>
      <c r="AP253" s="630">
        <v>75707</v>
      </c>
      <c r="AQ253" s="630">
        <v>62485</v>
      </c>
      <c r="AR253" s="630">
        <v>50000</v>
      </c>
      <c r="AS253" s="630">
        <v>738909</v>
      </c>
    </row>
    <row r="254" spans="1:45" x14ac:dyDescent="0.6">
      <c r="A254" s="628" t="s">
        <v>362</v>
      </c>
      <c r="B254" s="628" t="s">
        <v>350</v>
      </c>
      <c r="C254" s="628" t="s">
        <v>351</v>
      </c>
      <c r="D254" s="628" t="s">
        <v>473</v>
      </c>
      <c r="E254" s="628" t="s">
        <v>352</v>
      </c>
      <c r="F254" s="628" t="s">
        <v>353</v>
      </c>
      <c r="G254" s="628" t="s">
        <v>354</v>
      </c>
      <c r="H254" s="628" t="s">
        <v>355</v>
      </c>
      <c r="I254" s="628" t="s">
        <v>356</v>
      </c>
      <c r="J254" s="628" t="s">
        <v>357</v>
      </c>
      <c r="K254" s="628" t="s">
        <v>358</v>
      </c>
      <c r="L254" s="628" t="s">
        <v>359</v>
      </c>
      <c r="M254" s="628" t="s">
        <v>360</v>
      </c>
      <c r="N254" s="628" t="s">
        <v>361</v>
      </c>
      <c r="O254" s="635" t="s">
        <v>453</v>
      </c>
      <c r="Q254" s="628" t="s">
        <v>381</v>
      </c>
      <c r="R254" s="628" t="s">
        <v>369</v>
      </c>
      <c r="S254" s="628" t="s">
        <v>370</v>
      </c>
      <c r="T254" s="628" t="s">
        <v>371</v>
      </c>
      <c r="U254" s="628" t="s">
        <v>372</v>
      </c>
      <c r="V254" s="628" t="s">
        <v>373</v>
      </c>
      <c r="W254" s="628" t="s">
        <v>374</v>
      </c>
      <c r="X254" s="628" t="s">
        <v>375</v>
      </c>
      <c r="Y254" s="628" t="s">
        <v>376</v>
      </c>
      <c r="Z254" s="628" t="s">
        <v>377</v>
      </c>
      <c r="AA254" s="628" t="s">
        <v>378</v>
      </c>
      <c r="AB254" s="628" t="s">
        <v>379</v>
      </c>
      <c r="AC254" s="628" t="s">
        <v>380</v>
      </c>
      <c r="AD254" s="628" t="s">
        <v>361</v>
      </c>
      <c r="AF254" s="629" t="s">
        <v>217</v>
      </c>
      <c r="AG254" s="630">
        <v>20196</v>
      </c>
      <c r="AH254" s="630">
        <v>5000</v>
      </c>
      <c r="AI254" s="630">
        <v>13637</v>
      </c>
      <c r="AJ254" s="630">
        <v>27639</v>
      </c>
      <c r="AK254" s="630">
        <v>76472</v>
      </c>
      <c r="AL254" s="630">
        <v>20000</v>
      </c>
      <c r="AM254" s="630">
        <v>43002</v>
      </c>
      <c r="AN254" s="630">
        <v>1709</v>
      </c>
      <c r="AO254" s="630">
        <v>6639</v>
      </c>
      <c r="AP254" s="630">
        <v>20000</v>
      </c>
      <c r="AQ254" s="630">
        <v>26779</v>
      </c>
      <c r="AR254" s="630">
        <v>18786</v>
      </c>
      <c r="AS254" s="630">
        <v>279859</v>
      </c>
    </row>
    <row r="255" spans="1:45" x14ac:dyDescent="0.6">
      <c r="A255" s="628" t="s">
        <v>217</v>
      </c>
      <c r="B255" s="631">
        <v>32691</v>
      </c>
      <c r="C255" s="631">
        <v>24425</v>
      </c>
      <c r="D255" s="631">
        <v>24150</v>
      </c>
      <c r="E255" s="631">
        <v>28794</v>
      </c>
      <c r="F255" s="631">
        <v>15803</v>
      </c>
      <c r="G255" s="631">
        <v>30552</v>
      </c>
      <c r="H255" s="631"/>
      <c r="I255" s="631"/>
      <c r="J255" s="631"/>
      <c r="K255" s="631"/>
      <c r="L255" s="631"/>
      <c r="M255" s="631"/>
      <c r="N255" s="631">
        <f>SUM(B255:M255)</f>
        <v>156415</v>
      </c>
      <c r="O255" s="712">
        <f>SUM(R255:W255)</f>
        <v>100909</v>
      </c>
      <c r="Q255" s="628" t="s">
        <v>217</v>
      </c>
      <c r="R255" s="631">
        <v>2399</v>
      </c>
      <c r="S255" s="631">
        <v>6706</v>
      </c>
      <c r="T255" s="631">
        <v>13637</v>
      </c>
      <c r="U255" s="631">
        <v>26639</v>
      </c>
      <c r="V255" s="631">
        <v>31581</v>
      </c>
      <c r="W255" s="631">
        <v>19947</v>
      </c>
      <c r="X255" s="631">
        <v>15430</v>
      </c>
      <c r="Y255" s="631">
        <v>43381</v>
      </c>
      <c r="Z255" s="631">
        <v>10534</v>
      </c>
      <c r="AA255" s="631">
        <v>23827</v>
      </c>
      <c r="AB255" s="631">
        <v>28296</v>
      </c>
      <c r="AC255" s="631">
        <v>19705</v>
      </c>
      <c r="AD255" s="631">
        <v>242082</v>
      </c>
    </row>
    <row r="256" spans="1:45" x14ac:dyDescent="0.6">
      <c r="A256" s="628" t="s">
        <v>216</v>
      </c>
      <c r="B256" s="631">
        <v>28822</v>
      </c>
      <c r="C256" s="631">
        <v>73815</v>
      </c>
      <c r="D256" s="631">
        <v>96058</v>
      </c>
      <c r="E256" s="631">
        <v>102030</v>
      </c>
      <c r="F256" s="631">
        <v>84594</v>
      </c>
      <c r="G256" s="631">
        <v>76710</v>
      </c>
      <c r="H256" s="631"/>
      <c r="I256" s="631"/>
      <c r="J256" s="631"/>
      <c r="K256" s="631"/>
      <c r="L256" s="631"/>
      <c r="M256" s="631"/>
      <c r="N256" s="631">
        <f t="shared" ref="N256:N258" si="44">SUM(B256:M256)</f>
        <v>462029</v>
      </c>
      <c r="O256" s="712">
        <f t="shared" ref="O256:O258" si="45">SUM(R256:W256)</f>
        <v>348840</v>
      </c>
      <c r="Q256" s="628" t="s">
        <v>216</v>
      </c>
      <c r="R256" s="631">
        <v>71927</v>
      </c>
      <c r="S256" s="631">
        <v>63810</v>
      </c>
      <c r="T256" s="631">
        <v>71317</v>
      </c>
      <c r="U256" s="631">
        <v>62666</v>
      </c>
      <c r="V256" s="631">
        <v>55413</v>
      </c>
      <c r="W256" s="631">
        <v>23707</v>
      </c>
      <c r="X256" s="631">
        <v>54313</v>
      </c>
      <c r="Y256" s="631">
        <v>44729</v>
      </c>
      <c r="Z256" s="631">
        <v>83330</v>
      </c>
      <c r="AA256" s="631">
        <v>79993</v>
      </c>
      <c r="AB256" s="631">
        <v>24665</v>
      </c>
      <c r="AC256" s="631">
        <v>90876</v>
      </c>
      <c r="AD256" s="631">
        <v>726746</v>
      </c>
    </row>
    <row r="257" spans="1:30" x14ac:dyDescent="0.6">
      <c r="A257" s="628" t="s">
        <v>215</v>
      </c>
      <c r="B257" s="631">
        <v>0</v>
      </c>
      <c r="C257" s="631">
        <v>2850</v>
      </c>
      <c r="D257" s="631">
        <v>1913</v>
      </c>
      <c r="E257" s="631"/>
      <c r="F257" s="631">
        <v>12534</v>
      </c>
      <c r="G257" s="631">
        <v>9826</v>
      </c>
      <c r="H257" s="631"/>
      <c r="I257" s="631"/>
      <c r="J257" s="631"/>
      <c r="K257" s="631"/>
      <c r="L257" s="631"/>
      <c r="M257" s="631"/>
      <c r="N257" s="631">
        <f t="shared" si="44"/>
        <v>27123</v>
      </c>
      <c r="O257" s="712">
        <f t="shared" si="45"/>
        <v>28126</v>
      </c>
      <c r="Q257" s="628" t="s">
        <v>215</v>
      </c>
      <c r="R257" s="631">
        <v>5831</v>
      </c>
      <c r="S257" s="631">
        <v>18589</v>
      </c>
      <c r="T257" s="631">
        <v>0</v>
      </c>
      <c r="U257" s="631">
        <v>0</v>
      </c>
      <c r="V257" s="631">
        <v>3706</v>
      </c>
      <c r="W257" s="631">
        <v>0</v>
      </c>
      <c r="X257" s="631">
        <v>0</v>
      </c>
      <c r="Y257" s="631">
        <v>0</v>
      </c>
      <c r="Z257" s="631">
        <v>0</v>
      </c>
      <c r="AA257" s="631">
        <v>1111</v>
      </c>
      <c r="AB257" s="631">
        <v>0</v>
      </c>
      <c r="AC257" s="631">
        <v>557</v>
      </c>
      <c r="AD257" s="631">
        <v>29794</v>
      </c>
    </row>
    <row r="258" spans="1:30" x14ac:dyDescent="0.6">
      <c r="A258" s="628" t="s">
        <v>214</v>
      </c>
      <c r="B258" s="631">
        <v>0</v>
      </c>
      <c r="C258" s="631">
        <v>15382</v>
      </c>
      <c r="D258" s="631">
        <v>2929</v>
      </c>
      <c r="E258" s="631"/>
      <c r="F258" s="631"/>
      <c r="G258" s="631"/>
      <c r="H258" s="631"/>
      <c r="I258" s="631"/>
      <c r="J258" s="631"/>
      <c r="K258" s="631"/>
      <c r="L258" s="631"/>
      <c r="M258" s="631"/>
      <c r="N258" s="631">
        <f t="shared" si="44"/>
        <v>18311</v>
      </c>
      <c r="O258" s="712">
        <f t="shared" si="45"/>
        <v>50054</v>
      </c>
      <c r="Q258" s="628" t="s">
        <v>214</v>
      </c>
      <c r="R258" s="631">
        <v>19609</v>
      </c>
      <c r="S258" s="631">
        <v>2524</v>
      </c>
      <c r="T258" s="631">
        <v>0</v>
      </c>
      <c r="U258" s="631">
        <v>11013</v>
      </c>
      <c r="V258" s="631">
        <v>11106</v>
      </c>
      <c r="W258" s="631">
        <v>5802</v>
      </c>
      <c r="X258" s="631">
        <v>12480</v>
      </c>
      <c r="Y258" s="631">
        <v>21982</v>
      </c>
      <c r="Z258" s="631">
        <v>17666</v>
      </c>
      <c r="AA258" s="631">
        <v>17</v>
      </c>
      <c r="AB258" s="631">
        <v>0</v>
      </c>
      <c r="AC258" s="631">
        <v>0</v>
      </c>
      <c r="AD258" s="631">
        <v>102199</v>
      </c>
    </row>
    <row r="259" spans="1:30" x14ac:dyDescent="0.6">
      <c r="B259" s="349">
        <f>SUM(B255:B258)</f>
        <v>61513</v>
      </c>
      <c r="C259" s="349">
        <f t="shared" ref="C259:G259" si="46">SUM(C255:C258)</f>
        <v>116472</v>
      </c>
      <c r="D259" s="349">
        <f t="shared" si="46"/>
        <v>125050</v>
      </c>
      <c r="E259" s="349">
        <f t="shared" si="46"/>
        <v>130824</v>
      </c>
      <c r="F259" s="349">
        <f t="shared" si="46"/>
        <v>112931</v>
      </c>
      <c r="G259" s="349">
        <f t="shared" si="46"/>
        <v>117088</v>
      </c>
      <c r="N259" s="349">
        <f>N255+N256</f>
        <v>618444</v>
      </c>
      <c r="O259" s="349">
        <f>O255+O256</f>
        <v>449749</v>
      </c>
      <c r="Q259" s="628" t="s">
        <v>472</v>
      </c>
      <c r="R259" s="631">
        <v>0</v>
      </c>
      <c r="S259" s="631">
        <v>0</v>
      </c>
      <c r="T259" s="631">
        <v>0</v>
      </c>
      <c r="U259" s="631">
        <v>5975</v>
      </c>
      <c r="V259" s="631">
        <v>23743</v>
      </c>
      <c r="W259" s="631">
        <v>59928</v>
      </c>
      <c r="X259" s="631">
        <v>12441</v>
      </c>
      <c r="Y259" s="631">
        <v>741</v>
      </c>
      <c r="Z259" s="631">
        <v>13044</v>
      </c>
      <c r="AA259" s="631">
        <v>9510</v>
      </c>
      <c r="AB259" s="631">
        <v>1114</v>
      </c>
      <c r="AC259" s="631">
        <v>370</v>
      </c>
      <c r="AD259" s="631">
        <v>126866</v>
      </c>
    </row>
    <row r="260" spans="1:30" x14ac:dyDescent="0.6">
      <c r="R260" s="349">
        <f>SUM(R255:R259)</f>
        <v>99766</v>
      </c>
      <c r="S260" s="349">
        <f t="shared" ref="S260:AC260" si="47">SUM(S255:S259)</f>
        <v>91629</v>
      </c>
      <c r="T260" s="349">
        <f t="shared" si="47"/>
        <v>84954</v>
      </c>
      <c r="U260" s="349">
        <f t="shared" si="47"/>
        <v>106293</v>
      </c>
      <c r="V260" s="349">
        <f t="shared" si="47"/>
        <v>125549</v>
      </c>
      <c r="W260" s="349">
        <f t="shared" si="47"/>
        <v>109384</v>
      </c>
      <c r="X260" s="349">
        <f t="shared" si="47"/>
        <v>94664</v>
      </c>
      <c r="Y260" s="349">
        <f t="shared" si="47"/>
        <v>110833</v>
      </c>
      <c r="Z260" s="349">
        <f t="shared" si="47"/>
        <v>124574</v>
      </c>
      <c r="AA260" s="349">
        <f t="shared" si="47"/>
        <v>114458</v>
      </c>
      <c r="AB260" s="349">
        <f t="shared" si="47"/>
        <v>54075</v>
      </c>
      <c r="AC260" s="349">
        <f t="shared" si="47"/>
        <v>111508</v>
      </c>
    </row>
    <row r="261" spans="1:30" x14ac:dyDescent="0.6">
      <c r="A261" s="627" t="s">
        <v>363</v>
      </c>
      <c r="B261" s="627" t="s">
        <v>350</v>
      </c>
      <c r="C261" s="627" t="s">
        <v>351</v>
      </c>
      <c r="D261" s="627" t="s">
        <v>473</v>
      </c>
      <c r="E261" s="627" t="s">
        <v>352</v>
      </c>
      <c r="F261" s="627" t="s">
        <v>353</v>
      </c>
      <c r="G261" s="627" t="s">
        <v>354</v>
      </c>
      <c r="H261" s="627" t="s">
        <v>355</v>
      </c>
      <c r="I261" s="627" t="s">
        <v>356</v>
      </c>
      <c r="J261" s="627" t="s">
        <v>357</v>
      </c>
      <c r="K261" s="627" t="s">
        <v>358</v>
      </c>
      <c r="L261" s="627" t="s">
        <v>359</v>
      </c>
      <c r="M261" s="627" t="s">
        <v>360</v>
      </c>
      <c r="N261" s="627" t="s">
        <v>361</v>
      </c>
      <c r="O261" s="635" t="s">
        <v>453</v>
      </c>
    </row>
    <row r="262" spans="1:30" x14ac:dyDescent="0.6">
      <c r="A262" s="627" t="s">
        <v>217</v>
      </c>
      <c r="B262" s="632">
        <v>38077147</v>
      </c>
      <c r="C262" s="632">
        <v>40152426</v>
      </c>
      <c r="D262" s="632">
        <v>37907246</v>
      </c>
      <c r="E262" s="632">
        <v>34879801</v>
      </c>
      <c r="F262" s="632">
        <v>35046067</v>
      </c>
      <c r="G262" s="632">
        <v>33826427</v>
      </c>
      <c r="H262" s="632"/>
      <c r="I262" s="632"/>
      <c r="J262" s="632"/>
      <c r="K262" s="632"/>
      <c r="L262" s="632"/>
      <c r="M262" s="632"/>
      <c r="N262" s="632">
        <f>AVERAGE(B262:M262)</f>
        <v>36648185.666666664</v>
      </c>
      <c r="O262" s="712">
        <f>AVERAGE(R263:W263)</f>
        <v>24441352</v>
      </c>
      <c r="Q262" s="627" t="s">
        <v>382</v>
      </c>
      <c r="R262" s="627" t="s">
        <v>369</v>
      </c>
      <c r="S262" s="627" t="s">
        <v>370</v>
      </c>
      <c r="T262" s="627" t="s">
        <v>371</v>
      </c>
      <c r="U262" s="627" t="s">
        <v>372</v>
      </c>
      <c r="V262" s="627" t="s">
        <v>373</v>
      </c>
      <c r="W262" s="627" t="s">
        <v>374</v>
      </c>
      <c r="X262" s="627" t="s">
        <v>375</v>
      </c>
      <c r="Y262" s="627" t="s">
        <v>376</v>
      </c>
      <c r="Z262" s="627" t="s">
        <v>377</v>
      </c>
      <c r="AA262" s="627" t="s">
        <v>378</v>
      </c>
      <c r="AB262" s="627" t="s">
        <v>379</v>
      </c>
      <c r="AC262" s="627" t="s">
        <v>380</v>
      </c>
      <c r="AD262" s="627" t="s">
        <v>361</v>
      </c>
    </row>
    <row r="263" spans="1:30" x14ac:dyDescent="0.6">
      <c r="A263" s="627" t="s">
        <v>216</v>
      </c>
      <c r="B263" s="632">
        <v>44855770</v>
      </c>
      <c r="C263" s="632">
        <v>38958288</v>
      </c>
      <c r="D263" s="632">
        <v>42675019</v>
      </c>
      <c r="E263" s="632">
        <v>44252955</v>
      </c>
      <c r="F263" s="632">
        <v>43891730</v>
      </c>
      <c r="G263" s="632">
        <v>41524860</v>
      </c>
      <c r="H263" s="632"/>
      <c r="I263" s="632"/>
      <c r="J263" s="632"/>
      <c r="K263" s="632"/>
      <c r="L263" s="632"/>
      <c r="M263" s="632"/>
      <c r="N263" s="632">
        <f t="shared" ref="N263:N265" si="48">AVERAGE(B263:M263)</f>
        <v>42693103.666666664</v>
      </c>
      <c r="O263" s="712">
        <f t="shared" ref="O263:O265" si="49">AVERAGE(R264:W264)</f>
        <v>26723543.666666668</v>
      </c>
      <c r="Q263" s="627" t="s">
        <v>217</v>
      </c>
      <c r="R263" s="632">
        <v>21791580</v>
      </c>
      <c r="S263" s="632">
        <v>21909484</v>
      </c>
      <c r="T263" s="632">
        <v>24256581</v>
      </c>
      <c r="U263" s="632">
        <v>26173693</v>
      </c>
      <c r="V263" s="632">
        <v>24652133</v>
      </c>
      <c r="W263" s="632">
        <v>27864641</v>
      </c>
      <c r="X263" s="632">
        <v>27081983</v>
      </c>
      <c r="Y263" s="632">
        <v>33492220</v>
      </c>
      <c r="Z263" s="632">
        <v>31068255</v>
      </c>
      <c r="AA263" s="632">
        <v>27844126</v>
      </c>
      <c r="AB263" s="632">
        <v>30523537</v>
      </c>
      <c r="AC263" s="632">
        <v>37539457</v>
      </c>
      <c r="AD263" s="632">
        <v>24441352</v>
      </c>
    </row>
    <row r="264" spans="1:30" x14ac:dyDescent="0.6">
      <c r="A264" s="627" t="s">
        <v>215</v>
      </c>
      <c r="B264" s="632"/>
      <c r="C264" s="632">
        <v>16915789</v>
      </c>
      <c r="D264" s="632">
        <v>22920544</v>
      </c>
      <c r="E264" s="632"/>
      <c r="F264" s="632">
        <v>21661241</v>
      </c>
      <c r="G264" s="632">
        <v>20384490</v>
      </c>
      <c r="H264" s="632"/>
      <c r="I264" s="632"/>
      <c r="J264" s="632"/>
      <c r="K264" s="632"/>
      <c r="L264" s="632"/>
      <c r="M264" s="632"/>
      <c r="N264" s="632">
        <f t="shared" si="48"/>
        <v>20470516</v>
      </c>
      <c r="O264" s="712">
        <f t="shared" si="49"/>
        <v>8503454.333333334</v>
      </c>
      <c r="Q264" s="627" t="s">
        <v>216</v>
      </c>
      <c r="R264" s="632">
        <v>21410361</v>
      </c>
      <c r="S264" s="632">
        <v>21237596</v>
      </c>
      <c r="T264" s="632">
        <v>21240980</v>
      </c>
      <c r="U264" s="632">
        <v>21608831</v>
      </c>
      <c r="V264" s="632">
        <v>33955444</v>
      </c>
      <c r="W264" s="632">
        <v>40888050</v>
      </c>
      <c r="X264" s="632">
        <v>38247860</v>
      </c>
      <c r="Y264" s="632">
        <v>41168884</v>
      </c>
      <c r="Z264" s="632">
        <v>43809396</v>
      </c>
      <c r="AA264" s="632">
        <v>33037941</v>
      </c>
      <c r="AB264" s="632">
        <v>32574093</v>
      </c>
      <c r="AC264" s="632">
        <v>30280536</v>
      </c>
      <c r="AD264" s="632">
        <v>26723543.666666668</v>
      </c>
    </row>
    <row r="265" spans="1:30" x14ac:dyDescent="0.6">
      <c r="A265" s="627" t="s">
        <v>214</v>
      </c>
      <c r="B265" s="632"/>
      <c r="C265" s="632">
        <v>3650046</v>
      </c>
      <c r="D265" s="632">
        <v>3650393</v>
      </c>
      <c r="E265" s="632"/>
      <c r="F265" s="632"/>
      <c r="G265" s="632"/>
      <c r="H265" s="632"/>
      <c r="I265" s="632"/>
      <c r="J265" s="632"/>
      <c r="K265" s="632"/>
      <c r="L265" s="632"/>
      <c r="M265" s="632"/>
      <c r="N265" s="632">
        <f t="shared" si="48"/>
        <v>3650219.5</v>
      </c>
      <c r="O265" s="712">
        <f t="shared" si="49"/>
        <v>2537755.3333333335</v>
      </c>
      <c r="Q265" s="627" t="s">
        <v>215</v>
      </c>
      <c r="R265" s="632">
        <v>12389813</v>
      </c>
      <c r="S265" s="632">
        <v>12443649</v>
      </c>
      <c r="T265" s="632">
        <v>0</v>
      </c>
      <c r="U265" s="632">
        <v>0</v>
      </c>
      <c r="V265" s="632">
        <v>26187264</v>
      </c>
      <c r="W265" s="632">
        <v>0</v>
      </c>
      <c r="X265" s="632">
        <v>0</v>
      </c>
      <c r="Y265" s="632">
        <v>0</v>
      </c>
      <c r="Z265" s="632">
        <v>0</v>
      </c>
      <c r="AA265" s="632">
        <v>21945995</v>
      </c>
      <c r="AB265" s="632">
        <v>0</v>
      </c>
      <c r="AC265" s="632">
        <v>15482944</v>
      </c>
      <c r="AD265" s="632">
        <v>8503454.333333334</v>
      </c>
    </row>
    <row r="266" spans="1:30" x14ac:dyDescent="0.6">
      <c r="Q266" s="627" t="s">
        <v>214</v>
      </c>
      <c r="R266" s="632">
        <v>2500025</v>
      </c>
      <c r="S266" s="632">
        <v>2500000</v>
      </c>
      <c r="T266" s="632">
        <v>0</v>
      </c>
      <c r="U266" s="632">
        <v>2926632</v>
      </c>
      <c r="V266" s="632">
        <v>3650099</v>
      </c>
      <c r="W266" s="632">
        <v>3649776</v>
      </c>
      <c r="X266" s="632">
        <v>1522196</v>
      </c>
      <c r="Y266" s="632">
        <v>2671822</v>
      </c>
      <c r="Z266" s="632">
        <v>2435073</v>
      </c>
      <c r="AA266" s="632">
        <v>1470588</v>
      </c>
      <c r="AB266" s="632">
        <v>0</v>
      </c>
      <c r="AC266" s="632">
        <v>0</v>
      </c>
      <c r="AD266" s="632">
        <v>2537755.3333333335</v>
      </c>
    </row>
    <row r="267" spans="1:30" x14ac:dyDescent="0.6">
      <c r="Q267" s="627" t="s">
        <v>472</v>
      </c>
      <c r="R267" s="632">
        <v>0</v>
      </c>
      <c r="S267" s="632">
        <v>0</v>
      </c>
      <c r="T267" s="632">
        <v>0</v>
      </c>
      <c r="U267" s="632">
        <v>13183598</v>
      </c>
      <c r="V267" s="632">
        <v>14088784</v>
      </c>
      <c r="W267" s="632">
        <v>16582532</v>
      </c>
      <c r="X267" s="632">
        <v>17761916</v>
      </c>
      <c r="Y267" s="632">
        <v>17319838</v>
      </c>
      <c r="Z267" s="632">
        <v>15424026</v>
      </c>
      <c r="AA267" s="632">
        <v>11811146</v>
      </c>
      <c r="AB267" s="632">
        <v>12051167</v>
      </c>
      <c r="AC267" s="632">
        <v>14005405</v>
      </c>
      <c r="AD267" s="632">
        <v>7309152.333333333</v>
      </c>
    </row>
    <row r="268" spans="1:30" x14ac:dyDescent="0.6">
      <c r="A268" s="633" t="s">
        <v>364</v>
      </c>
      <c r="B268" s="633" t="s">
        <v>350</v>
      </c>
      <c r="C268" s="633" t="s">
        <v>351</v>
      </c>
      <c r="D268" s="633" t="s">
        <v>473</v>
      </c>
      <c r="E268" s="633" t="s">
        <v>352</v>
      </c>
      <c r="F268" s="633" t="s">
        <v>353</v>
      </c>
      <c r="G268" s="633" t="s">
        <v>354</v>
      </c>
      <c r="H268" s="633" t="s">
        <v>355</v>
      </c>
      <c r="I268" s="633" t="s">
        <v>356</v>
      </c>
      <c r="J268" s="633" t="s">
        <v>357</v>
      </c>
      <c r="K268" s="633" t="s">
        <v>358</v>
      </c>
      <c r="L268" s="633" t="s">
        <v>359</v>
      </c>
      <c r="M268" s="633" t="s">
        <v>360</v>
      </c>
      <c r="N268" s="633" t="s">
        <v>361</v>
      </c>
      <c r="O268" s="635" t="s">
        <v>453</v>
      </c>
    </row>
    <row r="269" spans="1:30" x14ac:dyDescent="0.6">
      <c r="A269" s="633" t="s">
        <v>217</v>
      </c>
      <c r="B269" s="634">
        <v>1244780</v>
      </c>
      <c r="C269" s="634">
        <v>980723</v>
      </c>
      <c r="D269" s="634">
        <v>915460</v>
      </c>
      <c r="E269" s="634">
        <v>1004329</v>
      </c>
      <c r="F269" s="634">
        <v>553833</v>
      </c>
      <c r="G269" s="634">
        <v>1033465</v>
      </c>
      <c r="H269" s="634">
        <v>0</v>
      </c>
      <c r="I269" s="634">
        <v>0</v>
      </c>
      <c r="J269" s="634">
        <v>0</v>
      </c>
      <c r="K269" s="634">
        <v>0</v>
      </c>
      <c r="L269" s="634">
        <v>0</v>
      </c>
      <c r="M269" s="634">
        <v>0</v>
      </c>
      <c r="N269" s="634">
        <f>SUM(B269:M269)</f>
        <v>5732590</v>
      </c>
      <c r="O269" s="712">
        <f>SUM(R271:W271)</f>
        <v>2561586</v>
      </c>
    </row>
    <row r="270" spans="1:30" x14ac:dyDescent="0.6">
      <c r="A270" s="633" t="s">
        <v>216</v>
      </c>
      <c r="B270" s="634">
        <v>1292833</v>
      </c>
      <c r="C270" s="634">
        <v>2875706</v>
      </c>
      <c r="D270" s="634">
        <v>4099277</v>
      </c>
      <c r="E270" s="634">
        <v>4515129</v>
      </c>
      <c r="F270" s="634">
        <v>3712977</v>
      </c>
      <c r="G270" s="634">
        <v>3185372</v>
      </c>
      <c r="H270" s="634">
        <v>0</v>
      </c>
      <c r="I270" s="634">
        <v>0</v>
      </c>
      <c r="J270" s="634">
        <v>0</v>
      </c>
      <c r="K270" s="634">
        <v>0</v>
      </c>
      <c r="L270" s="634">
        <v>0</v>
      </c>
      <c r="M270" s="634">
        <v>0</v>
      </c>
      <c r="N270" s="634">
        <f t="shared" ref="N270:N272" si="50">SUM(B270:M270)</f>
        <v>19681294</v>
      </c>
      <c r="O270" s="712">
        <f t="shared" ref="O270:O272" si="51">SUM(R272:W272)</f>
        <v>8615042</v>
      </c>
      <c r="Q270" s="633" t="s">
        <v>383</v>
      </c>
      <c r="R270" s="633" t="s">
        <v>369</v>
      </c>
      <c r="S270" s="633" t="s">
        <v>370</v>
      </c>
      <c r="T270" s="633" t="s">
        <v>371</v>
      </c>
      <c r="U270" s="633" t="s">
        <v>372</v>
      </c>
      <c r="V270" s="633" t="s">
        <v>373</v>
      </c>
      <c r="W270" s="633" t="s">
        <v>374</v>
      </c>
      <c r="X270" s="633" t="s">
        <v>375</v>
      </c>
      <c r="Y270" s="633" t="s">
        <v>376</v>
      </c>
      <c r="Z270" s="633" t="s">
        <v>377</v>
      </c>
      <c r="AA270" s="633" t="s">
        <v>378</v>
      </c>
      <c r="AB270" s="633" t="s">
        <v>379</v>
      </c>
      <c r="AC270" s="633" t="s">
        <v>380</v>
      </c>
      <c r="AD270" s="633" t="s">
        <v>361</v>
      </c>
    </row>
    <row r="271" spans="1:30" x14ac:dyDescent="0.6">
      <c r="A271" s="633" t="s">
        <v>215</v>
      </c>
      <c r="B271" s="634">
        <v>0</v>
      </c>
      <c r="C271" s="634">
        <v>48210</v>
      </c>
      <c r="D271" s="634">
        <v>43847</v>
      </c>
      <c r="E271" s="634">
        <v>0</v>
      </c>
      <c r="F271" s="634">
        <v>271502</v>
      </c>
      <c r="G271" s="634">
        <v>200298</v>
      </c>
      <c r="H271" s="634">
        <v>0</v>
      </c>
      <c r="I271" s="634">
        <v>0</v>
      </c>
      <c r="J271" s="634">
        <v>0</v>
      </c>
      <c r="K271" s="634">
        <v>0</v>
      </c>
      <c r="L271" s="634">
        <v>0</v>
      </c>
      <c r="M271" s="634">
        <v>0</v>
      </c>
      <c r="N271" s="634">
        <f t="shared" si="50"/>
        <v>563857</v>
      </c>
      <c r="O271" s="712">
        <f t="shared" si="51"/>
        <v>400610</v>
      </c>
      <c r="Q271" s="633" t="s">
        <v>217</v>
      </c>
      <c r="R271" s="634">
        <v>52278</v>
      </c>
      <c r="S271" s="634">
        <v>146925</v>
      </c>
      <c r="T271" s="634">
        <v>330787</v>
      </c>
      <c r="U271" s="634">
        <v>697241</v>
      </c>
      <c r="V271" s="634">
        <v>778539</v>
      </c>
      <c r="W271" s="634">
        <v>555816</v>
      </c>
      <c r="X271" s="634">
        <v>417875</v>
      </c>
      <c r="Y271" s="634">
        <v>1452926</v>
      </c>
      <c r="Z271" s="634">
        <v>327273</v>
      </c>
      <c r="AA271" s="634">
        <v>663442</v>
      </c>
      <c r="AB271" s="634">
        <v>863694</v>
      </c>
      <c r="AC271" s="634">
        <v>739715</v>
      </c>
      <c r="AD271" s="634">
        <v>7026511</v>
      </c>
    </row>
    <row r="272" spans="1:30" x14ac:dyDescent="0.6">
      <c r="A272" s="633" t="s">
        <v>214</v>
      </c>
      <c r="B272" s="634">
        <v>0</v>
      </c>
      <c r="C272" s="634">
        <v>56145</v>
      </c>
      <c r="D272" s="634">
        <v>10692</v>
      </c>
      <c r="E272" s="634">
        <v>0</v>
      </c>
      <c r="F272" s="634">
        <v>0</v>
      </c>
      <c r="G272" s="634">
        <v>0</v>
      </c>
      <c r="H272" s="634">
        <v>0</v>
      </c>
      <c r="I272" s="634">
        <v>0</v>
      </c>
      <c r="J272" s="634">
        <v>0</v>
      </c>
      <c r="K272" s="634">
        <v>0</v>
      </c>
      <c r="L272" s="634">
        <v>0</v>
      </c>
      <c r="M272" s="634">
        <v>0</v>
      </c>
      <c r="N272" s="634">
        <f t="shared" si="50"/>
        <v>66837</v>
      </c>
      <c r="O272" s="712">
        <f t="shared" si="51"/>
        <v>149278</v>
      </c>
      <c r="Q272" s="633" t="s">
        <v>216</v>
      </c>
      <c r="R272" s="634">
        <v>1539983</v>
      </c>
      <c r="S272" s="634">
        <v>1355171</v>
      </c>
      <c r="T272" s="634">
        <v>1514843</v>
      </c>
      <c r="U272" s="634">
        <v>1354139</v>
      </c>
      <c r="V272" s="634">
        <v>1881573</v>
      </c>
      <c r="W272" s="634">
        <v>969333</v>
      </c>
      <c r="X272" s="634">
        <v>2077356</v>
      </c>
      <c r="Y272" s="634">
        <v>1841443</v>
      </c>
      <c r="Z272" s="634">
        <v>3650637</v>
      </c>
      <c r="AA272" s="634">
        <v>2642804</v>
      </c>
      <c r="AB272" s="634">
        <v>803440</v>
      </c>
      <c r="AC272" s="634">
        <v>2751774</v>
      </c>
      <c r="AD272" s="634">
        <v>22382496</v>
      </c>
    </row>
    <row r="273" spans="14:30" x14ac:dyDescent="0.6">
      <c r="N273" s="907">
        <f>SUM(N269:N272)</f>
        <v>26044578</v>
      </c>
      <c r="O273" s="907">
        <f>SUM(O269:O272)</f>
        <v>11726516</v>
      </c>
      <c r="Q273" s="633" t="s">
        <v>215</v>
      </c>
      <c r="R273" s="634">
        <v>72245</v>
      </c>
      <c r="S273" s="634">
        <v>231315</v>
      </c>
      <c r="T273" s="634">
        <v>0</v>
      </c>
      <c r="U273" s="634">
        <v>0</v>
      </c>
      <c r="V273" s="634">
        <v>97050</v>
      </c>
      <c r="W273" s="634">
        <v>0</v>
      </c>
      <c r="X273" s="634">
        <v>0</v>
      </c>
      <c r="Y273" s="634">
        <v>0</v>
      </c>
      <c r="Z273" s="634">
        <v>0</v>
      </c>
      <c r="AA273" s="634">
        <v>24382</v>
      </c>
      <c r="AB273" s="634">
        <v>0</v>
      </c>
      <c r="AC273" s="634">
        <v>8624</v>
      </c>
      <c r="AD273" s="634">
        <v>433616</v>
      </c>
    </row>
    <row r="274" spans="14:30" x14ac:dyDescent="0.6">
      <c r="Q274" s="633" t="s">
        <v>214</v>
      </c>
      <c r="R274" s="634">
        <v>49023</v>
      </c>
      <c r="S274" s="634">
        <v>6310</v>
      </c>
      <c r="T274" s="634">
        <v>0</v>
      </c>
      <c r="U274" s="634">
        <v>32231</v>
      </c>
      <c r="V274" s="634">
        <v>40538</v>
      </c>
      <c r="W274" s="634">
        <v>21176</v>
      </c>
      <c r="X274" s="634">
        <v>18997</v>
      </c>
      <c r="Y274" s="634">
        <v>58732</v>
      </c>
      <c r="Z274" s="634">
        <v>43018</v>
      </c>
      <c r="AA274" s="634">
        <v>25</v>
      </c>
      <c r="AB274" s="634">
        <v>0</v>
      </c>
      <c r="AC274" s="634">
        <v>0</v>
      </c>
      <c r="AD274" s="634">
        <v>270050</v>
      </c>
    </row>
    <row r="275" spans="14:30" x14ac:dyDescent="0.6">
      <c r="Q275" s="633" t="s">
        <v>472</v>
      </c>
      <c r="R275" s="634">
        <v>0</v>
      </c>
      <c r="S275" s="634">
        <v>0</v>
      </c>
      <c r="T275" s="634">
        <v>0</v>
      </c>
      <c r="U275" s="634">
        <v>78772</v>
      </c>
      <c r="V275" s="634">
        <v>334510</v>
      </c>
      <c r="W275" s="634">
        <v>993758</v>
      </c>
      <c r="X275" s="634">
        <v>220976</v>
      </c>
      <c r="Y275" s="634">
        <v>12834</v>
      </c>
      <c r="Z275" s="634">
        <v>201191</v>
      </c>
      <c r="AA275" s="634">
        <v>112324</v>
      </c>
      <c r="AB275" s="634">
        <v>13425</v>
      </c>
      <c r="AC275" s="634">
        <v>5182</v>
      </c>
      <c r="AD275" s="634">
        <v>1972972</v>
      </c>
    </row>
  </sheetData>
  <mergeCells count="9">
    <mergeCell ref="F205:G205"/>
    <mergeCell ref="H205:I205"/>
    <mergeCell ref="F206:G206"/>
    <mergeCell ref="H206:I206"/>
    <mergeCell ref="A172:A174"/>
    <mergeCell ref="E183:Q183"/>
    <mergeCell ref="D183:D193"/>
    <mergeCell ref="F197:G197"/>
    <mergeCell ref="F204:I204"/>
  </mergeCells>
  <conditionalFormatting sqref="U193:U197">
    <cfRule type="cellIs" dxfId="33" priority="6" operator="lessThan">
      <formula>0</formula>
    </cfRule>
    <cfRule type="cellIs" dxfId="32" priority="7" operator="greaterThan">
      <formula>0</formula>
    </cfRule>
  </conditionalFormatting>
  <conditionalFormatting sqref="V193:V197">
    <cfRule type="cellIs" dxfId="31" priority="4" operator="lessThan">
      <formula>0</formula>
    </cfRule>
    <cfRule type="cellIs" dxfId="30" priority="5" operator="greaterThan">
      <formula>0</formula>
    </cfRule>
  </conditionalFormatting>
  <conditionalFormatting sqref="W193:W197">
    <cfRule type="cellIs" dxfId="29" priority="2" operator="lessThan">
      <formula>0</formula>
    </cfRule>
    <cfRule type="cellIs" dxfId="28" priority="3" operator="greaterThan">
      <formula>0</formula>
    </cfRule>
  </conditionalFormatting>
  <conditionalFormatting sqref="F185:Q193">
    <cfRule type="colorScale" priority="28">
      <colorScale>
        <cfvo type="num" val="$B$191"/>
        <cfvo type="num" val="$B$190"/>
        <cfvo type="num" val="$B$189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B25:N25 O255:O258 O262:O265 O269:O272" formulaRange="1"/>
    <ignoredError sqref="D32:N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1"/>
  <sheetViews>
    <sheetView rightToLeft="1" topLeftCell="A145" zoomScale="85" zoomScaleNormal="85" workbookViewId="0">
      <pane xSplit="1" topLeftCell="B1" activePane="topRight" state="frozen"/>
      <selection activeCell="N337" sqref="N337:O337"/>
      <selection pane="topRight" activeCell="C161" sqref="C161"/>
    </sheetView>
  </sheetViews>
  <sheetFormatPr defaultRowHeight="22.5" x14ac:dyDescent="0.6"/>
  <cols>
    <col min="1" max="1" width="59.42578125" style="3" bestFit="1" customWidth="1"/>
    <col min="2" max="3" width="15.42578125" style="3" bestFit="1" customWidth="1"/>
    <col min="4" max="4" width="15.28515625" style="3" bestFit="1" customWidth="1"/>
    <col min="5" max="5" width="15" style="3" bestFit="1" customWidth="1"/>
    <col min="6" max="6" width="19.5703125" style="3" customWidth="1"/>
    <col min="7" max="7" width="14.7109375" style="3" bestFit="1" customWidth="1"/>
    <col min="8" max="8" width="15.140625" style="3" bestFit="1" customWidth="1"/>
    <col min="9" max="9" width="15.85546875" style="3" bestFit="1" customWidth="1"/>
    <col min="10" max="10" width="15.140625" style="3" bestFit="1" customWidth="1"/>
    <col min="11" max="11" width="15.28515625" style="3" bestFit="1" customWidth="1"/>
    <col min="12" max="12" width="22.28515625" style="3" customWidth="1"/>
    <col min="13" max="14" width="15.85546875" style="3" bestFit="1" customWidth="1"/>
    <col min="15" max="15" width="20.42578125" style="3" customWidth="1"/>
    <col min="16" max="16" width="14.85546875" style="3" bestFit="1" customWidth="1"/>
    <col min="17" max="17" width="13.5703125" style="3" bestFit="1" customWidth="1"/>
    <col min="18" max="18" width="26.7109375" style="3" customWidth="1"/>
    <col min="19" max="19" width="25.140625" style="3" bestFit="1" customWidth="1"/>
    <col min="20" max="30" width="15.5703125" style="3" customWidth="1"/>
    <col min="31" max="31" width="9.42578125" style="3" bestFit="1" customWidth="1"/>
    <col min="32" max="35" width="12.85546875" style="3" customWidth="1"/>
    <col min="36" max="37" width="9.140625" style="3"/>
    <col min="38" max="38" width="13.5703125" style="3" customWidth="1"/>
    <col min="39" max="39" width="12.5703125" style="3" customWidth="1"/>
    <col min="40" max="16384" width="9.140625" style="3"/>
  </cols>
  <sheetData>
    <row r="1" spans="1:36" x14ac:dyDescent="0.6">
      <c r="A1" s="252" t="s">
        <v>183</v>
      </c>
      <c r="B1" s="252" t="s">
        <v>81</v>
      </c>
      <c r="C1" s="252" t="s">
        <v>80</v>
      </c>
      <c r="D1" s="252" t="s">
        <v>79</v>
      </c>
      <c r="E1" s="252" t="s">
        <v>78</v>
      </c>
      <c r="F1" s="252" t="s">
        <v>77</v>
      </c>
      <c r="G1" s="252" t="s">
        <v>76</v>
      </c>
      <c r="H1" s="252" t="s">
        <v>75</v>
      </c>
      <c r="I1" s="252" t="s">
        <v>74</v>
      </c>
      <c r="J1" s="252" t="s">
        <v>73</v>
      </c>
      <c r="K1" s="252" t="s">
        <v>72</v>
      </c>
      <c r="L1" s="252" t="s">
        <v>71</v>
      </c>
      <c r="M1" s="252" t="s">
        <v>70</v>
      </c>
      <c r="N1" s="285" t="s">
        <v>69</v>
      </c>
      <c r="O1" s="252" t="s">
        <v>68</v>
      </c>
      <c r="P1" s="252" t="s">
        <v>67</v>
      </c>
      <c r="Q1" s="252" t="s">
        <v>66</v>
      </c>
      <c r="R1" s="82" t="s">
        <v>59</v>
      </c>
      <c r="S1" s="82" t="s">
        <v>181</v>
      </c>
      <c r="T1" s="252" t="s">
        <v>183</v>
      </c>
      <c r="U1" s="252" t="s">
        <v>81</v>
      </c>
      <c r="V1" s="252" t="s">
        <v>80</v>
      </c>
      <c r="W1" s="252" t="s">
        <v>79</v>
      </c>
      <c r="X1" s="252" t="s">
        <v>78</v>
      </c>
      <c r="Y1" s="252" t="s">
        <v>77</v>
      </c>
      <c r="Z1" s="252" t="s">
        <v>76</v>
      </c>
      <c r="AA1" s="252" t="s">
        <v>75</v>
      </c>
      <c r="AB1" s="252" t="s">
        <v>74</v>
      </c>
      <c r="AC1" s="252" t="s">
        <v>73</v>
      </c>
      <c r="AD1" s="252" t="s">
        <v>72</v>
      </c>
      <c r="AE1" s="252" t="s">
        <v>71</v>
      </c>
      <c r="AF1" s="252" t="s">
        <v>70</v>
      </c>
      <c r="AG1" s="285" t="s">
        <v>69</v>
      </c>
      <c r="AH1" s="252" t="s">
        <v>68</v>
      </c>
      <c r="AI1" s="252" t="s">
        <v>67</v>
      </c>
      <c r="AJ1" s="252" t="s">
        <v>66</v>
      </c>
    </row>
    <row r="2" spans="1:36" x14ac:dyDescent="0.6">
      <c r="A2" s="252" t="s">
        <v>191</v>
      </c>
      <c r="B2" s="283">
        <v>198219</v>
      </c>
      <c r="C2" s="283">
        <v>240303</v>
      </c>
      <c r="D2" s="283">
        <v>169737</v>
      </c>
      <c r="E2" s="283">
        <v>312673</v>
      </c>
      <c r="F2" s="283">
        <v>87289</v>
      </c>
      <c r="G2" s="283">
        <v>182630</v>
      </c>
      <c r="H2" s="283">
        <v>260136</v>
      </c>
      <c r="I2" s="283">
        <v>319529</v>
      </c>
      <c r="J2" s="283">
        <v>64014</v>
      </c>
      <c r="K2" s="283">
        <v>162544</v>
      </c>
      <c r="L2" s="283">
        <v>265464</v>
      </c>
      <c r="M2" s="283">
        <v>341002</v>
      </c>
      <c r="N2" s="284">
        <v>84090</v>
      </c>
      <c r="O2" s="283"/>
      <c r="P2" s="283">
        <f>Q2-N2</f>
        <v>252086.18402070191</v>
      </c>
      <c r="Q2" s="283">
        <f>AJ2*$Q$5</f>
        <v>336176.18402070191</v>
      </c>
      <c r="R2" s="82" t="s">
        <v>492</v>
      </c>
      <c r="S2" s="708">
        <v>550000</v>
      </c>
      <c r="T2" s="252" t="s">
        <v>191</v>
      </c>
      <c r="U2" s="282">
        <f t="shared" ref="U2:AG2" si="0">B2/B5</f>
        <v>0.54809925673583149</v>
      </c>
      <c r="V2" s="282">
        <f t="shared" si="0"/>
        <v>0.6234867079378752</v>
      </c>
      <c r="W2" s="282">
        <f t="shared" si="0"/>
        <v>0.5665491758957002</v>
      </c>
      <c r="X2" s="282">
        <f t="shared" si="0"/>
        <v>0.78117083310431668</v>
      </c>
      <c r="Y2" s="282">
        <f t="shared" si="0"/>
        <v>0.76949998236891282</v>
      </c>
      <c r="Z2" s="282">
        <f t="shared" si="0"/>
        <v>0.83109590163188407</v>
      </c>
      <c r="AA2" s="282">
        <f t="shared" si="0"/>
        <v>0.84073221811412469</v>
      </c>
      <c r="AB2" s="282">
        <f t="shared" si="0"/>
        <v>0.82144932156243733</v>
      </c>
      <c r="AC2" s="282">
        <f t="shared" si="0"/>
        <v>0.68393948459335874</v>
      </c>
      <c r="AD2" s="282">
        <f t="shared" si="0"/>
        <v>0.77015725907710386</v>
      </c>
      <c r="AE2" s="282">
        <f t="shared" si="0"/>
        <v>0.81741845491579912</v>
      </c>
      <c r="AF2" s="282">
        <f t="shared" si="0"/>
        <v>0.81868904883775651</v>
      </c>
      <c r="AG2" s="282">
        <f t="shared" si="0"/>
        <v>0.71446778140293643</v>
      </c>
      <c r="AH2" s="282"/>
      <c r="AI2" s="282"/>
      <c r="AJ2" s="282">
        <f>AVERAGE(AF2,AB2,X2)</f>
        <v>0.80710306783483687</v>
      </c>
    </row>
    <row r="3" spans="1:36" x14ac:dyDescent="0.6">
      <c r="A3" s="252" t="s">
        <v>190</v>
      </c>
      <c r="B3" s="283">
        <v>54780</v>
      </c>
      <c r="C3" s="283">
        <v>44530</v>
      </c>
      <c r="D3" s="283">
        <v>31875</v>
      </c>
      <c r="E3" s="283">
        <v>48326</v>
      </c>
      <c r="F3" s="283">
        <v>20918</v>
      </c>
      <c r="G3" s="283">
        <v>28156</v>
      </c>
      <c r="H3" s="283">
        <v>35916</v>
      </c>
      <c r="I3" s="283">
        <v>42514</v>
      </c>
      <c r="J3" s="283">
        <v>29582</v>
      </c>
      <c r="K3" s="283">
        <v>48509</v>
      </c>
      <c r="L3" s="283">
        <v>59295</v>
      </c>
      <c r="M3" s="283">
        <v>65213</v>
      </c>
      <c r="N3" s="284">
        <v>33391</v>
      </c>
      <c r="O3" s="283"/>
      <c r="P3" s="283">
        <f>Q3-N3</f>
        <v>20284.388452613806</v>
      </c>
      <c r="Q3" s="283">
        <f>AJ3*$Q$5</f>
        <v>53675.388452613806</v>
      </c>
      <c r="R3" s="82" t="s">
        <v>493</v>
      </c>
      <c r="S3" s="680">
        <v>200000</v>
      </c>
      <c r="T3" s="252" t="s">
        <v>190</v>
      </c>
      <c r="U3" s="282">
        <f t="shared" ref="U3:AG3" si="1">B3/B5</f>
        <v>0.15147325576250939</v>
      </c>
      <c r="V3" s="282">
        <f t="shared" si="1"/>
        <v>0.11553689760208397</v>
      </c>
      <c r="W3" s="282">
        <f t="shared" si="1"/>
        <v>0.10639256603849158</v>
      </c>
      <c r="X3" s="282">
        <f t="shared" si="1"/>
        <v>0.12073591797372721</v>
      </c>
      <c r="Y3" s="282">
        <f t="shared" si="1"/>
        <v>0.18440354032229628</v>
      </c>
      <c r="Z3" s="282">
        <f t="shared" si="1"/>
        <v>0.12812974980204417</v>
      </c>
      <c r="AA3" s="282">
        <f t="shared" si="1"/>
        <v>0.11607673811309047</v>
      </c>
      <c r="AB3" s="282">
        <f t="shared" si="1"/>
        <v>0.10929554580931765</v>
      </c>
      <c r="AC3" s="282">
        <f t="shared" si="1"/>
        <v>0.31606051540664132</v>
      </c>
      <c r="AD3" s="282">
        <f t="shared" si="1"/>
        <v>0.22984274092289614</v>
      </c>
      <c r="AE3" s="282">
        <f t="shared" si="1"/>
        <v>0.18258154508420091</v>
      </c>
      <c r="AF3" s="282">
        <f t="shared" si="1"/>
        <v>0.15656555956228002</v>
      </c>
      <c r="AG3" s="282">
        <f t="shared" si="1"/>
        <v>0.28370547852093531</v>
      </c>
      <c r="AH3" s="282"/>
      <c r="AI3" s="282"/>
      <c r="AJ3" s="282">
        <f>AVERAGE(AF3,AB3,X3)</f>
        <v>0.12886567444844163</v>
      </c>
    </row>
    <row r="4" spans="1:36" x14ac:dyDescent="0.6">
      <c r="A4" s="252" t="s">
        <v>189</v>
      </c>
      <c r="B4" s="283">
        <v>108649</v>
      </c>
      <c r="C4" s="283">
        <v>100585</v>
      </c>
      <c r="D4" s="283">
        <v>97986</v>
      </c>
      <c r="E4" s="283">
        <v>39263</v>
      </c>
      <c r="F4" s="283">
        <v>5229</v>
      </c>
      <c r="G4" s="283">
        <v>8960</v>
      </c>
      <c r="H4" s="283">
        <v>13364</v>
      </c>
      <c r="I4" s="283">
        <v>26939</v>
      </c>
      <c r="J4" s="283">
        <v>0</v>
      </c>
      <c r="K4" s="283">
        <v>0</v>
      </c>
      <c r="L4" s="283">
        <v>0</v>
      </c>
      <c r="M4" s="283">
        <v>10307</v>
      </c>
      <c r="N4" s="284">
        <v>215</v>
      </c>
      <c r="O4" s="283"/>
      <c r="P4" s="283">
        <f>Q4-N4</f>
        <v>26455.427526684289</v>
      </c>
      <c r="Q4" s="283">
        <f>AJ4*$Q$5</f>
        <v>26670.427526684289</v>
      </c>
      <c r="R4" s="82" t="s">
        <v>494</v>
      </c>
      <c r="S4" s="680">
        <v>260000</v>
      </c>
      <c r="T4" s="252" t="s">
        <v>189</v>
      </c>
      <c r="U4" s="282">
        <f t="shared" ref="U4:AG4" si="2">B4/B5</f>
        <v>0.3004274875016591</v>
      </c>
      <c r="V4" s="282">
        <f t="shared" si="2"/>
        <v>0.26097639446004078</v>
      </c>
      <c r="W4" s="282">
        <f t="shared" si="2"/>
        <v>0.32705825806580818</v>
      </c>
      <c r="X4" s="282">
        <f t="shared" si="2"/>
        <v>9.8093248921956117E-2</v>
      </c>
      <c r="Y4" s="282">
        <f t="shared" si="2"/>
        <v>4.6096477308790858E-2</v>
      </c>
      <c r="Z4" s="282">
        <f t="shared" si="2"/>
        <v>4.077434856607174E-2</v>
      </c>
      <c r="AA4" s="282">
        <f t="shared" si="2"/>
        <v>4.3191043772784862E-2</v>
      </c>
      <c r="AB4" s="282">
        <f t="shared" si="2"/>
        <v>6.9255132628245009E-2</v>
      </c>
      <c r="AC4" s="282">
        <f t="shared" si="2"/>
        <v>0</v>
      </c>
      <c r="AD4" s="282">
        <f t="shared" si="2"/>
        <v>0</v>
      </c>
      <c r="AE4" s="282">
        <f t="shared" si="2"/>
        <v>0</v>
      </c>
      <c r="AF4" s="282">
        <f t="shared" si="2"/>
        <v>2.4745391599963508E-2</v>
      </c>
      <c r="AG4" s="282">
        <f t="shared" si="2"/>
        <v>1.8267400761283305E-3</v>
      </c>
      <c r="AH4" s="282"/>
      <c r="AI4" s="282"/>
      <c r="AJ4" s="282">
        <f>AVERAGE(AF4,AB4,X4)</f>
        <v>6.4031257716721537E-2</v>
      </c>
    </row>
    <row r="5" spans="1:36" x14ac:dyDescent="0.6">
      <c r="A5" s="252" t="s">
        <v>45</v>
      </c>
      <c r="B5" s="283">
        <f t="shared" ref="B5:N5" si="3">SUM(B2:B4)</f>
        <v>361648</v>
      </c>
      <c r="C5" s="283">
        <f t="shared" si="3"/>
        <v>385418</v>
      </c>
      <c r="D5" s="283">
        <f t="shared" si="3"/>
        <v>299598</v>
      </c>
      <c r="E5" s="283">
        <f t="shared" si="3"/>
        <v>400262</v>
      </c>
      <c r="F5" s="283">
        <f t="shared" si="3"/>
        <v>113436</v>
      </c>
      <c r="G5" s="283">
        <f t="shared" si="3"/>
        <v>219746</v>
      </c>
      <c r="H5" s="283">
        <f t="shared" si="3"/>
        <v>309416</v>
      </c>
      <c r="I5" s="283">
        <f t="shared" si="3"/>
        <v>388982</v>
      </c>
      <c r="J5" s="283">
        <f t="shared" si="3"/>
        <v>93596</v>
      </c>
      <c r="K5" s="283">
        <f t="shared" si="3"/>
        <v>211053</v>
      </c>
      <c r="L5" s="283">
        <f t="shared" si="3"/>
        <v>324759</v>
      </c>
      <c r="M5" s="283">
        <f t="shared" si="3"/>
        <v>416522</v>
      </c>
      <c r="N5" s="283">
        <f t="shared" si="3"/>
        <v>117696</v>
      </c>
      <c r="O5" s="283"/>
      <c r="P5" s="283">
        <f>Q5-N5</f>
        <v>298826</v>
      </c>
      <c r="Q5" s="283">
        <f>B157</f>
        <v>416522</v>
      </c>
      <c r="T5" s="252" t="s">
        <v>45</v>
      </c>
      <c r="U5" s="282">
        <f t="shared" ref="U5:AG5" si="4">B5/B5</f>
        <v>1</v>
      </c>
      <c r="V5" s="282">
        <f t="shared" si="4"/>
        <v>1</v>
      </c>
      <c r="W5" s="282">
        <f t="shared" si="4"/>
        <v>1</v>
      </c>
      <c r="X5" s="282">
        <f t="shared" si="4"/>
        <v>1</v>
      </c>
      <c r="Y5" s="282">
        <f t="shared" si="4"/>
        <v>1</v>
      </c>
      <c r="Z5" s="282">
        <f t="shared" si="4"/>
        <v>1</v>
      </c>
      <c r="AA5" s="282">
        <f t="shared" si="4"/>
        <v>1</v>
      </c>
      <c r="AB5" s="282">
        <f t="shared" si="4"/>
        <v>1</v>
      </c>
      <c r="AC5" s="282">
        <f t="shared" si="4"/>
        <v>1</v>
      </c>
      <c r="AD5" s="282">
        <f t="shared" si="4"/>
        <v>1</v>
      </c>
      <c r="AE5" s="282">
        <f t="shared" si="4"/>
        <v>1</v>
      </c>
      <c r="AF5" s="282">
        <f t="shared" si="4"/>
        <v>1</v>
      </c>
      <c r="AG5" s="282">
        <f t="shared" si="4"/>
        <v>1</v>
      </c>
      <c r="AH5" s="282"/>
      <c r="AI5" s="282"/>
      <c r="AJ5" s="282"/>
    </row>
    <row r="9" spans="1:36" x14ac:dyDescent="0.6">
      <c r="A9" s="252" t="s">
        <v>172</v>
      </c>
      <c r="B9" s="252" t="s">
        <v>81</v>
      </c>
      <c r="C9" s="252" t="s">
        <v>80</v>
      </c>
      <c r="D9" s="252" t="s">
        <v>79</v>
      </c>
      <c r="E9" s="252" t="s">
        <v>78</v>
      </c>
      <c r="F9" s="252" t="s">
        <v>77</v>
      </c>
      <c r="G9" s="252" t="s">
        <v>76</v>
      </c>
      <c r="H9" s="252" t="s">
        <v>75</v>
      </c>
      <c r="I9" s="252" t="s">
        <v>74</v>
      </c>
      <c r="J9" s="252" t="s">
        <v>73</v>
      </c>
      <c r="K9" s="252" t="s">
        <v>72</v>
      </c>
      <c r="L9" s="252" t="s">
        <v>71</v>
      </c>
      <c r="M9" s="252" t="s">
        <v>70</v>
      </c>
      <c r="N9" s="285" t="s">
        <v>69</v>
      </c>
      <c r="O9" s="252" t="s">
        <v>68</v>
      </c>
      <c r="P9" s="252" t="s">
        <v>67</v>
      </c>
      <c r="Q9" s="252" t="s">
        <v>66</v>
      </c>
      <c r="T9" s="252" t="s">
        <v>172</v>
      </c>
      <c r="U9" s="252" t="s">
        <v>81</v>
      </c>
      <c r="V9" s="252" t="s">
        <v>80</v>
      </c>
      <c r="W9" s="252" t="s">
        <v>79</v>
      </c>
      <c r="X9" s="252" t="s">
        <v>78</v>
      </c>
      <c r="Y9" s="252" t="s">
        <v>77</v>
      </c>
      <c r="Z9" s="252" t="s">
        <v>76</v>
      </c>
      <c r="AA9" s="252" t="s">
        <v>75</v>
      </c>
      <c r="AB9" s="252" t="s">
        <v>74</v>
      </c>
      <c r="AC9" s="252" t="s">
        <v>73</v>
      </c>
      <c r="AD9" s="252" t="s">
        <v>72</v>
      </c>
      <c r="AE9" s="252" t="s">
        <v>71</v>
      </c>
      <c r="AF9" s="252" t="s">
        <v>70</v>
      </c>
      <c r="AG9" s="285" t="s">
        <v>69</v>
      </c>
      <c r="AH9" s="252" t="s">
        <v>68</v>
      </c>
      <c r="AI9" s="252" t="s">
        <v>67</v>
      </c>
      <c r="AJ9" s="252" t="s">
        <v>66</v>
      </c>
    </row>
    <row r="10" spans="1:36" x14ac:dyDescent="0.6">
      <c r="A10" s="252" t="s">
        <v>204</v>
      </c>
      <c r="B10" s="283">
        <v>140982</v>
      </c>
      <c r="C10" s="283">
        <v>194101</v>
      </c>
      <c r="D10" s="283">
        <v>161511</v>
      </c>
      <c r="E10" s="283">
        <v>241953</v>
      </c>
      <c r="F10" s="283">
        <v>73427</v>
      </c>
      <c r="G10" s="283">
        <v>130279</v>
      </c>
      <c r="H10" s="283">
        <v>195423</v>
      </c>
      <c r="I10" s="283">
        <v>273864</v>
      </c>
      <c r="J10" s="283">
        <v>54635</v>
      </c>
      <c r="K10" s="283">
        <v>147509</v>
      </c>
      <c r="L10" s="283">
        <v>235913</v>
      </c>
      <c r="M10" s="283">
        <v>321390</v>
      </c>
      <c r="N10" s="284">
        <v>86072</v>
      </c>
      <c r="O10" s="283"/>
      <c r="P10" s="283">
        <f t="shared" ref="P10:P16" si="5">Q10-N10</f>
        <v>206749.71551842766</v>
      </c>
      <c r="Q10" s="283">
        <f>AJ10*$Q$16</f>
        <v>292821.71551842766</v>
      </c>
      <c r="T10" s="252" t="s">
        <v>204</v>
      </c>
      <c r="U10" s="282">
        <f t="shared" ref="U10:AG10" si="6">B10/B16</f>
        <v>0.47635652235613718</v>
      </c>
      <c r="V10" s="282">
        <f t="shared" si="6"/>
        <v>0.54745425212662746</v>
      </c>
      <c r="W10" s="282">
        <f t="shared" si="6"/>
        <v>0.54642429409495974</v>
      </c>
      <c r="X10" s="282">
        <f t="shared" si="6"/>
        <v>0.68910882629375414</v>
      </c>
      <c r="Y10" s="282">
        <f t="shared" si="6"/>
        <v>0.6718669936315057</v>
      </c>
      <c r="Z10" s="282">
        <f t="shared" si="6"/>
        <v>0.64522982898405734</v>
      </c>
      <c r="AA10" s="282">
        <f t="shared" si="6"/>
        <v>0.65636115094865599</v>
      </c>
      <c r="AB10" s="282">
        <f t="shared" si="6"/>
        <v>0.67556020405142725</v>
      </c>
      <c r="AC10" s="282">
        <f t="shared" si="6"/>
        <v>0.60652989631208509</v>
      </c>
      <c r="AD10" s="282">
        <f t="shared" si="6"/>
        <v>0.71838215598899358</v>
      </c>
      <c r="AE10" s="282">
        <f t="shared" si="6"/>
        <v>0.76985556621567819</v>
      </c>
      <c r="AF10" s="282">
        <f t="shared" si="6"/>
        <v>0.7850326211476879</v>
      </c>
      <c r="AG10" s="282">
        <f t="shared" si="6"/>
        <v>0.72195334714521775</v>
      </c>
      <c r="AH10" s="282"/>
      <c r="AI10" s="282"/>
      <c r="AJ10" s="282">
        <f>AVERAGE(AB10:AG10)</f>
        <v>0.7128856318101815</v>
      </c>
    </row>
    <row r="11" spans="1:36" x14ac:dyDescent="0.6">
      <c r="A11" s="252" t="s">
        <v>203</v>
      </c>
      <c r="B11" s="283">
        <v>92792</v>
      </c>
      <c r="C11" s="283">
        <v>106833</v>
      </c>
      <c r="D11" s="283">
        <v>86103</v>
      </c>
      <c r="E11" s="283">
        <v>40428</v>
      </c>
      <c r="F11" s="283">
        <v>7978</v>
      </c>
      <c r="G11" s="283">
        <v>11586</v>
      </c>
      <c r="H11" s="283">
        <v>18179</v>
      </c>
      <c r="I11" s="283">
        <v>24382</v>
      </c>
      <c r="J11" s="283">
        <v>827</v>
      </c>
      <c r="K11" s="283">
        <v>4925</v>
      </c>
      <c r="L11" s="283">
        <v>6415</v>
      </c>
      <c r="M11" s="283">
        <v>10025</v>
      </c>
      <c r="N11" s="284">
        <v>710</v>
      </c>
      <c r="O11" s="283"/>
      <c r="P11" s="283">
        <f t="shared" si="5"/>
        <v>9195.2069483887481</v>
      </c>
      <c r="Q11" s="283">
        <f>AJ11*$Q$16</f>
        <v>9905.2069483887481</v>
      </c>
      <c r="R11" s="239"/>
      <c r="S11" s="239"/>
      <c r="T11" s="252" t="s">
        <v>203</v>
      </c>
      <c r="U11" s="282">
        <f t="shared" ref="U11:AG11" si="7">B11/B16</f>
        <v>0.31352991461655161</v>
      </c>
      <c r="V11" s="282">
        <f t="shared" si="7"/>
        <v>0.30131828335476885</v>
      </c>
      <c r="W11" s="282">
        <f t="shared" si="7"/>
        <v>0.29130381828146884</v>
      </c>
      <c r="X11" s="282">
        <f t="shared" si="7"/>
        <v>0.11514340235253909</v>
      </c>
      <c r="Y11" s="282">
        <f t="shared" si="7"/>
        <v>7.2999780396749869E-2</v>
      </c>
      <c r="Z11" s="282">
        <f t="shared" si="7"/>
        <v>5.7381717687495976E-2</v>
      </c>
      <c r="AA11" s="282">
        <f t="shared" si="7"/>
        <v>6.1057241793932231E-2</v>
      </c>
      <c r="AB11" s="282">
        <f t="shared" si="7"/>
        <v>6.014484888551215E-2</v>
      </c>
      <c r="AC11" s="282">
        <f t="shared" si="7"/>
        <v>9.1809320810852819E-3</v>
      </c>
      <c r="AD11" s="282">
        <f t="shared" si="7"/>
        <v>2.3985194925365865E-2</v>
      </c>
      <c r="AE11" s="282">
        <f t="shared" si="7"/>
        <v>2.0934087808953197E-2</v>
      </c>
      <c r="AF11" s="282">
        <f t="shared" si="7"/>
        <v>2.4487233663168025E-2</v>
      </c>
      <c r="AG11" s="282">
        <f t="shared" si="7"/>
        <v>5.9553266622491005E-3</v>
      </c>
      <c r="AH11" s="282"/>
      <c r="AI11" s="282"/>
      <c r="AJ11" s="282">
        <f>AVERAGE(AB11:AG11)</f>
        <v>2.4114604004388935E-2</v>
      </c>
    </row>
    <row r="12" spans="1:36" x14ac:dyDescent="0.6">
      <c r="A12" s="252" t="s">
        <v>202</v>
      </c>
      <c r="B12" s="283">
        <v>46923</v>
      </c>
      <c r="C12" s="283">
        <v>36494</v>
      </c>
      <c r="D12" s="283">
        <v>28311</v>
      </c>
      <c r="E12" s="283">
        <v>27168</v>
      </c>
      <c r="F12" s="283">
        <v>27883</v>
      </c>
      <c r="G12" s="283">
        <v>13928</v>
      </c>
      <c r="H12" s="283">
        <v>23721</v>
      </c>
      <c r="I12" s="283">
        <v>33316</v>
      </c>
      <c r="J12" s="283">
        <v>5762</v>
      </c>
      <c r="K12" s="283">
        <v>16971</v>
      </c>
      <c r="L12" s="283">
        <v>26667</v>
      </c>
      <c r="M12" s="283">
        <v>38473</v>
      </c>
      <c r="N12" s="284">
        <v>12415</v>
      </c>
      <c r="O12" s="283"/>
      <c r="P12" s="283">
        <f t="shared" si="5"/>
        <v>22768.38237027717</v>
      </c>
      <c r="Q12" s="283">
        <f>AJ12*$Q$16</f>
        <v>35183.38237027717</v>
      </c>
      <c r="R12" s="239"/>
      <c r="S12" s="239"/>
      <c r="T12" s="252" t="s">
        <v>202</v>
      </c>
      <c r="U12" s="282">
        <f t="shared" ref="U12:AG12" si="8">B12/B16</f>
        <v>0.15854560935805298</v>
      </c>
      <c r="V12" s="282">
        <f t="shared" si="8"/>
        <v>0.10292989462758637</v>
      </c>
      <c r="W12" s="282">
        <f t="shared" si="8"/>
        <v>9.5781824087043013E-2</v>
      </c>
      <c r="X12" s="282">
        <f t="shared" si="8"/>
        <v>7.7377460055253339E-2</v>
      </c>
      <c r="Y12" s="282">
        <f t="shared" si="8"/>
        <v>0.25513322597174437</v>
      </c>
      <c r="Z12" s="282">
        <f t="shared" si="8"/>
        <v>6.8980887618802347E-2</v>
      </c>
      <c r="AA12" s="282">
        <f t="shared" si="8"/>
        <v>7.9670984795305919E-2</v>
      </c>
      <c r="AB12" s="282">
        <f t="shared" si="8"/>
        <v>8.2182995056587757E-2</v>
      </c>
      <c r="AC12" s="282">
        <f t="shared" si="8"/>
        <v>6.3966784342458755E-2</v>
      </c>
      <c r="AD12" s="282">
        <f t="shared" si="8"/>
        <v>8.2650303163123676E-2</v>
      </c>
      <c r="AE12" s="282">
        <f t="shared" si="8"/>
        <v>8.7022497209876065E-2</v>
      </c>
      <c r="AF12" s="282">
        <f t="shared" si="8"/>
        <v>9.397479707960732E-2</v>
      </c>
      <c r="AG12" s="282">
        <f t="shared" si="8"/>
        <v>0.10413433874904589</v>
      </c>
      <c r="AH12" s="282"/>
      <c r="AI12" s="282"/>
      <c r="AJ12" s="282">
        <f>AVERAGE(AB12:AG12)</f>
        <v>8.5655285933449898E-2</v>
      </c>
    </row>
    <row r="13" spans="1:36" x14ac:dyDescent="0.6">
      <c r="A13" s="252" t="s">
        <v>201</v>
      </c>
      <c r="B13" s="283">
        <v>15262</v>
      </c>
      <c r="C13" s="283">
        <v>17124</v>
      </c>
      <c r="D13" s="283">
        <v>19653</v>
      </c>
      <c r="E13" s="283">
        <v>41561</v>
      </c>
      <c r="F13" s="283">
        <v>0</v>
      </c>
      <c r="G13" s="283">
        <v>46118</v>
      </c>
      <c r="H13" s="283">
        <v>39888</v>
      </c>
      <c r="I13" s="283">
        <v>53031</v>
      </c>
      <c r="J13" s="283">
        <v>3723</v>
      </c>
      <c r="K13" s="283">
        <v>10799</v>
      </c>
      <c r="L13" s="283">
        <v>12312</v>
      </c>
      <c r="M13" s="283">
        <v>14378</v>
      </c>
      <c r="N13" s="284">
        <v>729</v>
      </c>
      <c r="O13" s="283"/>
      <c r="P13" s="283">
        <f t="shared" si="5"/>
        <v>20229.855173383981</v>
      </c>
      <c r="Q13" s="283">
        <f>AJ13*$Q$16</f>
        <v>20958.855173383981</v>
      </c>
      <c r="R13" s="239"/>
      <c r="S13" s="239"/>
      <c r="T13" s="252" t="s">
        <v>201</v>
      </c>
      <c r="U13" s="282">
        <f t="shared" ref="U13:AG13" si="9">B13/B16</f>
        <v>5.1567953669258239E-2</v>
      </c>
      <c r="V13" s="282">
        <f t="shared" si="9"/>
        <v>4.8297569891017397E-2</v>
      </c>
      <c r="W13" s="282">
        <f t="shared" si="9"/>
        <v>6.6490063536528435E-2</v>
      </c>
      <c r="X13" s="282">
        <f t="shared" si="9"/>
        <v>0.11837031129845348</v>
      </c>
      <c r="Y13" s="282">
        <f t="shared" si="9"/>
        <v>0</v>
      </c>
      <c r="Z13" s="282">
        <f t="shared" si="9"/>
        <v>0.22840756570964435</v>
      </c>
      <c r="AA13" s="282">
        <f t="shared" si="9"/>
        <v>0.13397058477784085</v>
      </c>
      <c r="AB13" s="282">
        <f t="shared" si="9"/>
        <v>0.13081541634187493</v>
      </c>
      <c r="AC13" s="282">
        <f t="shared" si="9"/>
        <v>4.1330846599613669E-2</v>
      </c>
      <c r="AD13" s="282">
        <f t="shared" si="9"/>
        <v>5.2592105583558577E-2</v>
      </c>
      <c r="AE13" s="282">
        <f t="shared" si="9"/>
        <v>4.0177784739490532E-2</v>
      </c>
      <c r="AF13" s="282">
        <f t="shared" si="9"/>
        <v>3.5119944699155102E-2</v>
      </c>
      <c r="AG13" s="282">
        <f t="shared" si="9"/>
        <v>6.1146945588444988E-3</v>
      </c>
      <c r="AH13" s="282"/>
      <c r="AI13" s="282"/>
      <c r="AJ13" s="282">
        <f>AVERAGE(AB13:AG13)</f>
        <v>5.1025132087089552E-2</v>
      </c>
    </row>
    <row r="14" spans="1:36" x14ac:dyDescent="0.6">
      <c r="A14" s="252" t="s">
        <v>200</v>
      </c>
      <c r="B14" s="283">
        <v>0</v>
      </c>
      <c r="C14" s="283">
        <v>0</v>
      </c>
      <c r="D14" s="283">
        <v>0</v>
      </c>
      <c r="E14" s="283">
        <v>0</v>
      </c>
      <c r="F14" s="283">
        <v>0</v>
      </c>
      <c r="G14" s="283">
        <v>0</v>
      </c>
      <c r="H14" s="283">
        <v>20525</v>
      </c>
      <c r="I14" s="283">
        <v>20525</v>
      </c>
      <c r="J14" s="283">
        <v>25131</v>
      </c>
      <c r="K14" s="283">
        <v>25131</v>
      </c>
      <c r="L14" s="283">
        <v>25131</v>
      </c>
      <c r="M14" s="283">
        <v>25131</v>
      </c>
      <c r="N14" s="284">
        <v>19295</v>
      </c>
      <c r="O14" s="283"/>
      <c r="P14" s="283">
        <f t="shared" si="5"/>
        <v>32545.774160890796</v>
      </c>
      <c r="Q14" s="283">
        <f>AJ14*$Q$16</f>
        <v>51840.774160890796</v>
      </c>
      <c r="T14" s="252" t="s">
        <v>200</v>
      </c>
      <c r="U14" s="282">
        <f t="shared" ref="U14:AG14" si="10">B14/B16</f>
        <v>0</v>
      </c>
      <c r="V14" s="282">
        <f t="shared" si="10"/>
        <v>0</v>
      </c>
      <c r="W14" s="282">
        <f t="shared" si="10"/>
        <v>0</v>
      </c>
      <c r="X14" s="282">
        <f t="shared" si="10"/>
        <v>0</v>
      </c>
      <c r="Y14" s="282">
        <f t="shared" si="10"/>
        <v>0</v>
      </c>
      <c r="Z14" s="282">
        <f t="shared" si="10"/>
        <v>0</v>
      </c>
      <c r="AA14" s="282">
        <f t="shared" si="10"/>
        <v>6.8936679015372634E-2</v>
      </c>
      <c r="AB14" s="282">
        <f t="shared" si="10"/>
        <v>5.0630507069770195E-2</v>
      </c>
      <c r="AC14" s="282">
        <f t="shared" si="10"/>
        <v>0.27899154066475723</v>
      </c>
      <c r="AD14" s="282">
        <f t="shared" si="10"/>
        <v>0.12239024033895829</v>
      </c>
      <c r="AE14" s="282">
        <f t="shared" si="10"/>
        <v>8.2010064026002E-2</v>
      </c>
      <c r="AF14" s="282">
        <f t="shared" si="10"/>
        <v>6.1385403410381609E-2</v>
      </c>
      <c r="AG14" s="282">
        <f t="shared" si="10"/>
        <v>0.1618422928846428</v>
      </c>
      <c r="AH14" s="282"/>
      <c r="AI14" s="282"/>
      <c r="AJ14" s="282">
        <f>AVERAGE(AB14:AG14)</f>
        <v>0.12620834139908535</v>
      </c>
    </row>
    <row r="15" spans="1:36" x14ac:dyDescent="0.6">
      <c r="A15" s="252" t="s">
        <v>199</v>
      </c>
      <c r="B15" s="283">
        <v>0</v>
      </c>
      <c r="C15" s="283">
        <v>0</v>
      </c>
      <c r="D15" s="283">
        <v>0</v>
      </c>
      <c r="E15" s="283">
        <v>0</v>
      </c>
      <c r="F15" s="283">
        <v>0</v>
      </c>
      <c r="G15" s="283">
        <v>0</v>
      </c>
      <c r="H15" s="283">
        <v>1</v>
      </c>
      <c r="I15" s="283">
        <v>270</v>
      </c>
      <c r="J15" s="283">
        <v>0</v>
      </c>
      <c r="K15" s="283">
        <v>0</v>
      </c>
      <c r="L15" s="283">
        <v>0</v>
      </c>
      <c r="M15" s="283">
        <v>0</v>
      </c>
      <c r="N15" s="284">
        <v>0</v>
      </c>
      <c r="O15" s="283"/>
      <c r="P15" s="283">
        <f t="shared" si="5"/>
        <v>0</v>
      </c>
      <c r="Q15" s="283">
        <v>0</v>
      </c>
      <c r="R15" s="239"/>
      <c r="S15" s="239"/>
      <c r="T15" s="252" t="s">
        <v>199</v>
      </c>
      <c r="U15" s="282">
        <f t="shared" ref="U15:AG15" si="11">B15/B16</f>
        <v>0</v>
      </c>
      <c r="V15" s="282">
        <f t="shared" si="11"/>
        <v>0</v>
      </c>
      <c r="W15" s="282">
        <f t="shared" si="11"/>
        <v>0</v>
      </c>
      <c r="X15" s="282">
        <f t="shared" si="11"/>
        <v>0</v>
      </c>
      <c r="Y15" s="282">
        <f t="shared" si="11"/>
        <v>0</v>
      </c>
      <c r="Z15" s="282">
        <f t="shared" si="11"/>
        <v>0</v>
      </c>
      <c r="AA15" s="282">
        <f t="shared" si="11"/>
        <v>3.3586688923445861E-6</v>
      </c>
      <c r="AB15" s="282">
        <f t="shared" si="11"/>
        <v>6.6602859482767132E-4</v>
      </c>
      <c r="AC15" s="282">
        <f t="shared" si="11"/>
        <v>0</v>
      </c>
      <c r="AD15" s="282">
        <f t="shared" si="11"/>
        <v>0</v>
      </c>
      <c r="AE15" s="282">
        <f t="shared" si="11"/>
        <v>0</v>
      </c>
      <c r="AF15" s="282">
        <f t="shared" si="11"/>
        <v>0</v>
      </c>
      <c r="AG15" s="282">
        <f t="shared" si="11"/>
        <v>0</v>
      </c>
      <c r="AH15" s="282"/>
      <c r="AI15" s="282"/>
      <c r="AJ15" s="282"/>
    </row>
    <row r="16" spans="1:36" x14ac:dyDescent="0.6">
      <c r="A16" s="252" t="s">
        <v>45</v>
      </c>
      <c r="B16" s="283">
        <f t="shared" ref="B16:N16" si="12">SUM(B10:B15)</f>
        <v>295959</v>
      </c>
      <c r="C16" s="283">
        <f t="shared" si="12"/>
        <v>354552</v>
      </c>
      <c r="D16" s="283">
        <f t="shared" si="12"/>
        <v>295578</v>
      </c>
      <c r="E16" s="283">
        <f t="shared" si="12"/>
        <v>351110</v>
      </c>
      <c r="F16" s="283">
        <f t="shared" si="12"/>
        <v>109288</v>
      </c>
      <c r="G16" s="283">
        <f t="shared" si="12"/>
        <v>201911</v>
      </c>
      <c r="H16" s="283">
        <f t="shared" si="12"/>
        <v>297737</v>
      </c>
      <c r="I16" s="283">
        <f t="shared" si="12"/>
        <v>405388</v>
      </c>
      <c r="J16" s="283">
        <f t="shared" si="12"/>
        <v>90078</v>
      </c>
      <c r="K16" s="283">
        <f t="shared" si="12"/>
        <v>205335</v>
      </c>
      <c r="L16" s="283">
        <f t="shared" si="12"/>
        <v>306438</v>
      </c>
      <c r="M16" s="283">
        <f t="shared" si="12"/>
        <v>409397</v>
      </c>
      <c r="N16" s="283">
        <f t="shared" si="12"/>
        <v>119221</v>
      </c>
      <c r="O16" s="283"/>
      <c r="P16" s="283">
        <f t="shared" si="5"/>
        <v>291534.5299927782</v>
      </c>
      <c r="Q16" s="283">
        <f>Q5*AJ16</f>
        <v>410755.5299927782</v>
      </c>
      <c r="T16" s="252" t="s">
        <v>45</v>
      </c>
      <c r="U16" s="282">
        <f t="shared" ref="U16:AG16" si="13">B16/B5</f>
        <v>0.81836205370968451</v>
      </c>
      <c r="V16" s="282">
        <f t="shared" si="13"/>
        <v>0.9199155202922541</v>
      </c>
      <c r="W16" s="282">
        <f t="shared" si="13"/>
        <v>0.98658201990667493</v>
      </c>
      <c r="X16" s="282">
        <f t="shared" si="13"/>
        <v>0.87720043371591605</v>
      </c>
      <c r="Y16" s="282">
        <f t="shared" si="13"/>
        <v>0.96343312528650515</v>
      </c>
      <c r="Z16" s="282">
        <f t="shared" si="13"/>
        <v>0.91883811309420882</v>
      </c>
      <c r="AA16" s="282">
        <f t="shared" si="13"/>
        <v>0.96225469917522044</v>
      </c>
      <c r="AB16" s="282">
        <f t="shared" si="13"/>
        <v>1.042176758821745</v>
      </c>
      <c r="AC16" s="282">
        <f t="shared" si="13"/>
        <v>0.96241292362921493</v>
      </c>
      <c r="AD16" s="282">
        <f t="shared" si="13"/>
        <v>0.97290727921422582</v>
      </c>
      <c r="AE16" s="282">
        <f t="shared" si="13"/>
        <v>0.943585859052405</v>
      </c>
      <c r="AF16" s="282">
        <f t="shared" si="13"/>
        <v>0.98289406081791597</v>
      </c>
      <c r="AG16" s="282">
        <f t="shared" si="13"/>
        <v>1.0129571098423056</v>
      </c>
      <c r="AH16" s="282"/>
      <c r="AI16" s="282"/>
      <c r="AJ16" s="282">
        <f>AVERAGE(AG16,AF16,AB16,AC16:AE16)</f>
        <v>0.98615566522963538</v>
      </c>
    </row>
    <row r="17" spans="1:36" x14ac:dyDescent="0.6">
      <c r="I17" s="239"/>
      <c r="J17" s="239"/>
      <c r="K17" s="239"/>
      <c r="L17" s="268"/>
      <c r="M17" s="239"/>
      <c r="N17" s="239"/>
      <c r="O17" s="239"/>
      <c r="P17" s="254"/>
      <c r="Q17" s="268"/>
      <c r="R17" s="239"/>
      <c r="S17" s="239"/>
      <c r="T17" s="239"/>
      <c r="U17" s="239"/>
    </row>
    <row r="18" spans="1:36" x14ac:dyDescent="0.6">
      <c r="I18" s="239"/>
      <c r="J18" s="239"/>
      <c r="K18" s="239"/>
      <c r="L18" s="268"/>
      <c r="M18" s="239"/>
      <c r="N18" s="239"/>
      <c r="O18" s="239"/>
      <c r="P18" s="239"/>
      <c r="Q18" s="268"/>
      <c r="R18" s="239"/>
      <c r="S18" s="239"/>
      <c r="T18" s="239"/>
      <c r="U18" s="239"/>
    </row>
    <row r="19" spans="1:36" x14ac:dyDescent="0.6">
      <c r="I19" s="254"/>
      <c r="J19" s="254"/>
      <c r="K19" s="254"/>
      <c r="M19" s="254"/>
      <c r="N19" s="254"/>
      <c r="O19" s="254"/>
      <c r="P19" s="254"/>
      <c r="R19" s="254"/>
      <c r="S19" s="254"/>
      <c r="T19" s="254"/>
      <c r="U19" s="254"/>
    </row>
    <row r="20" spans="1:36" x14ac:dyDescent="0.6">
      <c r="A20" s="252" t="s">
        <v>167</v>
      </c>
      <c r="B20" s="252" t="s">
        <v>81</v>
      </c>
      <c r="C20" s="252" t="s">
        <v>80</v>
      </c>
      <c r="D20" s="252" t="s">
        <v>79</v>
      </c>
      <c r="E20" s="252" t="s">
        <v>78</v>
      </c>
      <c r="F20" s="252" t="s">
        <v>77</v>
      </c>
      <c r="G20" s="252" t="s">
        <v>76</v>
      </c>
      <c r="H20" s="252" t="s">
        <v>75</v>
      </c>
      <c r="I20" s="252" t="s">
        <v>74</v>
      </c>
      <c r="J20" s="252" t="s">
        <v>73</v>
      </c>
      <c r="K20" s="252" t="s">
        <v>72</v>
      </c>
      <c r="L20" s="252" t="s">
        <v>71</v>
      </c>
      <c r="M20" s="252" t="s">
        <v>70</v>
      </c>
      <c r="N20" s="285" t="s">
        <v>69</v>
      </c>
      <c r="O20" s="252" t="s">
        <v>68</v>
      </c>
      <c r="P20" s="252" t="s">
        <v>67</v>
      </c>
      <c r="Q20" s="252" t="s">
        <v>66</v>
      </c>
      <c r="R20" s="254"/>
      <c r="S20" s="254"/>
      <c r="T20" s="252" t="s">
        <v>167</v>
      </c>
      <c r="U20" s="252" t="s">
        <v>81</v>
      </c>
      <c r="V20" s="252" t="s">
        <v>80</v>
      </c>
      <c r="W20" s="252" t="s">
        <v>79</v>
      </c>
      <c r="X20" s="252" t="s">
        <v>78</v>
      </c>
      <c r="Y20" s="252" t="s">
        <v>77</v>
      </c>
      <c r="Z20" s="252" t="s">
        <v>76</v>
      </c>
      <c r="AA20" s="252" t="s">
        <v>75</v>
      </c>
      <c r="AB20" s="252" t="s">
        <v>74</v>
      </c>
      <c r="AC20" s="252" t="s">
        <v>73</v>
      </c>
      <c r="AD20" s="252" t="s">
        <v>72</v>
      </c>
      <c r="AE20" s="252" t="s">
        <v>71</v>
      </c>
      <c r="AF20" s="252" t="s">
        <v>70</v>
      </c>
      <c r="AG20" s="285" t="s">
        <v>69</v>
      </c>
      <c r="AH20" s="252" t="s">
        <v>68</v>
      </c>
      <c r="AI20" s="252" t="s">
        <v>67</v>
      </c>
      <c r="AJ20" s="252" t="s">
        <v>66</v>
      </c>
    </row>
    <row r="21" spans="1:36" x14ac:dyDescent="0.6">
      <c r="A21" s="252" t="s">
        <v>204</v>
      </c>
      <c r="B21" s="283">
        <v>3483534</v>
      </c>
      <c r="C21" s="283">
        <v>5101784</v>
      </c>
      <c r="D21" s="283">
        <v>4108314</v>
      </c>
      <c r="E21" s="283">
        <v>5739191</v>
      </c>
      <c r="F21" s="283">
        <v>1674960</v>
      </c>
      <c r="G21" s="283">
        <v>3257781</v>
      </c>
      <c r="H21" s="283">
        <v>5187234</v>
      </c>
      <c r="I21" s="283">
        <v>7692127</v>
      </c>
      <c r="J21" s="283">
        <v>1992471</v>
      </c>
      <c r="K21" s="283">
        <v>5748555</v>
      </c>
      <c r="L21" s="283">
        <v>10526750</v>
      </c>
      <c r="M21" s="283">
        <v>15300492</v>
      </c>
      <c r="N21" s="284">
        <v>5436305</v>
      </c>
      <c r="O21" s="283"/>
      <c r="P21" s="283">
        <f t="shared" ref="P21:P26" si="14">P10*P32/1000000</f>
        <v>14555179.972497307</v>
      </c>
      <c r="Q21" s="283"/>
      <c r="T21" s="252" t="s">
        <v>204</v>
      </c>
      <c r="U21" s="282">
        <f t="shared" ref="U21:AG21" si="15">B21/B27</f>
        <v>0.54782134043268893</v>
      </c>
      <c r="V21" s="282">
        <f t="shared" si="15"/>
        <v>0.64428064952098696</v>
      </c>
      <c r="W21" s="282">
        <f t="shared" si="15"/>
        <v>0.69457983414200841</v>
      </c>
      <c r="X21" s="282">
        <f t="shared" si="15"/>
        <v>0.77983839036059976</v>
      </c>
      <c r="Y21" s="282">
        <f t="shared" si="15"/>
        <v>0.76379271584271602</v>
      </c>
      <c r="Z21" s="282">
        <f t="shared" si="15"/>
        <v>0.72496047831915356</v>
      </c>
      <c r="AA21" s="282">
        <f t="shared" si="15"/>
        <v>0.73065406999060067</v>
      </c>
      <c r="AB21" s="282">
        <f t="shared" si="15"/>
        <v>0.73892845615302449</v>
      </c>
      <c r="AC21" s="282">
        <f t="shared" si="15"/>
        <v>0.70175022752182936</v>
      </c>
      <c r="AD21" s="282">
        <f t="shared" si="15"/>
        <v>0.75781380487967576</v>
      </c>
      <c r="AE21" s="282">
        <f t="shared" si="15"/>
        <v>0.81002204278760082</v>
      </c>
      <c r="AF21" s="282">
        <f t="shared" si="15"/>
        <v>0.82380183088107617</v>
      </c>
      <c r="AG21" s="282">
        <f t="shared" si="15"/>
        <v>0.79232695674175424</v>
      </c>
      <c r="AH21" s="282"/>
      <c r="AI21" s="282"/>
      <c r="AJ21" s="282"/>
    </row>
    <row r="22" spans="1:36" x14ac:dyDescent="0.6">
      <c r="A22" s="252" t="s">
        <v>203</v>
      </c>
      <c r="B22" s="283">
        <v>1627257</v>
      </c>
      <c r="C22" s="283">
        <v>1728431</v>
      </c>
      <c r="D22" s="283">
        <v>1015846</v>
      </c>
      <c r="E22" s="283">
        <v>560831</v>
      </c>
      <c r="F22" s="283">
        <v>115532</v>
      </c>
      <c r="G22" s="283">
        <v>181314</v>
      </c>
      <c r="H22" s="283">
        <v>307918</v>
      </c>
      <c r="I22" s="283">
        <v>464022</v>
      </c>
      <c r="J22" s="283">
        <v>19318</v>
      </c>
      <c r="K22" s="283">
        <v>175380</v>
      </c>
      <c r="L22" s="283">
        <v>234615</v>
      </c>
      <c r="M22" s="283">
        <v>359963</v>
      </c>
      <c r="N22" s="284">
        <v>30766</v>
      </c>
      <c r="O22" s="283"/>
      <c r="P22" s="283">
        <f t="shared" si="14"/>
        <v>343900.73986973922</v>
      </c>
      <c r="Q22" s="283"/>
      <c r="R22" s="239"/>
      <c r="S22" s="239"/>
      <c r="T22" s="252" t="s">
        <v>203</v>
      </c>
      <c r="U22" s="282">
        <f t="shared" ref="U22:AG22" si="16">B22/B27</f>
        <v>0.25590280185824971</v>
      </c>
      <c r="V22" s="282">
        <f t="shared" si="16"/>
        <v>0.21827553799459348</v>
      </c>
      <c r="W22" s="282">
        <f t="shared" si="16"/>
        <v>0.1717459147946877</v>
      </c>
      <c r="X22" s="282">
        <f t="shared" si="16"/>
        <v>7.6205434582038739E-2</v>
      </c>
      <c r="Y22" s="282">
        <f t="shared" si="16"/>
        <v>5.2683347689939264E-2</v>
      </c>
      <c r="Z22" s="282">
        <f t="shared" si="16"/>
        <v>4.0348164645186098E-2</v>
      </c>
      <c r="AA22" s="282">
        <f t="shared" si="16"/>
        <v>4.3372159405834741E-2</v>
      </c>
      <c r="AB22" s="282">
        <f t="shared" si="16"/>
        <v>4.4575324884916577E-2</v>
      </c>
      <c r="AC22" s="282">
        <f t="shared" si="16"/>
        <v>6.8038184220832829E-3</v>
      </c>
      <c r="AD22" s="282">
        <f t="shared" si="16"/>
        <v>2.3119790121134361E-2</v>
      </c>
      <c r="AE22" s="282">
        <f t="shared" si="16"/>
        <v>1.8053370847470773E-2</v>
      </c>
      <c r="AF22" s="282">
        <f t="shared" si="16"/>
        <v>1.938095706003734E-2</v>
      </c>
      <c r="AG22" s="282">
        <f t="shared" si="16"/>
        <v>4.4840624562302537E-3</v>
      </c>
      <c r="AH22" s="282"/>
      <c r="AI22" s="282"/>
      <c r="AJ22" s="282"/>
    </row>
    <row r="23" spans="1:36" x14ac:dyDescent="0.6">
      <c r="A23" s="252" t="s">
        <v>202</v>
      </c>
      <c r="B23" s="283">
        <v>891514</v>
      </c>
      <c r="C23" s="283">
        <v>701303</v>
      </c>
      <c r="D23" s="283">
        <v>468902</v>
      </c>
      <c r="E23" s="283">
        <v>456848</v>
      </c>
      <c r="F23" s="283">
        <v>402459</v>
      </c>
      <c r="G23" s="283">
        <v>269739</v>
      </c>
      <c r="H23" s="283">
        <v>499694</v>
      </c>
      <c r="I23" s="283">
        <v>736187</v>
      </c>
      <c r="J23" s="283">
        <v>167733</v>
      </c>
      <c r="K23" s="283">
        <v>607242</v>
      </c>
      <c r="L23" s="283">
        <v>1067981</v>
      </c>
      <c r="M23" s="283">
        <v>1616004</v>
      </c>
      <c r="N23" s="284">
        <v>664919</v>
      </c>
      <c r="O23" s="283"/>
      <c r="P23" s="283">
        <f t="shared" si="14"/>
        <v>1025730.3569243801</v>
      </c>
      <c r="Q23" s="283"/>
      <c r="T23" s="252" t="s">
        <v>202</v>
      </c>
      <c r="U23" s="282">
        <f t="shared" ref="U23:AG23" si="17">B23/B27</f>
        <v>0.14019969217883571</v>
      </c>
      <c r="V23" s="282">
        <f t="shared" si="17"/>
        <v>8.856430463363732E-2</v>
      </c>
      <c r="W23" s="282">
        <f t="shared" si="17"/>
        <v>7.9275798633905784E-2</v>
      </c>
      <c r="X23" s="282">
        <f t="shared" si="17"/>
        <v>6.2076276771318335E-2</v>
      </c>
      <c r="Y23" s="282">
        <f t="shared" si="17"/>
        <v>0.18352393646734469</v>
      </c>
      <c r="Z23" s="282">
        <f t="shared" si="17"/>
        <v>6.0025555573358112E-2</v>
      </c>
      <c r="AA23" s="282">
        <f t="shared" si="17"/>
        <v>7.0384998025900355E-2</v>
      </c>
      <c r="AB23" s="282">
        <f t="shared" si="17"/>
        <v>7.072029925531996E-2</v>
      </c>
      <c r="AC23" s="282">
        <f t="shared" si="17"/>
        <v>5.9075726027088479E-2</v>
      </c>
      <c r="AD23" s="282">
        <f t="shared" si="17"/>
        <v>8.0050790242546868E-2</v>
      </c>
      <c r="AE23" s="282">
        <f t="shared" si="17"/>
        <v>8.2179984447084312E-2</v>
      </c>
      <c r="AF23" s="282">
        <f t="shared" si="17"/>
        <v>8.7008120648090437E-2</v>
      </c>
      <c r="AG23" s="282">
        <f t="shared" si="17"/>
        <v>9.691017110882677E-2</v>
      </c>
      <c r="AH23" s="282"/>
      <c r="AI23" s="282"/>
      <c r="AJ23" s="282"/>
    </row>
    <row r="24" spans="1:36" x14ac:dyDescent="0.6">
      <c r="A24" s="252" t="s">
        <v>201</v>
      </c>
      <c r="B24" s="283">
        <v>356582</v>
      </c>
      <c r="C24" s="283">
        <v>387056</v>
      </c>
      <c r="D24" s="283">
        <v>321757</v>
      </c>
      <c r="E24" s="283">
        <v>602592</v>
      </c>
      <c r="F24" s="283">
        <v>0</v>
      </c>
      <c r="G24" s="283">
        <v>784902</v>
      </c>
      <c r="H24" s="283">
        <v>822250</v>
      </c>
      <c r="I24" s="283">
        <v>1229293</v>
      </c>
      <c r="J24" s="283">
        <v>150490</v>
      </c>
      <c r="K24" s="283">
        <v>545256</v>
      </c>
      <c r="L24" s="283">
        <v>657012</v>
      </c>
      <c r="M24" s="283">
        <v>787290</v>
      </c>
      <c r="N24" s="284">
        <v>45349</v>
      </c>
      <c r="O24" s="283"/>
      <c r="P24" s="283">
        <f t="shared" si="14"/>
        <v>1424181.8042062321</v>
      </c>
      <c r="Q24" s="283"/>
      <c r="T24" s="252" t="s">
        <v>201</v>
      </c>
      <c r="U24" s="282">
        <f t="shared" ref="U24:AG24" si="18">B24/B27</f>
        <v>5.6076165530225652E-2</v>
      </c>
      <c r="V24" s="282">
        <f t="shared" si="18"/>
        <v>4.8879507850782225E-2</v>
      </c>
      <c r="W24" s="282">
        <f t="shared" si="18"/>
        <v>5.4398452429398093E-2</v>
      </c>
      <c r="X24" s="282">
        <f t="shared" si="18"/>
        <v>8.1879898286043196E-2</v>
      </c>
      <c r="Y24" s="282">
        <f t="shared" si="18"/>
        <v>0</v>
      </c>
      <c r="Z24" s="282">
        <f t="shared" si="18"/>
        <v>0.17466580146230218</v>
      </c>
      <c r="AA24" s="282">
        <f t="shared" si="18"/>
        <v>0.1158190104880118</v>
      </c>
      <c r="AB24" s="282">
        <f t="shared" si="18"/>
        <v>0.11808951914726835</v>
      </c>
      <c r="AC24" s="282">
        <f t="shared" si="18"/>
        <v>5.3002724626737406E-2</v>
      </c>
      <c r="AD24" s="282">
        <f t="shared" si="18"/>
        <v>7.187937211933651E-2</v>
      </c>
      <c r="AE24" s="282">
        <f t="shared" si="18"/>
        <v>5.0556363775711134E-2</v>
      </c>
      <c r="AF24" s="282">
        <f t="shared" si="18"/>
        <v>4.2388894646940928E-2</v>
      </c>
      <c r="AG24" s="282">
        <f t="shared" si="18"/>
        <v>6.6094958177073974E-3</v>
      </c>
      <c r="AH24" s="282"/>
      <c r="AI24" s="282"/>
      <c r="AJ24" s="282"/>
    </row>
    <row r="25" spans="1:36" x14ac:dyDescent="0.6">
      <c r="A25" s="252" t="s">
        <v>200</v>
      </c>
      <c r="B25" s="283">
        <v>0</v>
      </c>
      <c r="C25" s="283">
        <v>0</v>
      </c>
      <c r="D25" s="283">
        <v>0</v>
      </c>
      <c r="E25" s="283">
        <v>0</v>
      </c>
      <c r="F25" s="283">
        <v>0</v>
      </c>
      <c r="G25" s="283">
        <v>0</v>
      </c>
      <c r="H25" s="283">
        <v>282343</v>
      </c>
      <c r="I25" s="283">
        <v>282343</v>
      </c>
      <c r="J25" s="283">
        <v>509276</v>
      </c>
      <c r="K25" s="283">
        <v>509276</v>
      </c>
      <c r="L25" s="283">
        <v>509276</v>
      </c>
      <c r="M25" s="283">
        <v>509276</v>
      </c>
      <c r="N25" s="284">
        <v>683850</v>
      </c>
      <c r="O25" s="283"/>
      <c r="P25" s="283">
        <f t="shared" si="14"/>
        <v>1466208.1830640126</v>
      </c>
      <c r="Q25" s="283"/>
      <c r="R25" s="254"/>
      <c r="S25" s="254"/>
      <c r="T25" s="252" t="s">
        <v>200</v>
      </c>
      <c r="U25" s="282">
        <f t="shared" ref="U25:AG25" si="19">B25/B27</f>
        <v>0</v>
      </c>
      <c r="V25" s="282">
        <f t="shared" si="19"/>
        <v>0</v>
      </c>
      <c r="W25" s="282">
        <f t="shared" si="19"/>
        <v>0</v>
      </c>
      <c r="X25" s="282">
        <f t="shared" si="19"/>
        <v>0</v>
      </c>
      <c r="Y25" s="282">
        <f t="shared" si="19"/>
        <v>0</v>
      </c>
      <c r="Z25" s="282">
        <f t="shared" si="19"/>
        <v>0</v>
      </c>
      <c r="AA25" s="282">
        <f t="shared" si="19"/>
        <v>3.9769762089652438E-2</v>
      </c>
      <c r="AB25" s="282">
        <f t="shared" si="19"/>
        <v>2.7122703134726374E-2</v>
      </c>
      <c r="AC25" s="282">
        <f t="shared" si="19"/>
        <v>0.1793675034022614</v>
      </c>
      <c r="AD25" s="282">
        <f t="shared" si="19"/>
        <v>6.713624263730654E-2</v>
      </c>
      <c r="AE25" s="282">
        <f t="shared" si="19"/>
        <v>3.9188238142132965E-2</v>
      </c>
      <c r="AF25" s="282">
        <f t="shared" si="19"/>
        <v>2.7420196763855108E-2</v>
      </c>
      <c r="AG25" s="282">
        <f t="shared" si="19"/>
        <v>9.966931387548135E-2</v>
      </c>
      <c r="AH25" s="282"/>
      <c r="AI25" s="282"/>
      <c r="AJ25" s="282"/>
    </row>
    <row r="26" spans="1:36" x14ac:dyDescent="0.6">
      <c r="A26" s="252" t="s">
        <v>199</v>
      </c>
      <c r="B26" s="283">
        <v>0</v>
      </c>
      <c r="C26" s="283">
        <v>0</v>
      </c>
      <c r="D26" s="283">
        <v>0</v>
      </c>
      <c r="E26" s="283">
        <v>0</v>
      </c>
      <c r="F26" s="283">
        <v>0</v>
      </c>
      <c r="G26" s="283">
        <v>0</v>
      </c>
      <c r="H26" s="283">
        <v>0</v>
      </c>
      <c r="I26" s="283">
        <v>5868</v>
      </c>
      <c r="J26" s="283">
        <v>0</v>
      </c>
      <c r="K26" s="283">
        <v>0</v>
      </c>
      <c r="L26" s="283">
        <v>0</v>
      </c>
      <c r="M26" s="283">
        <v>0</v>
      </c>
      <c r="N26" s="284">
        <v>0</v>
      </c>
      <c r="O26" s="283"/>
      <c r="P26" s="283">
        <f t="shared" si="14"/>
        <v>0</v>
      </c>
      <c r="Q26" s="283"/>
      <c r="R26" s="239"/>
      <c r="S26" s="239"/>
      <c r="T26" s="252" t="s">
        <v>199</v>
      </c>
      <c r="U26" s="282">
        <f t="shared" ref="U26:AG26" si="20">B26/B27</f>
        <v>0</v>
      </c>
      <c r="V26" s="282">
        <f t="shared" si="20"/>
        <v>0</v>
      </c>
      <c r="W26" s="282">
        <f t="shared" si="20"/>
        <v>0</v>
      </c>
      <c r="X26" s="282">
        <f t="shared" si="20"/>
        <v>0</v>
      </c>
      <c r="Y26" s="282">
        <f t="shared" si="20"/>
        <v>0</v>
      </c>
      <c r="Z26" s="282">
        <f t="shared" si="20"/>
        <v>0</v>
      </c>
      <c r="AA26" s="282">
        <f t="shared" si="20"/>
        <v>0</v>
      </c>
      <c r="AB26" s="282">
        <f t="shared" si="20"/>
        <v>5.6369742474428038E-4</v>
      </c>
      <c r="AC26" s="282">
        <f t="shared" si="20"/>
        <v>0</v>
      </c>
      <c r="AD26" s="282">
        <f t="shared" si="20"/>
        <v>0</v>
      </c>
      <c r="AE26" s="282">
        <f t="shared" si="20"/>
        <v>0</v>
      </c>
      <c r="AF26" s="282">
        <f t="shared" si="20"/>
        <v>0</v>
      </c>
      <c r="AG26" s="282">
        <f t="shared" si="20"/>
        <v>0</v>
      </c>
      <c r="AH26" s="282"/>
      <c r="AI26" s="282"/>
      <c r="AJ26" s="282"/>
    </row>
    <row r="27" spans="1:36" x14ac:dyDescent="0.6">
      <c r="A27" s="252" t="s">
        <v>45</v>
      </c>
      <c r="B27" s="283">
        <f t="shared" ref="B27:N27" si="21">SUM(B21:B26)</f>
        <v>6358887</v>
      </c>
      <c r="C27" s="283">
        <f t="shared" si="21"/>
        <v>7918574</v>
      </c>
      <c r="D27" s="283">
        <f t="shared" si="21"/>
        <v>5914819</v>
      </c>
      <c r="E27" s="283">
        <f t="shared" si="21"/>
        <v>7359462</v>
      </c>
      <c r="F27" s="283">
        <f t="shared" si="21"/>
        <v>2192951</v>
      </c>
      <c r="G27" s="283">
        <f t="shared" si="21"/>
        <v>4493736</v>
      </c>
      <c r="H27" s="283">
        <f t="shared" si="21"/>
        <v>7099439</v>
      </c>
      <c r="I27" s="283">
        <f t="shared" si="21"/>
        <v>10409840</v>
      </c>
      <c r="J27" s="283">
        <f t="shared" si="21"/>
        <v>2839288</v>
      </c>
      <c r="K27" s="283">
        <f t="shared" si="21"/>
        <v>7585709</v>
      </c>
      <c r="L27" s="283">
        <f t="shared" si="21"/>
        <v>12995634</v>
      </c>
      <c r="M27" s="283">
        <f t="shared" si="21"/>
        <v>18573025</v>
      </c>
      <c r="N27" s="283">
        <f t="shared" si="21"/>
        <v>6861189</v>
      </c>
      <c r="O27" s="283"/>
      <c r="P27" s="283">
        <f>SUM(P21:P26)</f>
        <v>18815201.056561671</v>
      </c>
      <c r="Q27" s="283">
        <f>P27+N27</f>
        <v>25676390.056561671</v>
      </c>
      <c r="R27" s="254"/>
      <c r="S27" s="254"/>
      <c r="T27" s="252" t="s">
        <v>45</v>
      </c>
      <c r="U27" s="282">
        <f t="shared" ref="U27:AG27" si="22">SUM(U21:U26)</f>
        <v>1</v>
      </c>
      <c r="V27" s="282">
        <f t="shared" si="22"/>
        <v>1</v>
      </c>
      <c r="W27" s="282">
        <f t="shared" si="22"/>
        <v>1</v>
      </c>
      <c r="X27" s="282">
        <f t="shared" si="22"/>
        <v>1</v>
      </c>
      <c r="Y27" s="282">
        <f t="shared" si="22"/>
        <v>1</v>
      </c>
      <c r="Z27" s="282">
        <f t="shared" si="22"/>
        <v>0.99999999999999989</v>
      </c>
      <c r="AA27" s="282">
        <f t="shared" si="22"/>
        <v>1</v>
      </c>
      <c r="AB27" s="282">
        <f t="shared" si="22"/>
        <v>1.0000000000000002</v>
      </c>
      <c r="AC27" s="282">
        <f t="shared" si="22"/>
        <v>0.99999999999999989</v>
      </c>
      <c r="AD27" s="282">
        <f t="shared" si="22"/>
        <v>1</v>
      </c>
      <c r="AE27" s="282">
        <f t="shared" si="22"/>
        <v>1</v>
      </c>
      <c r="AF27" s="282">
        <f t="shared" si="22"/>
        <v>1</v>
      </c>
      <c r="AG27" s="282">
        <f t="shared" si="22"/>
        <v>1</v>
      </c>
      <c r="AH27" s="282"/>
      <c r="AI27" s="282"/>
      <c r="AJ27" s="282"/>
    </row>
    <row r="28" spans="1:36" x14ac:dyDescent="0.6">
      <c r="I28" s="239"/>
      <c r="J28" s="239"/>
      <c r="K28" s="239"/>
      <c r="M28" s="239"/>
      <c r="N28" s="239"/>
      <c r="O28" s="239"/>
      <c r="P28" s="239"/>
      <c r="R28" s="239"/>
      <c r="S28" s="239"/>
      <c r="T28" s="239"/>
      <c r="U28" s="239"/>
    </row>
    <row r="31" spans="1:36" x14ac:dyDescent="0.6">
      <c r="A31" s="252" t="s">
        <v>165</v>
      </c>
      <c r="B31" s="252" t="s">
        <v>81</v>
      </c>
      <c r="C31" s="252" t="s">
        <v>80</v>
      </c>
      <c r="D31" s="252" t="s">
        <v>79</v>
      </c>
      <c r="E31" s="252" t="s">
        <v>78</v>
      </c>
      <c r="F31" s="252" t="s">
        <v>77</v>
      </c>
      <c r="G31" s="252" t="s">
        <v>76</v>
      </c>
      <c r="H31" s="252" t="s">
        <v>75</v>
      </c>
      <c r="I31" s="252" t="s">
        <v>74</v>
      </c>
      <c r="J31" s="252" t="s">
        <v>73</v>
      </c>
      <c r="K31" s="252" t="s">
        <v>72</v>
      </c>
      <c r="L31" s="252" t="s">
        <v>71</v>
      </c>
      <c r="M31" s="252" t="s">
        <v>70</v>
      </c>
      <c r="N31" s="285" t="s">
        <v>69</v>
      </c>
      <c r="O31" s="252" t="s">
        <v>68</v>
      </c>
      <c r="P31" s="252" t="s">
        <v>67</v>
      </c>
      <c r="Q31" s="252" t="s">
        <v>66</v>
      </c>
      <c r="T31" s="252" t="s">
        <v>165</v>
      </c>
      <c r="U31" s="252" t="s">
        <v>81</v>
      </c>
      <c r="V31" s="252" t="s">
        <v>80</v>
      </c>
      <c r="W31" s="252" t="s">
        <v>79</v>
      </c>
      <c r="X31" s="252" t="s">
        <v>78</v>
      </c>
      <c r="Y31" s="252" t="s">
        <v>77</v>
      </c>
      <c r="Z31" s="252" t="s">
        <v>76</v>
      </c>
      <c r="AA31" s="252" t="s">
        <v>75</v>
      </c>
      <c r="AB31" s="252" t="s">
        <v>74</v>
      </c>
      <c r="AC31" s="252" t="s">
        <v>73</v>
      </c>
      <c r="AD31" s="252" t="s">
        <v>72</v>
      </c>
      <c r="AE31" s="252" t="s">
        <v>71</v>
      </c>
      <c r="AF31" s="252" t="s">
        <v>70</v>
      </c>
      <c r="AG31" s="285" t="s">
        <v>69</v>
      </c>
      <c r="AH31" s="252" t="s">
        <v>68</v>
      </c>
      <c r="AI31" s="252" t="s">
        <v>67</v>
      </c>
      <c r="AJ31" s="252" t="s">
        <v>66</v>
      </c>
    </row>
    <row r="32" spans="1:36" x14ac:dyDescent="0.6">
      <c r="A32" s="252" t="s">
        <v>204</v>
      </c>
      <c r="B32" s="283">
        <f t="shared" ref="B32:N32" si="23">B21*1000000/B10</f>
        <v>24709069.242882069</v>
      </c>
      <c r="C32" s="283">
        <f t="shared" si="23"/>
        <v>26284171.642598443</v>
      </c>
      <c r="D32" s="283">
        <f t="shared" si="23"/>
        <v>25436744.246521909</v>
      </c>
      <c r="E32" s="283">
        <f t="shared" si="23"/>
        <v>23720272.118965253</v>
      </c>
      <c r="F32" s="283">
        <f t="shared" si="23"/>
        <v>22811227.477630842</v>
      </c>
      <c r="G32" s="283">
        <f t="shared" si="23"/>
        <v>25006186.722342052</v>
      </c>
      <c r="H32" s="283">
        <f t="shared" si="23"/>
        <v>26543620.761118189</v>
      </c>
      <c r="I32" s="283">
        <f t="shared" si="23"/>
        <v>28087397.394327112</v>
      </c>
      <c r="J32" s="283">
        <f t="shared" si="23"/>
        <v>36468765.44339709</v>
      </c>
      <c r="K32" s="283">
        <f t="shared" si="23"/>
        <v>38970876.353307255</v>
      </c>
      <c r="L32" s="283">
        <f t="shared" si="23"/>
        <v>44621322.267106943</v>
      </c>
      <c r="M32" s="283">
        <f t="shared" si="23"/>
        <v>47607243.535890974</v>
      </c>
      <c r="N32" s="283">
        <f t="shared" si="23"/>
        <v>63159970.722186074</v>
      </c>
      <c r="O32" s="283"/>
      <c r="P32" s="283">
        <f>B161</f>
        <v>70400000</v>
      </c>
      <c r="Q32" s="283"/>
      <c r="T32" s="252" t="s">
        <v>204</v>
      </c>
      <c r="U32" s="282">
        <f t="shared" ref="U32:AG32" si="24">B32/B33</f>
        <v>1.408999287257952</v>
      </c>
      <c r="V32" s="282">
        <f t="shared" si="24"/>
        <v>1.6246045743762518</v>
      </c>
      <c r="W32" s="282">
        <f t="shared" si="24"/>
        <v>2.1560157640609661</v>
      </c>
      <c r="X32" s="282">
        <f t="shared" si="24"/>
        <v>1.7098968516817494</v>
      </c>
      <c r="Y32" s="282">
        <f t="shared" si="24"/>
        <v>1.5752170205357725</v>
      </c>
      <c r="Z32" s="282">
        <f t="shared" si="24"/>
        <v>1.5979002138006717</v>
      </c>
      <c r="AA32" s="282">
        <f t="shared" si="24"/>
        <v>1.5670941023790994</v>
      </c>
      <c r="AB32" s="282">
        <f t="shared" si="24"/>
        <v>1.4758501175989147</v>
      </c>
      <c r="AC32" s="282">
        <f t="shared" si="24"/>
        <v>1.5612210902624182</v>
      </c>
      <c r="AD32" s="282">
        <f t="shared" si="24"/>
        <v>1.0943754478277923</v>
      </c>
      <c r="AE32" s="282">
        <f t="shared" si="24"/>
        <v>1.2200659904247002</v>
      </c>
      <c r="AF32" s="282">
        <f t="shared" si="24"/>
        <v>1.3258657596678187</v>
      </c>
      <c r="AG32" s="282">
        <f t="shared" si="24"/>
        <v>1.4575693691982095</v>
      </c>
      <c r="AH32" s="282"/>
      <c r="AI32" s="282"/>
      <c r="AJ32" s="282">
        <f>X32</f>
        <v>1.7098968516817494</v>
      </c>
    </row>
    <row r="33" spans="1:36" x14ac:dyDescent="0.6">
      <c r="A33" s="252" t="s">
        <v>203</v>
      </c>
      <c r="B33" s="283">
        <f t="shared" ref="B33:N33" si="25">B22*1000000/B11</f>
        <v>17536608.759375807</v>
      </c>
      <c r="C33" s="283">
        <f t="shared" si="25"/>
        <v>16178811.790364401</v>
      </c>
      <c r="D33" s="283">
        <f t="shared" si="25"/>
        <v>11798032.588876113</v>
      </c>
      <c r="E33" s="283">
        <f t="shared" si="25"/>
        <v>13872340.951815573</v>
      </c>
      <c r="F33" s="283">
        <f t="shared" si="25"/>
        <v>14481323.640010027</v>
      </c>
      <c r="G33" s="283">
        <f t="shared" si="25"/>
        <v>15649404.453650959</v>
      </c>
      <c r="H33" s="283">
        <f t="shared" si="25"/>
        <v>16938115.407888222</v>
      </c>
      <c r="I33" s="283">
        <f t="shared" si="25"/>
        <v>19031334.591091789</v>
      </c>
      <c r="J33" s="283">
        <f t="shared" si="25"/>
        <v>23359129.383313179</v>
      </c>
      <c r="K33" s="283">
        <f t="shared" si="25"/>
        <v>35610152.284263961</v>
      </c>
      <c r="L33" s="283">
        <f t="shared" si="25"/>
        <v>36572876.071706936</v>
      </c>
      <c r="M33" s="283">
        <f t="shared" si="25"/>
        <v>35906533.66583541</v>
      </c>
      <c r="N33" s="283">
        <f t="shared" si="25"/>
        <v>43332394.366197184</v>
      </c>
      <c r="O33" s="283"/>
      <c r="P33" s="283">
        <f>B159</f>
        <v>37400000</v>
      </c>
      <c r="Q33" s="283"/>
      <c r="R33" s="239"/>
      <c r="S33" s="239"/>
      <c r="T33" s="252" t="s">
        <v>203</v>
      </c>
      <c r="U33" s="282">
        <f t="shared" ref="U33:AG33" si="26">B33/B33</f>
        <v>1</v>
      </c>
      <c r="V33" s="282">
        <f t="shared" si="26"/>
        <v>1</v>
      </c>
      <c r="W33" s="282">
        <f t="shared" si="26"/>
        <v>1</v>
      </c>
      <c r="X33" s="282">
        <f t="shared" si="26"/>
        <v>1</v>
      </c>
      <c r="Y33" s="282">
        <f t="shared" si="26"/>
        <v>1</v>
      </c>
      <c r="Z33" s="282">
        <f t="shared" si="26"/>
        <v>1</v>
      </c>
      <c r="AA33" s="282">
        <f t="shared" si="26"/>
        <v>1</v>
      </c>
      <c r="AB33" s="282">
        <f t="shared" si="26"/>
        <v>1</v>
      </c>
      <c r="AC33" s="282">
        <f t="shared" si="26"/>
        <v>1</v>
      </c>
      <c r="AD33" s="282">
        <f t="shared" si="26"/>
        <v>1</v>
      </c>
      <c r="AE33" s="282">
        <f t="shared" si="26"/>
        <v>1</v>
      </c>
      <c r="AF33" s="282">
        <f t="shared" si="26"/>
        <v>1</v>
      </c>
      <c r="AG33" s="282">
        <f t="shared" si="26"/>
        <v>1</v>
      </c>
      <c r="AH33" s="282"/>
      <c r="AI33" s="282"/>
      <c r="AJ33" s="282"/>
    </row>
    <row r="34" spans="1:36" x14ac:dyDescent="0.6">
      <c r="A34" s="252" t="s">
        <v>202</v>
      </c>
      <c r="B34" s="283">
        <f t="shared" ref="B34:N34" si="27">B23*1000000/B12</f>
        <v>18999509.835262027</v>
      </c>
      <c r="C34" s="283">
        <f t="shared" si="27"/>
        <v>19216939.770921249</v>
      </c>
      <c r="D34" s="283">
        <f t="shared" si="27"/>
        <v>16562537.529582141</v>
      </c>
      <c r="E34" s="283">
        <f t="shared" si="27"/>
        <v>16815665.488810364</v>
      </c>
      <c r="F34" s="283">
        <f t="shared" si="27"/>
        <v>14433848.581573002</v>
      </c>
      <c r="G34" s="283">
        <f t="shared" si="27"/>
        <v>19366671.453187823</v>
      </c>
      <c r="H34" s="283">
        <f t="shared" si="27"/>
        <v>21065469.415286034</v>
      </c>
      <c r="I34" s="283">
        <f t="shared" si="27"/>
        <v>22097100.492255975</v>
      </c>
      <c r="J34" s="283">
        <f t="shared" si="27"/>
        <v>29110204.790003471</v>
      </c>
      <c r="K34" s="283">
        <f t="shared" si="27"/>
        <v>35781156.089800246</v>
      </c>
      <c r="L34" s="283">
        <f t="shared" si="27"/>
        <v>40048786.890163876</v>
      </c>
      <c r="M34" s="283">
        <f t="shared" si="27"/>
        <v>42003586.931094535</v>
      </c>
      <c r="N34" s="283">
        <f t="shared" si="27"/>
        <v>53557712.444623441</v>
      </c>
      <c r="O34" s="283"/>
      <c r="P34" s="283">
        <f>P148</f>
        <v>45050647</v>
      </c>
      <c r="Q34" s="283"/>
      <c r="R34" s="239"/>
      <c r="S34" s="239"/>
      <c r="T34" s="252" t="s">
        <v>202</v>
      </c>
      <c r="U34" s="282">
        <f t="shared" ref="U34:AG34" si="28">B34/B33</f>
        <v>1.0834198388045859</v>
      </c>
      <c r="V34" s="282">
        <f t="shared" si="28"/>
        <v>1.1877843700713708</v>
      </c>
      <c r="W34" s="282">
        <f t="shared" si="28"/>
        <v>1.4038389371121323</v>
      </c>
      <c r="X34" s="282">
        <f t="shared" si="28"/>
        <v>1.212172159494795</v>
      </c>
      <c r="Y34" s="282">
        <f t="shared" si="28"/>
        <v>0.99672163542386016</v>
      </c>
      <c r="Z34" s="282">
        <f t="shared" si="28"/>
        <v>1.2375340870348353</v>
      </c>
      <c r="AA34" s="282">
        <f t="shared" si="28"/>
        <v>1.2436725638010275</v>
      </c>
      <c r="AB34" s="282">
        <f t="shared" si="28"/>
        <v>1.1610904314928714</v>
      </c>
      <c r="AC34" s="282">
        <f t="shared" si="28"/>
        <v>1.2462024723746181</v>
      </c>
      <c r="AD34" s="282">
        <f t="shared" si="28"/>
        <v>1.0048021082350678</v>
      </c>
      <c r="AE34" s="282">
        <f t="shared" si="28"/>
        <v>1.0950406747241279</v>
      </c>
      <c r="AF34" s="282">
        <f t="shared" si="28"/>
        <v>1.1698034491995641</v>
      </c>
      <c r="AG34" s="282">
        <f t="shared" si="28"/>
        <v>1.2359739919288384</v>
      </c>
      <c r="AH34" s="282"/>
      <c r="AI34" s="282"/>
      <c r="AJ34" s="282">
        <f>AVERAGE(U34:AG34)</f>
        <v>1.1752351322844381</v>
      </c>
    </row>
    <row r="35" spans="1:36" x14ac:dyDescent="0.6">
      <c r="A35" s="252" t="s">
        <v>201</v>
      </c>
      <c r="B35" s="283">
        <f>B24*1000000/B13</f>
        <v>23364041.410038002</v>
      </c>
      <c r="C35" s="283">
        <f>C24*1000000/C13</f>
        <v>22603130.109787434</v>
      </c>
      <c r="D35" s="283">
        <f>D24*1000000/D13</f>
        <v>16371902.508522872</v>
      </c>
      <c r="E35" s="283">
        <f>E24*1000000/E13</f>
        <v>14498977.406703399</v>
      </c>
      <c r="F35" s="283">
        <v>0</v>
      </c>
      <c r="G35" s="283">
        <f t="shared" ref="G35:N35" si="29">G24*1000000/G13</f>
        <v>17019428.422741663</v>
      </c>
      <c r="H35" s="283">
        <f t="shared" si="29"/>
        <v>20613969.113517851</v>
      </c>
      <c r="I35" s="283">
        <f t="shared" si="29"/>
        <v>23180649.054326713</v>
      </c>
      <c r="J35" s="283">
        <f t="shared" si="29"/>
        <v>40421702.927746437</v>
      </c>
      <c r="K35" s="283">
        <f t="shared" si="29"/>
        <v>50491341.790906563</v>
      </c>
      <c r="L35" s="283">
        <f t="shared" si="29"/>
        <v>53363547.758284599</v>
      </c>
      <c r="M35" s="283">
        <f t="shared" si="29"/>
        <v>54756572.54138267</v>
      </c>
      <c r="N35" s="283">
        <f t="shared" si="29"/>
        <v>62207133.058984913</v>
      </c>
      <c r="O35" s="283"/>
      <c r="P35" s="283">
        <f>P32</f>
        <v>70400000</v>
      </c>
      <c r="Q35" s="283"/>
      <c r="R35" s="239"/>
      <c r="S35" s="254"/>
      <c r="T35" s="252" t="s">
        <v>201</v>
      </c>
      <c r="U35" s="282">
        <f t="shared" ref="U35:AG35" si="30">B35/B33</f>
        <v>1.3323010013293821</v>
      </c>
      <c r="V35" s="282">
        <f t="shared" si="30"/>
        <v>1.3970822086730224</v>
      </c>
      <c r="W35" s="282">
        <f t="shared" si="30"/>
        <v>1.3876807327994054</v>
      </c>
      <c r="X35" s="282">
        <f t="shared" si="30"/>
        <v>1.0451716445742212</v>
      </c>
      <c r="Y35" s="282">
        <f t="shared" si="30"/>
        <v>0</v>
      </c>
      <c r="Z35" s="282">
        <f t="shared" si="30"/>
        <v>1.0875447991102998</v>
      </c>
      <c r="AA35" s="282">
        <f t="shared" si="30"/>
        <v>1.2170166879319853</v>
      </c>
      <c r="AB35" s="282">
        <f t="shared" si="30"/>
        <v>1.2180254066457925</v>
      </c>
      <c r="AC35" s="282">
        <f t="shared" si="30"/>
        <v>1.7304456114114455</v>
      </c>
      <c r="AD35" s="282">
        <f t="shared" si="30"/>
        <v>1.4178917682758285</v>
      </c>
      <c r="AE35" s="282">
        <f t="shared" si="30"/>
        <v>1.4591017576429286</v>
      </c>
      <c r="AF35" s="282">
        <f t="shared" si="30"/>
        <v>1.5249751772469984</v>
      </c>
      <c r="AG35" s="282">
        <f t="shared" si="30"/>
        <v>1.4355803312708604</v>
      </c>
      <c r="AH35" s="282"/>
      <c r="AI35" s="282"/>
      <c r="AJ35" s="282">
        <f>AVERAGE(U35:AG35)</f>
        <v>1.2502167020701669</v>
      </c>
    </row>
    <row r="36" spans="1:36" x14ac:dyDescent="0.6">
      <c r="A36" s="252" t="s">
        <v>200</v>
      </c>
      <c r="B36" s="283">
        <v>0</v>
      </c>
      <c r="C36" s="283">
        <v>0</v>
      </c>
      <c r="D36" s="283">
        <v>0</v>
      </c>
      <c r="E36" s="283">
        <v>0</v>
      </c>
      <c r="F36" s="283">
        <v>0</v>
      </c>
      <c r="G36" s="283">
        <v>0</v>
      </c>
      <c r="H36" s="283">
        <v>0</v>
      </c>
      <c r="I36" s="283">
        <f t="shared" ref="I36:N36" si="31">I25*1000000/I14</f>
        <v>13756053.593179051</v>
      </c>
      <c r="J36" s="283">
        <f t="shared" si="31"/>
        <v>20264852.174605068</v>
      </c>
      <c r="K36" s="283">
        <f t="shared" si="31"/>
        <v>20264852.174605068</v>
      </c>
      <c r="L36" s="283">
        <f t="shared" si="31"/>
        <v>20264852.174605068</v>
      </c>
      <c r="M36" s="283">
        <f t="shared" si="31"/>
        <v>20264852.174605068</v>
      </c>
      <c r="N36" s="283">
        <f t="shared" si="31"/>
        <v>35441824.306815237</v>
      </c>
      <c r="O36" s="283"/>
      <c r="P36" s="283">
        <f>P34</f>
        <v>45050647</v>
      </c>
      <c r="Q36" s="283"/>
      <c r="R36" s="239"/>
      <c r="T36" s="252" t="s">
        <v>200</v>
      </c>
      <c r="U36" s="282">
        <f t="shared" ref="U36:AG36" si="32">B36/B33</f>
        <v>0</v>
      </c>
      <c r="V36" s="282">
        <f t="shared" si="32"/>
        <v>0</v>
      </c>
      <c r="W36" s="282">
        <f t="shared" si="32"/>
        <v>0</v>
      </c>
      <c r="X36" s="282">
        <f t="shared" si="32"/>
        <v>0</v>
      </c>
      <c r="Y36" s="282">
        <f t="shared" si="32"/>
        <v>0</v>
      </c>
      <c r="Z36" s="282">
        <f t="shared" si="32"/>
        <v>0</v>
      </c>
      <c r="AA36" s="282">
        <f t="shared" si="32"/>
        <v>0</v>
      </c>
      <c r="AB36" s="282">
        <f t="shared" si="32"/>
        <v>0.72281076912062703</v>
      </c>
      <c r="AC36" s="282">
        <f t="shared" si="32"/>
        <v>0.86753456612477442</v>
      </c>
      <c r="AD36" s="282">
        <f t="shared" si="32"/>
        <v>0.56907513376627872</v>
      </c>
      <c r="AE36" s="282">
        <f t="shared" si="32"/>
        <v>0.55409512051698107</v>
      </c>
      <c r="AF36" s="282">
        <f t="shared" si="32"/>
        <v>0.56437784730768392</v>
      </c>
      <c r="AG36" s="282">
        <f t="shared" si="32"/>
        <v>0.81790597600724235</v>
      </c>
      <c r="AH36" s="282"/>
      <c r="AI36" s="282"/>
      <c r="AJ36" s="282">
        <f>AVERAGE(AB36:AG36)</f>
        <v>0.68263323547393118</v>
      </c>
    </row>
    <row r="37" spans="1:36" x14ac:dyDescent="0.6">
      <c r="A37" s="252" t="s">
        <v>199</v>
      </c>
      <c r="B37" s="283">
        <v>0</v>
      </c>
      <c r="C37" s="283">
        <v>0</v>
      </c>
      <c r="D37" s="283">
        <v>0</v>
      </c>
      <c r="E37" s="283">
        <v>0</v>
      </c>
      <c r="F37" s="283">
        <v>0</v>
      </c>
      <c r="G37" s="283">
        <v>0</v>
      </c>
      <c r="H37" s="283">
        <v>0</v>
      </c>
      <c r="I37" s="283">
        <f>I26*1000000/I15</f>
        <v>21733333.333333332</v>
      </c>
      <c r="J37" s="283">
        <v>0</v>
      </c>
      <c r="K37" s="283">
        <v>0</v>
      </c>
      <c r="L37" s="283">
        <v>0</v>
      </c>
      <c r="M37" s="283">
        <v>0</v>
      </c>
      <c r="N37" s="284">
        <v>0</v>
      </c>
      <c r="O37" s="283"/>
      <c r="P37" s="283">
        <v>0</v>
      </c>
      <c r="Q37" s="283"/>
      <c r="T37" s="252" t="s">
        <v>199</v>
      </c>
      <c r="U37" s="282">
        <f t="shared" ref="U37:AG37" si="33">B37/B33</f>
        <v>0</v>
      </c>
      <c r="V37" s="282">
        <f t="shared" si="33"/>
        <v>0</v>
      </c>
      <c r="W37" s="282">
        <f t="shared" si="33"/>
        <v>0</v>
      </c>
      <c r="X37" s="282">
        <f t="shared" si="33"/>
        <v>0</v>
      </c>
      <c r="Y37" s="282">
        <f t="shared" si="33"/>
        <v>0</v>
      </c>
      <c r="Z37" s="282">
        <f t="shared" si="33"/>
        <v>0</v>
      </c>
      <c r="AA37" s="282">
        <f t="shared" si="33"/>
        <v>0</v>
      </c>
      <c r="AB37" s="282">
        <f t="shared" si="33"/>
        <v>1.1419763143414177</v>
      </c>
      <c r="AC37" s="282">
        <f t="shared" si="33"/>
        <v>0</v>
      </c>
      <c r="AD37" s="282">
        <f t="shared" si="33"/>
        <v>0</v>
      </c>
      <c r="AE37" s="282">
        <f t="shared" si="33"/>
        <v>0</v>
      </c>
      <c r="AF37" s="282">
        <f t="shared" si="33"/>
        <v>0</v>
      </c>
      <c r="AG37" s="282">
        <f t="shared" si="33"/>
        <v>0</v>
      </c>
      <c r="AH37" s="282"/>
      <c r="AI37" s="282"/>
      <c r="AJ37" s="282"/>
    </row>
    <row r="40" spans="1:36" x14ac:dyDescent="0.6">
      <c r="A40" s="252" t="s">
        <v>152</v>
      </c>
      <c r="B40" s="252" t="s">
        <v>151</v>
      </c>
      <c r="C40" s="252" t="s">
        <v>150</v>
      </c>
      <c r="D40" s="252" t="s">
        <v>72</v>
      </c>
      <c r="E40" s="252" t="s">
        <v>71</v>
      </c>
      <c r="F40" s="252" t="s">
        <v>149</v>
      </c>
      <c r="G40" s="252" t="s">
        <v>69</v>
      </c>
      <c r="H40" s="252" t="s">
        <v>68</v>
      </c>
      <c r="I40" s="252" t="s">
        <v>67</v>
      </c>
      <c r="J40" s="252" t="s">
        <v>66</v>
      </c>
    </row>
    <row r="41" spans="1:36" x14ac:dyDescent="0.6">
      <c r="A41" s="252" t="s">
        <v>148</v>
      </c>
      <c r="B41" s="251">
        <v>5181640</v>
      </c>
      <c r="C41" s="251">
        <v>1594506</v>
      </c>
      <c r="D41" s="251">
        <v>3978974</v>
      </c>
      <c r="E41" s="251">
        <v>6998091</v>
      </c>
      <c r="F41" s="251">
        <v>8745460</v>
      </c>
      <c r="G41" s="251">
        <v>3508950</v>
      </c>
      <c r="H41" s="251"/>
      <c r="I41" s="251">
        <f>I77</f>
        <v>9620848.4587644543</v>
      </c>
      <c r="J41" s="251"/>
      <c r="L41" s="239"/>
    </row>
    <row r="42" spans="1:36" x14ac:dyDescent="0.6">
      <c r="A42" s="252" t="s">
        <v>147</v>
      </c>
      <c r="B42" s="251">
        <v>263256</v>
      </c>
      <c r="C42" s="251">
        <v>93279</v>
      </c>
      <c r="D42" s="251">
        <v>177274</v>
      </c>
      <c r="E42" s="251">
        <v>270633</v>
      </c>
      <c r="F42" s="251">
        <v>376715</v>
      </c>
      <c r="G42" s="251">
        <v>142966</v>
      </c>
      <c r="H42" s="251"/>
      <c r="I42" s="251">
        <f>F42*1.3</f>
        <v>489729.5</v>
      </c>
      <c r="J42" s="251"/>
      <c r="L42" s="239"/>
    </row>
    <row r="43" spans="1:36" x14ac:dyDescent="0.6">
      <c r="A43" s="252" t="s">
        <v>146</v>
      </c>
      <c r="B43" s="251">
        <v>3063205</v>
      </c>
      <c r="C43" s="251">
        <v>1097617</v>
      </c>
      <c r="D43" s="251">
        <v>2391044</v>
      </c>
      <c r="E43" s="251">
        <v>3757301</v>
      </c>
      <c r="F43" s="251">
        <v>5233603</v>
      </c>
      <c r="G43" s="251">
        <v>2090648</v>
      </c>
      <c r="H43" s="251"/>
      <c r="I43" s="251">
        <f>J99</f>
        <v>4643388</v>
      </c>
      <c r="J43" s="251"/>
      <c r="L43" s="239"/>
    </row>
    <row r="44" spans="1:36" x14ac:dyDescent="0.6">
      <c r="A44" s="252" t="s">
        <v>100</v>
      </c>
      <c r="B44" s="251">
        <v>8508101</v>
      </c>
      <c r="C44" s="251">
        <v>2785402</v>
      </c>
      <c r="D44" s="251">
        <v>6547292</v>
      </c>
      <c r="E44" s="251">
        <v>11026025</v>
      </c>
      <c r="F44" s="251">
        <v>14355778</v>
      </c>
      <c r="G44" s="251">
        <v>5742564</v>
      </c>
      <c r="H44" s="251"/>
      <c r="I44" s="251">
        <f>SUM(I41:I43)</f>
        <v>14753965.958764454</v>
      </c>
      <c r="J44" s="251"/>
      <c r="L44" s="239"/>
    </row>
    <row r="45" spans="1:36" x14ac:dyDescent="0.6">
      <c r="A45" s="252" t="s">
        <v>145</v>
      </c>
      <c r="B45" s="251">
        <v>0</v>
      </c>
      <c r="C45" s="251">
        <v>0</v>
      </c>
      <c r="D45" s="251">
        <v>0</v>
      </c>
      <c r="E45" s="251">
        <v>0</v>
      </c>
      <c r="F45" s="251">
        <v>0</v>
      </c>
      <c r="G45" s="251">
        <v>0</v>
      </c>
      <c r="H45" s="251"/>
      <c r="I45" s="251"/>
      <c r="J45" s="251"/>
      <c r="L45" s="254"/>
    </row>
    <row r="46" spans="1:36" x14ac:dyDescent="0.6">
      <c r="A46" s="252" t="s">
        <v>144</v>
      </c>
      <c r="B46" s="251">
        <v>8508101</v>
      </c>
      <c r="C46" s="251">
        <v>2785402</v>
      </c>
      <c r="D46" s="251">
        <v>6547292</v>
      </c>
      <c r="E46" s="251">
        <v>11026025</v>
      </c>
      <c r="F46" s="251">
        <v>14355778</v>
      </c>
      <c r="G46" s="251">
        <v>5742564</v>
      </c>
      <c r="H46" s="251"/>
      <c r="I46" s="251"/>
      <c r="J46" s="251"/>
      <c r="L46" s="239"/>
    </row>
    <row r="47" spans="1:36" x14ac:dyDescent="0.6">
      <c r="A47" s="252" t="s">
        <v>143</v>
      </c>
      <c r="B47" s="251">
        <v>704102</v>
      </c>
      <c r="C47" s="251">
        <v>-283122</v>
      </c>
      <c r="D47" s="251">
        <v>0</v>
      </c>
      <c r="E47" s="251">
        <v>535337</v>
      </c>
      <c r="F47" s="251">
        <v>535338</v>
      </c>
      <c r="G47" s="251">
        <v>1108006</v>
      </c>
      <c r="H47" s="251"/>
      <c r="I47" s="251"/>
      <c r="J47" s="251"/>
      <c r="L47" s="239"/>
    </row>
    <row r="48" spans="1:36" x14ac:dyDescent="0.6">
      <c r="A48" s="252" t="s">
        <v>142</v>
      </c>
      <c r="B48" s="251">
        <v>-535338</v>
      </c>
      <c r="C48" s="251">
        <v>0</v>
      </c>
      <c r="D48" s="251">
        <v>0</v>
      </c>
      <c r="E48" s="251">
        <v>-1294702</v>
      </c>
      <c r="F48" s="251">
        <v>-1108006</v>
      </c>
      <c r="G48" s="251">
        <v>-1500945</v>
      </c>
      <c r="H48" s="251"/>
      <c r="I48" s="251"/>
      <c r="J48" s="251"/>
      <c r="L48" s="239"/>
    </row>
    <row r="49" spans="1:25" x14ac:dyDescent="0.6">
      <c r="A49" s="252" t="s">
        <v>141</v>
      </c>
      <c r="B49" s="251">
        <v>0</v>
      </c>
      <c r="C49" s="251">
        <v>0</v>
      </c>
      <c r="D49" s="251">
        <v>0</v>
      </c>
      <c r="E49" s="251">
        <v>0</v>
      </c>
      <c r="F49" s="251">
        <v>0</v>
      </c>
      <c r="G49" s="251">
        <v>0</v>
      </c>
      <c r="H49" s="251"/>
      <c r="I49" s="251"/>
      <c r="J49" s="251"/>
      <c r="L49" s="254"/>
    </row>
    <row r="50" spans="1:25" x14ac:dyDescent="0.6">
      <c r="A50" s="252" t="s">
        <v>140</v>
      </c>
      <c r="B50" s="251">
        <v>8676865</v>
      </c>
      <c r="C50" s="251">
        <v>2502280</v>
      </c>
      <c r="D50" s="251">
        <v>6547292</v>
      </c>
      <c r="E50" s="251">
        <v>10266660</v>
      </c>
      <c r="F50" s="251">
        <v>13783110</v>
      </c>
      <c r="G50" s="251">
        <v>5349625</v>
      </c>
      <c r="H50" s="251"/>
      <c r="I50" s="251"/>
      <c r="J50" s="251"/>
      <c r="L50" s="239"/>
    </row>
    <row r="51" spans="1:25" x14ac:dyDescent="0.6">
      <c r="A51" s="252" t="s">
        <v>139</v>
      </c>
      <c r="B51" s="251">
        <v>1463031</v>
      </c>
      <c r="C51" s="251">
        <v>1445805</v>
      </c>
      <c r="D51" s="251">
        <v>1981143</v>
      </c>
      <c r="E51" s="251">
        <v>1445805</v>
      </c>
      <c r="F51" s="251">
        <v>1445805</v>
      </c>
      <c r="G51" s="251">
        <v>1008928</v>
      </c>
      <c r="H51" s="251"/>
      <c r="I51" s="251"/>
      <c r="J51" s="251"/>
      <c r="L51" s="239"/>
    </row>
    <row r="52" spans="1:25" x14ac:dyDescent="0.6">
      <c r="A52" s="252" t="s">
        <v>138</v>
      </c>
      <c r="B52" s="251">
        <v>-1445805</v>
      </c>
      <c r="C52" s="251">
        <v>-1408794</v>
      </c>
      <c r="D52" s="251">
        <v>-2215320</v>
      </c>
      <c r="E52" s="251">
        <v>-1178296</v>
      </c>
      <c r="F52" s="251">
        <v>-1008928</v>
      </c>
      <c r="G52" s="251">
        <v>-970236</v>
      </c>
      <c r="H52" s="251"/>
      <c r="I52" s="251"/>
      <c r="J52" s="251"/>
      <c r="L52" s="239"/>
    </row>
    <row r="53" spans="1:25" x14ac:dyDescent="0.6">
      <c r="A53" s="252" t="s">
        <v>137</v>
      </c>
      <c r="B53" s="251">
        <v>8694091</v>
      </c>
      <c r="C53" s="251">
        <v>2539291</v>
      </c>
      <c r="D53" s="251">
        <v>6313115</v>
      </c>
      <c r="E53" s="251">
        <v>10534169</v>
      </c>
      <c r="F53" s="251">
        <v>14219987</v>
      </c>
      <c r="G53" s="251">
        <v>5388317</v>
      </c>
      <c r="H53" s="251"/>
      <c r="I53" s="251"/>
      <c r="J53" s="251"/>
      <c r="L53" s="239"/>
    </row>
    <row r="54" spans="1:25" x14ac:dyDescent="0.6">
      <c r="A54" s="252" t="s">
        <v>136</v>
      </c>
      <c r="B54" s="251">
        <v>0</v>
      </c>
      <c r="C54" s="251">
        <v>0</v>
      </c>
      <c r="D54" s="251">
        <v>0</v>
      </c>
      <c r="E54" s="251">
        <v>0</v>
      </c>
      <c r="F54" s="251">
        <v>0</v>
      </c>
      <c r="G54" s="251">
        <v>0</v>
      </c>
      <c r="H54" s="251"/>
      <c r="I54" s="251"/>
      <c r="J54" s="251"/>
      <c r="L54" s="254"/>
    </row>
    <row r="55" spans="1:25" x14ac:dyDescent="0.6">
      <c r="A55" s="252" t="s">
        <v>135</v>
      </c>
      <c r="B55" s="251">
        <v>8694091</v>
      </c>
      <c r="C55" s="251">
        <v>2539291</v>
      </c>
      <c r="D55" s="251">
        <v>6313115</v>
      </c>
      <c r="E55" s="251">
        <v>10534169</v>
      </c>
      <c r="F55" s="251">
        <v>14219987</v>
      </c>
      <c r="G55" s="251">
        <v>5388317</v>
      </c>
      <c r="H55" s="251"/>
      <c r="I55" s="251">
        <f>I44*I56</f>
        <v>14217856.820194107</v>
      </c>
      <c r="J55" s="251">
        <f>I55+G55</f>
        <v>19606173.820194107</v>
      </c>
      <c r="L55" s="239"/>
    </row>
    <row r="56" spans="1:25" x14ac:dyDescent="0.6">
      <c r="B56" s="407">
        <f>B55/B44</f>
        <v>1.0218603422784944</v>
      </c>
      <c r="C56" s="407">
        <f t="shared" ref="C56:G56" si="34">C55/C44</f>
        <v>0.91164255644248116</v>
      </c>
      <c r="D56" s="407">
        <f t="shared" si="34"/>
        <v>0.96423299892535719</v>
      </c>
      <c r="E56" s="407">
        <f t="shared" si="34"/>
        <v>0.95539135817304965</v>
      </c>
      <c r="F56" s="407">
        <f t="shared" si="34"/>
        <v>0.99054102118324761</v>
      </c>
      <c r="G56" s="407">
        <f t="shared" si="34"/>
        <v>0.93831205015738617</v>
      </c>
      <c r="I56" s="406">
        <f>AVERAGE(B56:G56)</f>
        <v>0.96366338786000272</v>
      </c>
    </row>
    <row r="58" spans="1:25" x14ac:dyDescent="0.6">
      <c r="A58" s="252" t="s">
        <v>132</v>
      </c>
      <c r="B58" s="252" t="s">
        <v>74</v>
      </c>
      <c r="C58" s="252" t="s">
        <v>73</v>
      </c>
      <c r="D58" s="252" t="s">
        <v>72</v>
      </c>
      <c r="E58" s="252" t="s">
        <v>71</v>
      </c>
      <c r="F58" s="252" t="s">
        <v>70</v>
      </c>
      <c r="G58" s="252" t="s">
        <v>124</v>
      </c>
      <c r="H58" s="252" t="s">
        <v>68</v>
      </c>
      <c r="I58" s="252" t="s">
        <v>123</v>
      </c>
      <c r="J58" s="252" t="s">
        <v>66</v>
      </c>
      <c r="L58" s="252" t="s">
        <v>132</v>
      </c>
      <c r="M58" s="252" t="s">
        <v>74</v>
      </c>
      <c r="N58" s="252" t="s">
        <v>73</v>
      </c>
      <c r="O58" s="252" t="s">
        <v>72</v>
      </c>
      <c r="P58" s="252" t="s">
        <v>71</v>
      </c>
      <c r="Q58" s="252" t="s">
        <v>70</v>
      </c>
      <c r="R58" s="252" t="s">
        <v>124</v>
      </c>
      <c r="S58" s="252" t="s">
        <v>68</v>
      </c>
      <c r="T58" s="252" t="s">
        <v>123</v>
      </c>
      <c r="U58" s="252" t="s">
        <v>66</v>
      </c>
    </row>
    <row r="59" spans="1:25" x14ac:dyDescent="0.6">
      <c r="A59" s="261" t="s">
        <v>122</v>
      </c>
      <c r="B59" s="263"/>
      <c r="C59" s="263"/>
      <c r="D59" s="263"/>
      <c r="E59" s="263"/>
      <c r="F59" s="263"/>
      <c r="G59" s="263"/>
      <c r="H59" s="263"/>
      <c r="I59" s="263"/>
      <c r="J59" s="262"/>
      <c r="L59" s="261" t="s">
        <v>122</v>
      </c>
      <c r="M59" s="267"/>
      <c r="N59" s="267"/>
      <c r="O59" s="267"/>
      <c r="P59" s="267"/>
      <c r="Q59" s="267"/>
      <c r="R59" s="267"/>
      <c r="S59" s="281"/>
      <c r="T59" s="281"/>
      <c r="U59" s="280"/>
    </row>
    <row r="60" spans="1:25" x14ac:dyDescent="0.6">
      <c r="A60" s="252" t="s">
        <v>119</v>
      </c>
      <c r="B60" s="253">
        <v>360911</v>
      </c>
      <c r="C60" s="253">
        <v>91690</v>
      </c>
      <c r="D60" s="253">
        <f>47666184/1000</f>
        <v>47666.184000000001</v>
      </c>
      <c r="E60" s="253">
        <f>49270337/1000</f>
        <v>49270.337</v>
      </c>
      <c r="F60" s="253">
        <f>60100169/1000</f>
        <v>60100.169000000002</v>
      </c>
      <c r="G60" s="253">
        <f>2159650/1000</f>
        <v>2159.65</v>
      </c>
      <c r="H60" s="253"/>
      <c r="I60" s="253">
        <f>J60-G60</f>
        <v>57940.519</v>
      </c>
      <c r="J60" s="266">
        <f>J66*T60</f>
        <v>60100.169000000002</v>
      </c>
      <c r="L60" s="252" t="s">
        <v>119</v>
      </c>
      <c r="M60" s="279">
        <f t="shared" ref="M60:R60" si="35">B60/B66</f>
        <v>0.92783470700443726</v>
      </c>
      <c r="N60" s="279">
        <f t="shared" si="35"/>
        <v>0.97963588187529382</v>
      </c>
      <c r="O60" s="279">
        <f t="shared" si="35"/>
        <v>0.22584935537519013</v>
      </c>
      <c r="P60" s="279">
        <f t="shared" si="35"/>
        <v>0.15171353834689724</v>
      </c>
      <c r="Q60" s="279">
        <f t="shared" si="35"/>
        <v>0.14429050326273282</v>
      </c>
      <c r="R60" s="279">
        <f t="shared" si="35"/>
        <v>1.8349391653072322E-2</v>
      </c>
      <c r="S60" s="279"/>
      <c r="T60" s="279">
        <f>Q60</f>
        <v>0.14429050326273282</v>
      </c>
      <c r="U60" s="278"/>
    </row>
    <row r="61" spans="1:25" x14ac:dyDescent="0.6">
      <c r="A61" s="252" t="s">
        <v>196</v>
      </c>
      <c r="B61" s="253">
        <v>143830</v>
      </c>
      <c r="C61" s="253">
        <v>24121</v>
      </c>
      <c r="D61" s="253">
        <f>225694978/1000</f>
        <v>225694.978</v>
      </c>
      <c r="E61" s="253">
        <f>314984179/1000</f>
        <v>314984.179</v>
      </c>
      <c r="F61" s="253">
        <f>479893746/1000</f>
        <v>479893.74599999998</v>
      </c>
      <c r="G61" s="253">
        <f>164109626/1000</f>
        <v>164109.62599999999</v>
      </c>
      <c r="H61" s="253"/>
      <c r="I61" s="253">
        <f>J61-G61</f>
        <v>315784.12</v>
      </c>
      <c r="J61" s="266">
        <f>B166</f>
        <v>479893.74599999998</v>
      </c>
      <c r="K61" s="3" t="s">
        <v>495</v>
      </c>
      <c r="L61" s="252" t="s">
        <v>196</v>
      </c>
      <c r="M61" s="279">
        <f t="shared" ref="M61:R61" si="36">B61/B66</f>
        <v>0.36976004031034854</v>
      </c>
      <c r="N61" s="279">
        <f t="shared" si="36"/>
        <v>0.25771400487200308</v>
      </c>
      <c r="O61" s="279">
        <f t="shared" si="36"/>
        <v>1.0693758345060245</v>
      </c>
      <c r="P61" s="279">
        <f t="shared" si="36"/>
        <v>0.96990130835481081</v>
      </c>
      <c r="Q61" s="279">
        <f t="shared" si="36"/>
        <v>1.1521450151492598</v>
      </c>
      <c r="R61" s="279">
        <f t="shared" si="36"/>
        <v>1.3943517706634039</v>
      </c>
      <c r="S61" s="279"/>
      <c r="T61" s="279">
        <f>Q61</f>
        <v>1.1521450151492598</v>
      </c>
      <c r="U61" s="278"/>
    </row>
    <row r="62" spans="1:25" x14ac:dyDescent="0.6">
      <c r="A62" s="252" t="s">
        <v>118</v>
      </c>
      <c r="B62" s="253">
        <v>75286</v>
      </c>
      <c r="C62" s="253">
        <v>15633</v>
      </c>
      <c r="D62" s="253">
        <f>32342822/1000</f>
        <v>32342.822</v>
      </c>
      <c r="E62" s="253">
        <f>49840000/1000</f>
        <v>49840</v>
      </c>
      <c r="F62" s="253">
        <f>63601471/1000</f>
        <v>63601.470999999998</v>
      </c>
      <c r="G62" s="253">
        <f>21456737/1000</f>
        <v>21456.737000000001</v>
      </c>
      <c r="H62" s="253"/>
      <c r="I62" s="253">
        <f>J62-G62</f>
        <v>42144.733999999997</v>
      </c>
      <c r="J62" s="266">
        <f>J66*T62</f>
        <v>63601.470999999998</v>
      </c>
      <c r="L62" s="252" t="s">
        <v>118</v>
      </c>
      <c r="M62" s="279">
        <f t="shared" ref="M62:R62" si="37">B62/B66</f>
        <v>0.19354623093099424</v>
      </c>
      <c r="N62" s="279">
        <f t="shared" si="37"/>
        <v>0.16702636864823284</v>
      </c>
      <c r="O62" s="279">
        <f t="shared" si="37"/>
        <v>0.15324502376180391</v>
      </c>
      <c r="P62" s="279">
        <f t="shared" si="37"/>
        <v>0.15346764831767556</v>
      </c>
      <c r="Q62" s="279">
        <f t="shared" si="37"/>
        <v>0.15269654664099375</v>
      </c>
      <c r="R62" s="279">
        <f t="shared" si="37"/>
        <v>0.18230642502718869</v>
      </c>
      <c r="S62" s="279"/>
      <c r="T62" s="279">
        <f>Q62</f>
        <v>0.15269654664099375</v>
      </c>
      <c r="U62" s="278"/>
    </row>
    <row r="63" spans="1:25" x14ac:dyDescent="0.6">
      <c r="A63" s="261" t="s">
        <v>117</v>
      </c>
      <c r="B63" s="263"/>
      <c r="C63" s="263"/>
      <c r="D63" s="263"/>
      <c r="E63" s="263"/>
      <c r="F63" s="263"/>
      <c r="G63" s="263"/>
      <c r="H63" s="263"/>
      <c r="I63" s="263"/>
      <c r="J63" s="262"/>
      <c r="L63" s="261" t="s">
        <v>117</v>
      </c>
      <c r="M63" s="281"/>
      <c r="N63" s="281"/>
      <c r="O63" s="281"/>
      <c r="P63" s="281"/>
      <c r="Q63" s="281"/>
      <c r="R63" s="281"/>
      <c r="S63" s="281"/>
      <c r="T63" s="281"/>
      <c r="U63" s="280"/>
      <c r="W63" s="239"/>
      <c r="X63" s="268"/>
      <c r="Y63" s="239"/>
    </row>
    <row r="64" spans="1:25" x14ac:dyDescent="0.6">
      <c r="A64" s="252" t="s">
        <v>195</v>
      </c>
      <c r="B64" s="253">
        <v>0</v>
      </c>
      <c r="C64" s="253">
        <v>0</v>
      </c>
      <c r="D64" s="253">
        <f>3529779/1000</f>
        <v>3529.779</v>
      </c>
      <c r="E64" s="253">
        <f>7534000/1000</f>
        <v>7534</v>
      </c>
      <c r="F64" s="253">
        <f>7246883/1000</f>
        <v>7246.8829999999998</v>
      </c>
      <c r="G64" s="253">
        <f>1413696/1000</f>
        <v>1413.6959999999999</v>
      </c>
      <c r="H64" s="253"/>
      <c r="I64" s="253">
        <f>J64-G64</f>
        <v>5833.1870000000008</v>
      </c>
      <c r="J64" s="266">
        <f>J66*T64</f>
        <v>7246.8830000000007</v>
      </c>
      <c r="L64" s="252" t="s">
        <v>195</v>
      </c>
      <c r="M64" s="279">
        <f t="shared" ref="M64:R64" si="38">B64/B66</f>
        <v>0</v>
      </c>
      <c r="N64" s="279">
        <f t="shared" si="38"/>
        <v>0</v>
      </c>
      <c r="O64" s="279">
        <f t="shared" si="38"/>
        <v>1.6724609458287729E-2</v>
      </c>
      <c r="P64" s="279">
        <f t="shared" si="38"/>
        <v>2.3198741220412676E-2</v>
      </c>
      <c r="Q64" s="279">
        <f t="shared" si="38"/>
        <v>1.7398559980025066E-2</v>
      </c>
      <c r="R64" s="279">
        <f t="shared" si="38"/>
        <v>1.2011419249592169E-2</v>
      </c>
      <c r="S64" s="279"/>
      <c r="T64" s="279">
        <f>Q64</f>
        <v>1.7398559980025066E-2</v>
      </c>
      <c r="U64" s="278"/>
      <c r="V64" s="239"/>
      <c r="W64" s="239"/>
      <c r="X64" s="277"/>
      <c r="Y64" s="239"/>
    </row>
    <row r="65" spans="1:25" ht="23.25" thickBot="1" x14ac:dyDescent="0.65">
      <c r="A65" s="252" t="s">
        <v>197</v>
      </c>
      <c r="B65" s="258">
        <f t="shared" ref="B65:G65" si="39">SUM(B60:B64)</f>
        <v>580027</v>
      </c>
      <c r="C65" s="258">
        <f t="shared" si="39"/>
        <v>131444</v>
      </c>
      <c r="D65" s="258">
        <f t="shared" si="39"/>
        <v>309233.76299999998</v>
      </c>
      <c r="E65" s="258">
        <f t="shared" si="39"/>
        <v>421628.516</v>
      </c>
      <c r="F65" s="258">
        <f t="shared" si="39"/>
        <v>610842.26900000009</v>
      </c>
      <c r="G65" s="258">
        <f t="shared" si="39"/>
        <v>189139.70899999997</v>
      </c>
      <c r="H65" s="258"/>
      <c r="I65" s="258">
        <f>J65-G65</f>
        <v>421702.56000000011</v>
      </c>
      <c r="J65" s="257">
        <f>SUM(J60:J64)</f>
        <v>610842.26900000009</v>
      </c>
      <c r="L65" s="252" t="s">
        <v>197</v>
      </c>
      <c r="M65" s="256"/>
      <c r="N65" s="256"/>
      <c r="O65" s="256"/>
      <c r="P65" s="256"/>
      <c r="Q65" s="256"/>
      <c r="R65" s="256"/>
      <c r="S65" s="276"/>
      <c r="T65" s="276"/>
      <c r="U65" s="275"/>
      <c r="V65" s="239"/>
      <c r="W65" s="239"/>
      <c r="X65" s="268"/>
      <c r="Y65" s="239"/>
    </row>
    <row r="66" spans="1:25" x14ac:dyDescent="0.6">
      <c r="A66" s="274" t="s">
        <v>198</v>
      </c>
      <c r="B66" s="273">
        <f t="shared" ref="B66:G66" si="40">I5</f>
        <v>388982</v>
      </c>
      <c r="C66" s="273">
        <f t="shared" si="40"/>
        <v>93596</v>
      </c>
      <c r="D66" s="273">
        <f t="shared" si="40"/>
        <v>211053</v>
      </c>
      <c r="E66" s="273">
        <f t="shared" si="40"/>
        <v>324759</v>
      </c>
      <c r="F66" s="273">
        <f t="shared" si="40"/>
        <v>416522</v>
      </c>
      <c r="G66" s="273">
        <f t="shared" si="40"/>
        <v>117696</v>
      </c>
      <c r="H66" s="273"/>
      <c r="I66" s="273"/>
      <c r="J66" s="273">
        <f>Q5</f>
        <v>416522</v>
      </c>
      <c r="L66" s="271"/>
      <c r="M66" s="270"/>
      <c r="N66" s="270"/>
      <c r="O66" s="270"/>
      <c r="P66" s="270"/>
      <c r="Q66" s="270"/>
      <c r="R66" s="270"/>
      <c r="S66" s="269"/>
      <c r="T66" s="269"/>
      <c r="U66" s="269"/>
      <c r="V66" s="239"/>
      <c r="W66" s="239"/>
      <c r="X66" s="268"/>
      <c r="Y66" s="239"/>
    </row>
    <row r="67" spans="1:25" x14ac:dyDescent="0.6">
      <c r="A67" s="271" t="s">
        <v>186</v>
      </c>
      <c r="B67" s="272">
        <f t="shared" ref="B67:G67" si="41">B61/B66</f>
        <v>0.36976004031034854</v>
      </c>
      <c r="C67" s="272">
        <f t="shared" si="41"/>
        <v>0.25771400487200308</v>
      </c>
      <c r="D67" s="272">
        <f t="shared" si="41"/>
        <v>1.0693758345060245</v>
      </c>
      <c r="E67" s="272">
        <f t="shared" si="41"/>
        <v>0.96990130835481081</v>
      </c>
      <c r="F67" s="272">
        <f t="shared" si="41"/>
        <v>1.1521450151492598</v>
      </c>
      <c r="G67" s="272">
        <f t="shared" si="41"/>
        <v>1.3943517706634039</v>
      </c>
      <c r="H67" s="269"/>
      <c r="I67" s="269"/>
      <c r="J67" s="272">
        <f>F67</f>
        <v>1.1521450151492598</v>
      </c>
      <c r="L67" s="271"/>
      <c r="M67" s="270"/>
      <c r="N67" s="270"/>
      <c r="O67" s="270"/>
      <c r="P67" s="270"/>
      <c r="Q67" s="270"/>
      <c r="R67" s="270"/>
      <c r="S67" s="269"/>
      <c r="T67" s="269"/>
      <c r="U67" s="269"/>
      <c r="V67" s="239"/>
      <c r="W67" s="239"/>
      <c r="X67" s="268"/>
      <c r="Y67" s="239"/>
    </row>
    <row r="68" spans="1:25" x14ac:dyDescent="0.6">
      <c r="A68" s="271"/>
      <c r="B68" s="269"/>
      <c r="C68" s="269"/>
      <c r="D68" s="269"/>
      <c r="E68" s="269"/>
      <c r="F68" s="269"/>
      <c r="G68" s="269"/>
      <c r="H68" s="269"/>
      <c r="I68" s="269"/>
      <c r="J68" s="269"/>
      <c r="L68" s="271"/>
      <c r="M68" s="270"/>
      <c r="N68" s="270"/>
      <c r="O68" s="270"/>
      <c r="P68" s="270"/>
      <c r="Q68" s="270"/>
      <c r="R68" s="270"/>
      <c r="S68" s="269"/>
      <c r="T68" s="269"/>
      <c r="U68" s="269"/>
      <c r="V68" s="239"/>
      <c r="W68" s="239"/>
      <c r="X68" s="268"/>
      <c r="Y68" s="239"/>
    </row>
    <row r="69" spans="1:25" x14ac:dyDescent="0.6">
      <c r="B69" s="235"/>
      <c r="C69" s="235"/>
      <c r="D69" s="235"/>
      <c r="E69" s="235"/>
      <c r="F69" s="235"/>
      <c r="G69" s="235"/>
      <c r="H69" s="235"/>
      <c r="I69" s="235"/>
      <c r="J69" s="235"/>
      <c r="M69" s="239"/>
      <c r="N69" s="239"/>
      <c r="O69" s="268"/>
      <c r="P69" s="239"/>
      <c r="Q69" s="239"/>
      <c r="R69" s="268"/>
      <c r="T69" s="254"/>
      <c r="V69" s="239"/>
      <c r="W69" s="239"/>
      <c r="X69" s="268"/>
      <c r="Y69" s="239"/>
    </row>
    <row r="70" spans="1:25" x14ac:dyDescent="0.6">
      <c r="A70" s="252" t="s">
        <v>131</v>
      </c>
      <c r="B70" s="252" t="s">
        <v>74</v>
      </c>
      <c r="C70" s="252" t="s">
        <v>73</v>
      </c>
      <c r="D70" s="252" t="s">
        <v>72</v>
      </c>
      <c r="E70" s="252" t="s">
        <v>71</v>
      </c>
      <c r="F70" s="252" t="s">
        <v>70</v>
      </c>
      <c r="G70" s="252" t="s">
        <v>124</v>
      </c>
      <c r="H70" s="252" t="s">
        <v>68</v>
      </c>
      <c r="I70" s="252" t="s">
        <v>123</v>
      </c>
      <c r="J70" s="252" t="s">
        <v>66</v>
      </c>
      <c r="M70" s="239"/>
      <c r="N70" s="268"/>
      <c r="O70" s="239"/>
      <c r="P70" s="239"/>
      <c r="Q70" s="268"/>
      <c r="R70" s="239"/>
      <c r="T70" s="254"/>
      <c r="V70" s="239"/>
      <c r="W70" s="268"/>
      <c r="X70" s="239"/>
    </row>
    <row r="71" spans="1:25" x14ac:dyDescent="0.6">
      <c r="A71" s="261" t="s">
        <v>122</v>
      </c>
      <c r="B71" s="263"/>
      <c r="C71" s="263"/>
      <c r="D71" s="263"/>
      <c r="E71" s="263"/>
      <c r="F71" s="263"/>
      <c r="G71" s="263"/>
      <c r="H71" s="263"/>
      <c r="I71" s="263"/>
      <c r="J71" s="262"/>
      <c r="M71" s="239"/>
      <c r="N71" s="239"/>
      <c r="O71" s="268"/>
      <c r="P71" s="239"/>
      <c r="Q71" s="239"/>
      <c r="R71" s="268"/>
      <c r="T71" s="239"/>
      <c r="V71" s="239"/>
      <c r="W71" s="239"/>
      <c r="X71" s="268"/>
      <c r="Y71" s="239"/>
    </row>
    <row r="72" spans="1:25" x14ac:dyDescent="0.6">
      <c r="A72" s="252" t="s">
        <v>119</v>
      </c>
      <c r="B72" s="253">
        <v>3221771</v>
      </c>
      <c r="C72" s="253">
        <v>1133854</v>
      </c>
      <c r="D72" s="253">
        <v>476140</v>
      </c>
      <c r="E72" s="253">
        <v>844680</v>
      </c>
      <c r="F72" s="253">
        <v>753608</v>
      </c>
      <c r="G72" s="253">
        <v>48091</v>
      </c>
      <c r="H72" s="253"/>
      <c r="I72" s="253">
        <f>I60*I81/1000000</f>
        <v>1459718.3092026056</v>
      </c>
      <c r="J72" s="266"/>
      <c r="M72" s="239"/>
      <c r="N72" s="268"/>
      <c r="O72" s="239"/>
      <c r="P72" s="239"/>
      <c r="Q72" s="268"/>
      <c r="R72" s="239"/>
      <c r="S72" s="239"/>
      <c r="T72" s="254"/>
      <c r="U72" s="239"/>
      <c r="V72" s="239"/>
      <c r="W72" s="268"/>
      <c r="X72" s="239"/>
    </row>
    <row r="73" spans="1:25" x14ac:dyDescent="0.6">
      <c r="A73" s="252" t="s">
        <v>196</v>
      </c>
      <c r="B73" s="253">
        <v>1548588</v>
      </c>
      <c r="C73" s="253">
        <v>217852</v>
      </c>
      <c r="D73" s="253">
        <v>2952550</v>
      </c>
      <c r="E73" s="253">
        <v>4633454</v>
      </c>
      <c r="F73" s="253">
        <v>6545185</v>
      </c>
      <c r="G73" s="253">
        <v>2832167</v>
      </c>
      <c r="H73" s="253"/>
      <c r="I73" s="253">
        <f>I61*I82/1000000</f>
        <v>6165684.943</v>
      </c>
      <c r="J73" s="266"/>
      <c r="M73" s="239"/>
      <c r="N73" s="239"/>
      <c r="O73" s="268"/>
      <c r="P73" s="239"/>
      <c r="Q73" s="239"/>
      <c r="R73" s="268"/>
      <c r="S73" s="239"/>
      <c r="T73" s="254"/>
      <c r="U73" s="254"/>
      <c r="V73" s="239"/>
      <c r="W73" s="239"/>
      <c r="X73" s="268"/>
      <c r="Y73" s="239"/>
    </row>
    <row r="74" spans="1:25" x14ac:dyDescent="0.6">
      <c r="A74" s="252" t="s">
        <v>118</v>
      </c>
      <c r="B74" s="253">
        <v>923971</v>
      </c>
      <c r="C74" s="253">
        <v>242800</v>
      </c>
      <c r="D74" s="253">
        <v>302629</v>
      </c>
      <c r="E74" s="253">
        <v>915759</v>
      </c>
      <c r="F74" s="253">
        <v>846002</v>
      </c>
      <c r="G74" s="253">
        <v>384071</v>
      </c>
      <c r="H74" s="253"/>
      <c r="I74" s="253">
        <f>I62*I83/1000000</f>
        <v>853487.95303479698</v>
      </c>
      <c r="J74" s="266"/>
      <c r="M74" s="239"/>
      <c r="N74" s="268"/>
      <c r="O74" s="239"/>
      <c r="P74" s="239"/>
      <c r="Q74" s="268"/>
      <c r="R74" s="239"/>
      <c r="T74" s="254"/>
      <c r="V74" s="239"/>
      <c r="W74" s="268"/>
      <c r="X74" s="239"/>
    </row>
    <row r="75" spans="1:25" x14ac:dyDescent="0.6">
      <c r="A75" s="261" t="s">
        <v>117</v>
      </c>
      <c r="B75" s="263"/>
      <c r="C75" s="263"/>
      <c r="D75" s="263"/>
      <c r="E75" s="263"/>
      <c r="F75" s="263"/>
      <c r="G75" s="263"/>
      <c r="H75" s="263"/>
      <c r="I75" s="263"/>
      <c r="J75" s="262"/>
      <c r="M75" s="239"/>
      <c r="N75" s="268"/>
      <c r="O75" s="239"/>
      <c r="P75" s="239"/>
      <c r="Q75" s="268"/>
      <c r="R75" s="239"/>
      <c r="T75" s="254"/>
      <c r="V75" s="239"/>
      <c r="W75" s="268"/>
      <c r="X75" s="239"/>
    </row>
    <row r="76" spans="1:25" x14ac:dyDescent="0.6">
      <c r="A76" s="252" t="s">
        <v>195</v>
      </c>
      <c r="B76" s="253">
        <v>0</v>
      </c>
      <c r="C76" s="253">
        <v>0</v>
      </c>
      <c r="D76" s="253">
        <v>247655</v>
      </c>
      <c r="E76" s="253">
        <v>604198</v>
      </c>
      <c r="F76" s="253">
        <v>600665</v>
      </c>
      <c r="G76" s="253">
        <v>244621</v>
      </c>
      <c r="H76" s="253"/>
      <c r="I76" s="253">
        <f>I64*I85/1000000</f>
        <v>1141957.2535270506</v>
      </c>
      <c r="J76" s="266"/>
      <c r="M76" s="239"/>
      <c r="N76" s="268"/>
      <c r="O76" s="239"/>
      <c r="P76" s="239"/>
      <c r="Q76" s="268"/>
      <c r="R76" s="239"/>
      <c r="S76" s="239"/>
      <c r="T76" s="254"/>
      <c r="U76" s="239"/>
      <c r="V76" s="239"/>
      <c r="W76" s="268"/>
      <c r="X76" s="239"/>
    </row>
    <row r="77" spans="1:25" ht="23.25" thickBot="1" x14ac:dyDescent="0.65">
      <c r="A77" s="252" t="s">
        <v>197</v>
      </c>
      <c r="B77" s="258">
        <f t="shared" ref="B77:G77" si="42">SUM(B72:B76)</f>
        <v>5694330</v>
      </c>
      <c r="C77" s="258">
        <f t="shared" si="42"/>
        <v>1594506</v>
      </c>
      <c r="D77" s="258">
        <f t="shared" si="42"/>
        <v>3978974</v>
      </c>
      <c r="E77" s="258">
        <f t="shared" si="42"/>
        <v>6998091</v>
      </c>
      <c r="F77" s="258">
        <f t="shared" si="42"/>
        <v>8745460</v>
      </c>
      <c r="G77" s="258">
        <f t="shared" si="42"/>
        <v>3508950</v>
      </c>
      <c r="H77" s="258"/>
      <c r="I77" s="258">
        <f>SUM(I72:I76)</f>
        <v>9620848.4587644543</v>
      </c>
      <c r="J77" s="257"/>
      <c r="M77" s="239"/>
      <c r="N77" s="268"/>
      <c r="O77" s="239"/>
      <c r="P77" s="239"/>
      <c r="Q77" s="268"/>
      <c r="R77" s="239"/>
      <c r="S77" s="239"/>
      <c r="T77" s="254"/>
      <c r="U77" s="239"/>
      <c r="V77" s="239"/>
      <c r="W77" s="268"/>
      <c r="X77" s="239"/>
    </row>
    <row r="78" spans="1:25" x14ac:dyDescent="0.6">
      <c r="B78" s="235"/>
      <c r="C78" s="235"/>
      <c r="D78" s="235"/>
      <c r="E78" s="235"/>
      <c r="F78" s="235"/>
      <c r="G78" s="235"/>
      <c r="H78" s="235"/>
      <c r="I78" s="235"/>
      <c r="J78" s="235"/>
      <c r="O78" s="239"/>
      <c r="R78" s="239"/>
      <c r="U78" s="239"/>
      <c r="X78" s="239"/>
    </row>
    <row r="79" spans="1:25" x14ac:dyDescent="0.6">
      <c r="A79" s="252" t="s">
        <v>125</v>
      </c>
      <c r="B79" s="252" t="s">
        <v>74</v>
      </c>
      <c r="C79" s="252" t="s">
        <v>73</v>
      </c>
      <c r="D79" s="252" t="s">
        <v>72</v>
      </c>
      <c r="E79" s="252" t="s">
        <v>71</v>
      </c>
      <c r="F79" s="252" t="s">
        <v>70</v>
      </c>
      <c r="G79" s="252" t="s">
        <v>124</v>
      </c>
      <c r="H79" s="252" t="s">
        <v>68</v>
      </c>
      <c r="I79" s="252" t="s">
        <v>123</v>
      </c>
      <c r="J79" s="252" t="s">
        <v>66</v>
      </c>
      <c r="L79" s="252" t="s">
        <v>125</v>
      </c>
      <c r="M79" s="252" t="s">
        <v>74</v>
      </c>
      <c r="N79" s="252" t="s">
        <v>73</v>
      </c>
      <c r="O79" s="252" t="s">
        <v>72</v>
      </c>
      <c r="P79" s="252" t="s">
        <v>71</v>
      </c>
      <c r="Q79" s="252" t="s">
        <v>70</v>
      </c>
      <c r="R79" s="252" t="s">
        <v>124</v>
      </c>
      <c r="S79" s="252" t="s">
        <v>68</v>
      </c>
      <c r="T79" s="252" t="s">
        <v>123</v>
      </c>
      <c r="U79" s="252" t="s">
        <v>66</v>
      </c>
      <c r="V79" s="239"/>
      <c r="W79" s="239"/>
      <c r="X79" s="268"/>
      <c r="Y79" s="239"/>
    </row>
    <row r="80" spans="1:25" x14ac:dyDescent="0.6">
      <c r="A80" s="261" t="s">
        <v>122</v>
      </c>
      <c r="B80" s="263"/>
      <c r="C80" s="263"/>
      <c r="D80" s="263"/>
      <c r="E80" s="263"/>
      <c r="F80" s="263"/>
      <c r="G80" s="263"/>
      <c r="H80" s="263"/>
      <c r="I80" s="263"/>
      <c r="J80" s="262"/>
      <c r="L80" s="261" t="s">
        <v>122</v>
      </c>
      <c r="M80" s="267"/>
      <c r="N80" s="267"/>
      <c r="O80" s="267"/>
      <c r="P80" s="267"/>
      <c r="Q80" s="267"/>
      <c r="R80" s="267"/>
      <c r="S80" s="260"/>
      <c r="T80" s="260"/>
      <c r="U80" s="259"/>
      <c r="V80" s="239"/>
      <c r="Y80" s="239"/>
    </row>
    <row r="81" spans="1:21" x14ac:dyDescent="0.6">
      <c r="A81" s="252" t="s">
        <v>119</v>
      </c>
      <c r="B81" s="253">
        <f t="shared" ref="B81:G83" si="43">B72*1000000/B60</f>
        <v>8926774.1908670012</v>
      </c>
      <c r="C81" s="253">
        <f t="shared" si="43"/>
        <v>12366168.611626131</v>
      </c>
      <c r="D81" s="253">
        <f t="shared" si="43"/>
        <v>9989052.1968362313</v>
      </c>
      <c r="E81" s="253">
        <f t="shared" si="43"/>
        <v>17143783.692812979</v>
      </c>
      <c r="F81" s="253">
        <f t="shared" si="43"/>
        <v>12539199.349006822</v>
      </c>
      <c r="G81" s="253">
        <f t="shared" si="43"/>
        <v>22267960.086125065</v>
      </c>
      <c r="H81" s="253"/>
      <c r="I81" s="253">
        <f>I82*U81</f>
        <v>25193393.749244906</v>
      </c>
      <c r="J81" s="266"/>
      <c r="L81" s="252" t="s">
        <v>119</v>
      </c>
      <c r="M81" s="265">
        <f t="shared" ref="M81:R81" si="44">B81/B82</f>
        <v>0.82910233830586366</v>
      </c>
      <c r="N81" s="265">
        <f t="shared" si="44"/>
        <v>1.3692064019657104</v>
      </c>
      <c r="O81" s="265">
        <f t="shared" si="44"/>
        <v>0.763570105774942</v>
      </c>
      <c r="P81" s="265">
        <f t="shared" si="44"/>
        <v>1.1654417269350865</v>
      </c>
      <c r="Q81" s="265">
        <f t="shared" si="44"/>
        <v>0.91937559403372793</v>
      </c>
      <c r="R81" s="265">
        <f t="shared" si="44"/>
        <v>1.290314660652748</v>
      </c>
      <c r="S81" s="265"/>
      <c r="T81" s="265"/>
      <c r="U81" s="264">
        <f>R81</f>
        <v>1.290314660652748</v>
      </c>
    </row>
    <row r="82" spans="1:21" x14ac:dyDescent="0.6">
      <c r="A82" s="252" t="s">
        <v>196</v>
      </c>
      <c r="B82" s="253">
        <f t="shared" si="43"/>
        <v>10766794.131961344</v>
      </c>
      <c r="C82" s="253">
        <f t="shared" si="43"/>
        <v>9031632.1877202429</v>
      </c>
      <c r="D82" s="253">
        <f t="shared" si="43"/>
        <v>13082036.765567729</v>
      </c>
      <c r="E82" s="253">
        <f t="shared" si="43"/>
        <v>14710116.599221321</v>
      </c>
      <c r="F82" s="253">
        <f t="shared" si="43"/>
        <v>13638821.206892744</v>
      </c>
      <c r="G82" s="253">
        <f t="shared" si="43"/>
        <v>17257774.994868372</v>
      </c>
      <c r="H82" s="253"/>
      <c r="I82" s="253">
        <f>B164</f>
        <v>19525000</v>
      </c>
      <c r="J82" s="266"/>
      <c r="L82" s="252" t="s">
        <v>196</v>
      </c>
      <c r="M82" s="265">
        <f t="shared" ref="M82:R82" si="45">B82/B82</f>
        <v>1</v>
      </c>
      <c r="N82" s="265">
        <f t="shared" si="45"/>
        <v>1</v>
      </c>
      <c r="O82" s="265">
        <f t="shared" si="45"/>
        <v>1</v>
      </c>
      <c r="P82" s="265">
        <f t="shared" si="45"/>
        <v>1</v>
      </c>
      <c r="Q82" s="265">
        <f t="shared" si="45"/>
        <v>1</v>
      </c>
      <c r="R82" s="265">
        <f t="shared" si="45"/>
        <v>1</v>
      </c>
      <c r="S82" s="265"/>
      <c r="T82" s="265">
        <f>M163</f>
        <v>0</v>
      </c>
      <c r="U82" s="264">
        <f>AVERAGE(Q82,M82)</f>
        <v>1</v>
      </c>
    </row>
    <row r="83" spans="1:21" x14ac:dyDescent="0.6">
      <c r="A83" s="252" t="s">
        <v>118</v>
      </c>
      <c r="B83" s="253">
        <f t="shared" si="43"/>
        <v>12272813.006402252</v>
      </c>
      <c r="C83" s="253">
        <f t="shared" si="43"/>
        <v>15531248.001023475</v>
      </c>
      <c r="D83" s="253">
        <f t="shared" si="43"/>
        <v>9356913.8772120755</v>
      </c>
      <c r="E83" s="253">
        <f t="shared" si="43"/>
        <v>18373976.725521669</v>
      </c>
      <c r="F83" s="253">
        <f t="shared" si="43"/>
        <v>13301610.586962683</v>
      </c>
      <c r="G83" s="253">
        <f t="shared" si="43"/>
        <v>17899785.973981038</v>
      </c>
      <c r="H83" s="253"/>
      <c r="I83" s="253">
        <f>I82*U83</f>
        <v>20251354.606599178</v>
      </c>
      <c r="J83" s="266"/>
      <c r="L83" s="252" t="s">
        <v>118</v>
      </c>
      <c r="M83" s="265">
        <f t="shared" ref="M83:R83" si="46">B83/B82</f>
        <v>1.1398762580562654</v>
      </c>
      <c r="N83" s="265">
        <f t="shared" si="46"/>
        <v>1.7196501892692622</v>
      </c>
      <c r="O83" s="265">
        <f t="shared" si="46"/>
        <v>0.71524901243510663</v>
      </c>
      <c r="P83" s="265">
        <f t="shared" si="46"/>
        <v>1.2490707739525528</v>
      </c>
      <c r="Q83" s="265">
        <f t="shared" si="46"/>
        <v>0.97527567706807083</v>
      </c>
      <c r="R83" s="265">
        <f t="shared" si="46"/>
        <v>1.0372012602611616</v>
      </c>
      <c r="S83" s="265"/>
      <c r="T83" s="265"/>
      <c r="U83" s="264">
        <f>R83</f>
        <v>1.0372012602611616</v>
      </c>
    </row>
    <row r="84" spans="1:21" x14ac:dyDescent="0.6">
      <c r="A84" s="261" t="s">
        <v>117</v>
      </c>
      <c r="B84" s="263"/>
      <c r="C84" s="263"/>
      <c r="D84" s="263"/>
      <c r="E84" s="263"/>
      <c r="F84" s="263"/>
      <c r="G84" s="263"/>
      <c r="H84" s="263"/>
      <c r="I84" s="263"/>
      <c r="J84" s="262"/>
      <c r="L84" s="261" t="s">
        <v>117</v>
      </c>
      <c r="M84" s="260"/>
      <c r="N84" s="260"/>
      <c r="O84" s="260"/>
      <c r="P84" s="260"/>
      <c r="Q84" s="260"/>
      <c r="R84" s="260"/>
      <c r="S84" s="260"/>
      <c r="T84" s="260"/>
      <c r="U84" s="259"/>
    </row>
    <row r="85" spans="1:21" ht="23.25" thickBot="1" x14ac:dyDescent="0.65">
      <c r="A85" s="252" t="s">
        <v>195</v>
      </c>
      <c r="B85" s="258">
        <v>0</v>
      </c>
      <c r="C85" s="258">
        <v>0</v>
      </c>
      <c r="D85" s="258">
        <f>D76*1000000/D64</f>
        <v>70161616.350485399</v>
      </c>
      <c r="E85" s="258">
        <f>E76*1000000/E64</f>
        <v>80196177.329439878</v>
      </c>
      <c r="F85" s="258">
        <f>F76*1000000/F64</f>
        <v>82885980.082747295</v>
      </c>
      <c r="G85" s="258">
        <f>G76*1000000/G64</f>
        <v>173036494.40898186</v>
      </c>
      <c r="H85" s="258"/>
      <c r="I85" s="258">
        <f>I82*U85</f>
        <v>195769011.61012846</v>
      </c>
      <c r="J85" s="257"/>
      <c r="L85" s="252" t="s">
        <v>195</v>
      </c>
      <c r="M85" s="256">
        <f t="shared" ref="M85:R85" si="47">B85/B82</f>
        <v>0</v>
      </c>
      <c r="N85" s="256">
        <f t="shared" si="47"/>
        <v>0</v>
      </c>
      <c r="O85" s="256">
        <f t="shared" si="47"/>
        <v>5.3632028106779712</v>
      </c>
      <c r="P85" s="256">
        <f t="shared" si="47"/>
        <v>5.4517703369995765</v>
      </c>
      <c r="Q85" s="256">
        <f t="shared" si="47"/>
        <v>6.0772099601143426</v>
      </c>
      <c r="R85" s="256">
        <f t="shared" si="47"/>
        <v>10.026581900646784</v>
      </c>
      <c r="S85" s="256"/>
      <c r="T85" s="256"/>
      <c r="U85" s="255">
        <f>R85</f>
        <v>10.026581900646784</v>
      </c>
    </row>
    <row r="86" spans="1:21" x14ac:dyDescent="0.6">
      <c r="I86" s="235"/>
    </row>
    <row r="88" spans="1:21" x14ac:dyDescent="0.6">
      <c r="A88" s="252" t="s">
        <v>114</v>
      </c>
      <c r="B88" s="252" t="s">
        <v>74</v>
      </c>
      <c r="C88" s="252" t="s">
        <v>73</v>
      </c>
      <c r="D88" s="252" t="s">
        <v>72</v>
      </c>
      <c r="E88" s="252" t="s">
        <v>71</v>
      </c>
      <c r="F88" s="252" t="s">
        <v>70</v>
      </c>
      <c r="G88" s="252" t="s">
        <v>69</v>
      </c>
      <c r="H88" s="252" t="s">
        <v>113</v>
      </c>
      <c r="I88" s="252" t="s">
        <v>68</v>
      </c>
      <c r="J88" s="252" t="s">
        <v>67</v>
      </c>
      <c r="K88" s="252" t="s">
        <v>66</v>
      </c>
    </row>
    <row r="89" spans="1:21" x14ac:dyDescent="0.6">
      <c r="A89" s="252" t="s">
        <v>110</v>
      </c>
      <c r="B89" s="253">
        <v>749220</v>
      </c>
      <c r="C89" s="253">
        <v>247310</v>
      </c>
      <c r="D89" s="253">
        <v>417080</v>
      </c>
      <c r="E89" s="253">
        <v>635416</v>
      </c>
      <c r="F89" s="253">
        <v>948630</v>
      </c>
      <c r="G89" s="253">
        <v>371991</v>
      </c>
      <c r="H89" s="253">
        <v>813109</v>
      </c>
      <c r="I89" s="253"/>
      <c r="J89" s="253">
        <f>H89</f>
        <v>813109</v>
      </c>
      <c r="K89" s="253">
        <f t="shared" ref="K89:K98" si="48">F89*1.3</f>
        <v>1233219</v>
      </c>
    </row>
    <row r="90" spans="1:21" x14ac:dyDescent="0.6">
      <c r="A90" s="252" t="s">
        <v>109</v>
      </c>
      <c r="B90" s="253">
        <v>187331</v>
      </c>
      <c r="C90" s="253">
        <v>42827</v>
      </c>
      <c r="D90" s="253">
        <v>85808</v>
      </c>
      <c r="E90" s="253">
        <v>154906</v>
      </c>
      <c r="F90" s="253">
        <v>222568</v>
      </c>
      <c r="G90" s="253">
        <v>67411</v>
      </c>
      <c r="H90" s="253">
        <v>139125</v>
      </c>
      <c r="I90" s="253"/>
      <c r="J90" s="253">
        <f t="shared" ref="J90:J98" si="49">H90</f>
        <v>139125</v>
      </c>
      <c r="K90" s="253">
        <f t="shared" si="48"/>
        <v>289338.40000000002</v>
      </c>
    </row>
    <row r="91" spans="1:21" x14ac:dyDescent="0.6">
      <c r="A91" s="252" t="s">
        <v>108</v>
      </c>
      <c r="B91" s="253">
        <v>432071</v>
      </c>
      <c r="C91" s="253">
        <v>110505</v>
      </c>
      <c r="D91" s="253">
        <v>251621</v>
      </c>
      <c r="E91" s="253">
        <v>431575</v>
      </c>
      <c r="F91" s="253">
        <v>470588</v>
      </c>
      <c r="G91" s="253">
        <v>193281</v>
      </c>
      <c r="H91" s="253">
        <v>413921</v>
      </c>
      <c r="I91" s="253"/>
      <c r="J91" s="253">
        <f t="shared" si="49"/>
        <v>413921</v>
      </c>
      <c r="K91" s="253">
        <f t="shared" si="48"/>
        <v>611764.4</v>
      </c>
    </row>
    <row r="92" spans="1:21" x14ac:dyDescent="0.6">
      <c r="A92" s="252" t="s">
        <v>107</v>
      </c>
      <c r="B92" s="253">
        <v>811704</v>
      </c>
      <c r="C92" s="253">
        <v>485166</v>
      </c>
      <c r="D92" s="253">
        <v>1140399</v>
      </c>
      <c r="E92" s="253">
        <v>1723069</v>
      </c>
      <c r="F92" s="253">
        <v>2856783</v>
      </c>
      <c r="G92" s="253">
        <v>1052426</v>
      </c>
      <c r="H92" s="253">
        <v>2089254</v>
      </c>
      <c r="I92" s="253"/>
      <c r="J92" s="253">
        <f t="shared" si="49"/>
        <v>2089254</v>
      </c>
      <c r="K92" s="253">
        <f t="shared" si="48"/>
        <v>3713817.9</v>
      </c>
      <c r="M92" s="239"/>
      <c r="O92" s="239"/>
      <c r="P92" s="239"/>
      <c r="R92" s="239"/>
      <c r="S92" s="239"/>
      <c r="T92" s="239"/>
    </row>
    <row r="93" spans="1:21" x14ac:dyDescent="0.6">
      <c r="A93" s="252" t="s">
        <v>106</v>
      </c>
      <c r="B93" s="253">
        <v>0</v>
      </c>
      <c r="C93" s="253">
        <v>0</v>
      </c>
      <c r="D93" s="253">
        <v>0</v>
      </c>
      <c r="E93" s="253">
        <v>0</v>
      </c>
      <c r="F93" s="253">
        <v>2113</v>
      </c>
      <c r="G93" s="253">
        <v>445</v>
      </c>
      <c r="H93" s="253">
        <v>1449</v>
      </c>
      <c r="I93" s="253"/>
      <c r="J93" s="253">
        <f t="shared" si="49"/>
        <v>1449</v>
      </c>
      <c r="K93" s="253">
        <f t="shared" si="48"/>
        <v>2746.9</v>
      </c>
      <c r="M93" s="239"/>
      <c r="O93" s="239"/>
      <c r="P93" s="239"/>
      <c r="R93" s="239"/>
      <c r="S93" s="239"/>
      <c r="T93" s="254"/>
    </row>
    <row r="94" spans="1:21" x14ac:dyDescent="0.6">
      <c r="A94" s="252" t="s">
        <v>105</v>
      </c>
      <c r="B94" s="253">
        <v>72349</v>
      </c>
      <c r="C94" s="253">
        <v>0</v>
      </c>
      <c r="D94" s="253">
        <v>0</v>
      </c>
      <c r="E94" s="253">
        <v>0</v>
      </c>
      <c r="F94" s="253">
        <v>3350</v>
      </c>
      <c r="G94" s="253">
        <v>235</v>
      </c>
      <c r="H94" s="253">
        <v>968</v>
      </c>
      <c r="I94" s="253"/>
      <c r="J94" s="253">
        <f t="shared" si="49"/>
        <v>968</v>
      </c>
      <c r="K94" s="253">
        <f t="shared" si="48"/>
        <v>4355</v>
      </c>
      <c r="L94" s="235"/>
      <c r="M94" s="239"/>
      <c r="O94" s="239"/>
      <c r="P94" s="239"/>
      <c r="R94" s="254"/>
      <c r="S94" s="254"/>
      <c r="T94" s="254"/>
    </row>
    <row r="95" spans="1:21" x14ac:dyDescent="0.6">
      <c r="A95" s="252" t="s">
        <v>104</v>
      </c>
      <c r="B95" s="253">
        <v>0</v>
      </c>
      <c r="C95" s="253">
        <v>0</v>
      </c>
      <c r="D95" s="253">
        <v>0</v>
      </c>
      <c r="E95" s="253">
        <v>0</v>
      </c>
      <c r="F95" s="253">
        <v>0</v>
      </c>
      <c r="G95" s="253">
        <v>0</v>
      </c>
      <c r="H95" s="253">
        <v>0</v>
      </c>
      <c r="I95" s="253"/>
      <c r="J95" s="253">
        <f t="shared" si="49"/>
        <v>0</v>
      </c>
      <c r="K95" s="253">
        <f t="shared" si="48"/>
        <v>0</v>
      </c>
      <c r="M95" s="239"/>
      <c r="O95" s="239"/>
      <c r="P95" s="239"/>
      <c r="R95" s="254"/>
      <c r="S95" s="254"/>
      <c r="T95" s="254"/>
    </row>
    <row r="96" spans="1:21" x14ac:dyDescent="0.6">
      <c r="A96" s="252" t="s">
        <v>103</v>
      </c>
      <c r="B96" s="253">
        <v>0</v>
      </c>
      <c r="C96" s="253">
        <v>0</v>
      </c>
      <c r="D96" s="253">
        <v>0</v>
      </c>
      <c r="E96" s="253">
        <v>0</v>
      </c>
      <c r="F96" s="253">
        <v>0</v>
      </c>
      <c r="G96" s="253">
        <v>0</v>
      </c>
      <c r="H96" s="253">
        <v>0</v>
      </c>
      <c r="I96" s="253"/>
      <c r="J96" s="253">
        <f t="shared" si="49"/>
        <v>0</v>
      </c>
      <c r="K96" s="253">
        <f t="shared" si="48"/>
        <v>0</v>
      </c>
      <c r="M96" s="254"/>
      <c r="O96" s="239"/>
      <c r="P96" s="254"/>
      <c r="R96" s="254"/>
      <c r="S96" s="254"/>
      <c r="T96" s="254"/>
    </row>
    <row r="97" spans="1:20" x14ac:dyDescent="0.6">
      <c r="A97" s="252" t="s">
        <v>102</v>
      </c>
      <c r="B97" s="253">
        <v>36745</v>
      </c>
      <c r="C97" s="253">
        <v>0</v>
      </c>
      <c r="D97" s="253">
        <v>0</v>
      </c>
      <c r="E97" s="253">
        <v>0</v>
      </c>
      <c r="F97" s="253">
        <v>3163</v>
      </c>
      <c r="G97" s="253">
        <v>0</v>
      </c>
      <c r="H97" s="253">
        <v>3790</v>
      </c>
      <c r="I97" s="253"/>
      <c r="J97" s="253">
        <f t="shared" si="49"/>
        <v>3790</v>
      </c>
      <c r="K97" s="253">
        <f t="shared" si="48"/>
        <v>4111.9000000000005</v>
      </c>
      <c r="M97" s="239"/>
      <c r="O97" s="239"/>
      <c r="P97" s="254"/>
      <c r="R97" s="239"/>
      <c r="S97" s="239"/>
      <c r="T97" s="239"/>
    </row>
    <row r="98" spans="1:20" x14ac:dyDescent="0.6">
      <c r="A98" s="252" t="s">
        <v>101</v>
      </c>
      <c r="B98" s="253">
        <v>773785</v>
      </c>
      <c r="C98" s="253">
        <v>52503</v>
      </c>
      <c r="D98" s="253">
        <v>496136</v>
      </c>
      <c r="E98" s="253">
        <v>812335</v>
      </c>
      <c r="F98" s="253">
        <v>726408</v>
      </c>
      <c r="G98" s="253">
        <v>404859</v>
      </c>
      <c r="H98" s="253">
        <v>1181772</v>
      </c>
      <c r="I98" s="253"/>
      <c r="J98" s="253">
        <f t="shared" si="49"/>
        <v>1181772</v>
      </c>
      <c r="K98" s="253">
        <f t="shared" si="48"/>
        <v>944330.4</v>
      </c>
      <c r="M98" s="254"/>
      <c r="O98" s="254"/>
      <c r="P98" s="254"/>
      <c r="R98" s="254"/>
      <c r="S98" s="254"/>
      <c r="T98" s="254"/>
    </row>
    <row r="99" spans="1:20" x14ac:dyDescent="0.6">
      <c r="A99" s="252" t="s">
        <v>100</v>
      </c>
      <c r="B99" s="253">
        <v>3063205</v>
      </c>
      <c r="C99" s="253">
        <v>1097617</v>
      </c>
      <c r="D99" s="253">
        <v>2391044</v>
      </c>
      <c r="E99" s="253">
        <v>3757301</v>
      </c>
      <c r="F99" s="253">
        <v>5233603</v>
      </c>
      <c r="G99" s="253">
        <v>2090648</v>
      </c>
      <c r="H99" s="253">
        <v>4643388</v>
      </c>
      <c r="I99" s="253"/>
      <c r="J99" s="253">
        <f>SUM(J89:J98)</f>
        <v>4643388</v>
      </c>
      <c r="K99" s="253">
        <f>SUM(K89:K98)</f>
        <v>6803683.9000000004</v>
      </c>
      <c r="L99" s="235"/>
      <c r="M99" s="254"/>
      <c r="O99" s="254"/>
      <c r="P99" s="254"/>
      <c r="R99" s="254"/>
      <c r="S99" s="254"/>
      <c r="T99" s="254"/>
    </row>
    <row r="100" spans="1:20" x14ac:dyDescent="0.6">
      <c r="M100" s="239"/>
      <c r="O100" s="239"/>
      <c r="P100" s="254"/>
      <c r="R100" s="239"/>
      <c r="S100" s="239"/>
      <c r="T100" s="239"/>
    </row>
    <row r="101" spans="1:20" x14ac:dyDescent="0.6">
      <c r="A101" s="252" t="s">
        <v>112</v>
      </c>
      <c r="B101" s="252" t="s">
        <v>74</v>
      </c>
      <c r="C101" s="252" t="s">
        <v>73</v>
      </c>
      <c r="D101" s="252" t="s">
        <v>72</v>
      </c>
      <c r="E101" s="252" t="s">
        <v>71</v>
      </c>
      <c r="F101" s="252" t="s">
        <v>70</v>
      </c>
      <c r="G101" s="252" t="s">
        <v>69</v>
      </c>
      <c r="H101" s="252" t="s">
        <v>113</v>
      </c>
      <c r="I101" s="252" t="s">
        <v>68</v>
      </c>
      <c r="J101" s="252" t="s">
        <v>67</v>
      </c>
      <c r="K101" s="252" t="s">
        <v>66</v>
      </c>
      <c r="M101" s="239"/>
      <c r="O101" s="239"/>
      <c r="P101" s="239"/>
      <c r="R101" s="239"/>
      <c r="S101" s="239"/>
      <c r="T101" s="239"/>
    </row>
    <row r="102" spans="1:20" x14ac:dyDescent="0.6">
      <c r="A102" s="252" t="s">
        <v>110</v>
      </c>
      <c r="B102" s="253">
        <v>76022</v>
      </c>
      <c r="C102" s="253"/>
      <c r="D102" s="253">
        <v>60291</v>
      </c>
      <c r="E102" s="253">
        <v>89452</v>
      </c>
      <c r="F102" s="253">
        <v>45050</v>
      </c>
      <c r="G102" s="253">
        <v>23810</v>
      </c>
      <c r="H102" s="253">
        <v>57389</v>
      </c>
      <c r="I102" s="253"/>
      <c r="J102" s="253">
        <f>H102</f>
        <v>57389</v>
      </c>
      <c r="K102" s="253">
        <f t="shared" ref="K102:K111" si="50">F102*1.3</f>
        <v>58565</v>
      </c>
      <c r="M102" s="239"/>
      <c r="O102" s="239"/>
      <c r="P102" s="239"/>
      <c r="R102" s="239"/>
      <c r="S102" s="239"/>
      <c r="T102" s="239"/>
    </row>
    <row r="103" spans="1:20" x14ac:dyDescent="0.6">
      <c r="A103" s="252" t="s">
        <v>109</v>
      </c>
      <c r="B103" s="253">
        <v>6328</v>
      </c>
      <c r="C103" s="253"/>
      <c r="D103" s="253">
        <v>1810</v>
      </c>
      <c r="E103" s="253">
        <v>2508</v>
      </c>
      <c r="F103" s="253">
        <v>1940</v>
      </c>
      <c r="G103" s="253">
        <v>368</v>
      </c>
      <c r="H103" s="253">
        <v>1650</v>
      </c>
      <c r="I103" s="253"/>
      <c r="J103" s="253">
        <f t="shared" ref="J103:J111" si="51">H103</f>
        <v>1650</v>
      </c>
      <c r="K103" s="253">
        <f t="shared" si="50"/>
        <v>2522</v>
      </c>
    </row>
    <row r="104" spans="1:20" x14ac:dyDescent="0.6">
      <c r="A104" s="252" t="s">
        <v>108</v>
      </c>
      <c r="B104" s="253">
        <v>0</v>
      </c>
      <c r="C104" s="253"/>
      <c r="D104" s="253">
        <v>0</v>
      </c>
      <c r="E104" s="253">
        <v>0</v>
      </c>
      <c r="F104" s="253">
        <v>0</v>
      </c>
      <c r="G104" s="253">
        <v>0</v>
      </c>
      <c r="H104" s="253">
        <v>0</v>
      </c>
      <c r="I104" s="253"/>
      <c r="J104" s="253">
        <f t="shared" si="51"/>
        <v>0</v>
      </c>
      <c r="K104" s="253">
        <f t="shared" si="50"/>
        <v>0</v>
      </c>
    </row>
    <row r="105" spans="1:20" x14ac:dyDescent="0.6">
      <c r="A105" s="252" t="s">
        <v>107</v>
      </c>
      <c r="B105" s="253">
        <v>6328</v>
      </c>
      <c r="C105" s="253"/>
      <c r="D105" s="253">
        <v>0</v>
      </c>
      <c r="E105" s="253">
        <v>0</v>
      </c>
      <c r="F105" s="253">
        <v>682</v>
      </c>
      <c r="G105" s="253">
        <v>101</v>
      </c>
      <c r="H105" s="253">
        <v>824</v>
      </c>
      <c r="I105" s="253"/>
      <c r="J105" s="253">
        <f t="shared" si="51"/>
        <v>824</v>
      </c>
      <c r="K105" s="253">
        <f t="shared" si="50"/>
        <v>886.6</v>
      </c>
    </row>
    <row r="106" spans="1:20" x14ac:dyDescent="0.6">
      <c r="A106" s="252" t="s">
        <v>106</v>
      </c>
      <c r="B106" s="253">
        <v>0</v>
      </c>
      <c r="C106" s="253"/>
      <c r="D106" s="253">
        <v>0</v>
      </c>
      <c r="E106" s="253">
        <v>0</v>
      </c>
      <c r="F106" s="253">
        <v>0</v>
      </c>
      <c r="G106" s="253">
        <v>57</v>
      </c>
      <c r="H106" s="253">
        <v>0</v>
      </c>
      <c r="I106" s="253"/>
      <c r="J106" s="253">
        <f t="shared" si="51"/>
        <v>0</v>
      </c>
      <c r="K106" s="253">
        <f t="shared" si="50"/>
        <v>0</v>
      </c>
    </row>
    <row r="107" spans="1:20" x14ac:dyDescent="0.6">
      <c r="A107" s="252" t="s">
        <v>105</v>
      </c>
      <c r="B107" s="253">
        <v>12002</v>
      </c>
      <c r="C107" s="253"/>
      <c r="D107" s="253">
        <v>27888</v>
      </c>
      <c r="E107" s="253">
        <v>54279</v>
      </c>
      <c r="F107" s="253">
        <v>59505</v>
      </c>
      <c r="G107" s="253">
        <v>4814</v>
      </c>
      <c r="H107" s="253">
        <v>76241</v>
      </c>
      <c r="I107" s="253"/>
      <c r="J107" s="253">
        <f t="shared" si="51"/>
        <v>76241</v>
      </c>
      <c r="K107" s="253">
        <f t="shared" si="50"/>
        <v>77356.5</v>
      </c>
    </row>
    <row r="108" spans="1:20" x14ac:dyDescent="0.6">
      <c r="A108" s="252" t="s">
        <v>104</v>
      </c>
      <c r="B108" s="253">
        <v>0</v>
      </c>
      <c r="C108" s="253"/>
      <c r="D108" s="253">
        <v>0</v>
      </c>
      <c r="E108" s="253">
        <v>0</v>
      </c>
      <c r="F108" s="253">
        <v>0</v>
      </c>
      <c r="G108" s="253">
        <v>0</v>
      </c>
      <c r="H108" s="253">
        <v>0</v>
      </c>
      <c r="I108" s="253"/>
      <c r="J108" s="253">
        <f t="shared" si="51"/>
        <v>0</v>
      </c>
      <c r="K108" s="253">
        <f t="shared" si="50"/>
        <v>0</v>
      </c>
    </row>
    <row r="109" spans="1:20" x14ac:dyDescent="0.6">
      <c r="A109" s="252" t="s">
        <v>103</v>
      </c>
      <c r="B109" s="253">
        <v>0</v>
      </c>
      <c r="C109" s="253"/>
      <c r="D109" s="253">
        <v>0</v>
      </c>
      <c r="E109" s="253">
        <v>0</v>
      </c>
      <c r="F109" s="253">
        <v>0</v>
      </c>
      <c r="G109" s="253">
        <v>0</v>
      </c>
      <c r="H109" s="253">
        <v>0</v>
      </c>
      <c r="I109" s="253"/>
      <c r="J109" s="253">
        <f t="shared" si="51"/>
        <v>0</v>
      </c>
      <c r="K109" s="253">
        <f t="shared" si="50"/>
        <v>0</v>
      </c>
    </row>
    <row r="110" spans="1:20" x14ac:dyDescent="0.6">
      <c r="A110" s="252" t="s">
        <v>102</v>
      </c>
      <c r="B110" s="253">
        <v>54363</v>
      </c>
      <c r="C110" s="253"/>
      <c r="D110" s="253">
        <v>28032</v>
      </c>
      <c r="E110" s="253">
        <v>19501</v>
      </c>
      <c r="F110" s="253">
        <v>68743</v>
      </c>
      <c r="G110" s="253">
        <v>12584</v>
      </c>
      <c r="H110" s="253">
        <v>19136</v>
      </c>
      <c r="I110" s="253"/>
      <c r="J110" s="253">
        <f t="shared" si="51"/>
        <v>19136</v>
      </c>
      <c r="K110" s="253">
        <f t="shared" si="50"/>
        <v>89365.900000000009</v>
      </c>
    </row>
    <row r="111" spans="1:20" x14ac:dyDescent="0.6">
      <c r="A111" s="252" t="s">
        <v>101</v>
      </c>
      <c r="B111" s="253">
        <v>66229</v>
      </c>
      <c r="C111" s="253"/>
      <c r="D111" s="253">
        <v>43737</v>
      </c>
      <c r="E111" s="253">
        <v>49166</v>
      </c>
      <c r="F111" s="253">
        <v>83464</v>
      </c>
      <c r="G111" s="253">
        <v>47414</v>
      </c>
      <c r="H111" s="253">
        <v>87698</v>
      </c>
      <c r="I111" s="253"/>
      <c r="J111" s="253">
        <f t="shared" si="51"/>
        <v>87698</v>
      </c>
      <c r="K111" s="253">
        <f t="shared" si="50"/>
        <v>108503.2</v>
      </c>
    </row>
    <row r="112" spans="1:20" x14ac:dyDescent="0.6">
      <c r="A112" s="252" t="s">
        <v>100</v>
      </c>
      <c r="B112" s="253">
        <v>221272</v>
      </c>
      <c r="C112" s="253">
        <v>58728</v>
      </c>
      <c r="D112" s="253">
        <v>161758</v>
      </c>
      <c r="E112" s="253">
        <v>214906</v>
      </c>
      <c r="F112" s="253">
        <v>259384</v>
      </c>
      <c r="G112" s="253">
        <v>89148</v>
      </c>
      <c r="H112" s="253">
        <v>242938</v>
      </c>
      <c r="I112" s="253"/>
      <c r="J112" s="253">
        <f>SUM(J102:J111)</f>
        <v>242938</v>
      </c>
      <c r="K112" s="253">
        <f>SUM(K102:K111)</f>
        <v>337199.2</v>
      </c>
    </row>
    <row r="115" spans="1:18" x14ac:dyDescent="0.6">
      <c r="A115" s="252" t="s">
        <v>99</v>
      </c>
      <c r="B115" s="252" t="s">
        <v>81</v>
      </c>
      <c r="C115" s="252" t="s">
        <v>80</v>
      </c>
      <c r="D115" s="252" t="s">
        <v>79</v>
      </c>
      <c r="E115" s="252" t="s">
        <v>78</v>
      </c>
      <c r="F115" s="252" t="s">
        <v>77</v>
      </c>
      <c r="G115" s="252" t="s">
        <v>76</v>
      </c>
      <c r="H115" s="252" t="s">
        <v>75</v>
      </c>
      <c r="I115" s="252" t="s">
        <v>74</v>
      </c>
      <c r="J115" s="252" t="s">
        <v>73</v>
      </c>
      <c r="K115" s="252" t="s">
        <v>72</v>
      </c>
      <c r="L115" s="252" t="s">
        <v>71</v>
      </c>
      <c r="M115" s="252" t="s">
        <v>70</v>
      </c>
      <c r="N115" s="252" t="s">
        <v>69</v>
      </c>
      <c r="O115" s="252" t="s">
        <v>68</v>
      </c>
      <c r="P115" s="252" t="s">
        <v>67</v>
      </c>
      <c r="Q115" s="252" t="s">
        <v>66</v>
      </c>
    </row>
    <row r="116" spans="1:18" x14ac:dyDescent="0.6">
      <c r="A116" s="252" t="s">
        <v>98</v>
      </c>
      <c r="B116" s="251">
        <v>6243228</v>
      </c>
      <c r="C116" s="251">
        <v>7795605</v>
      </c>
      <c r="D116" s="251">
        <v>5832707</v>
      </c>
      <c r="E116" s="251">
        <v>7258898</v>
      </c>
      <c r="F116" s="251">
        <v>2192951</v>
      </c>
      <c r="G116" s="251">
        <v>4431388</v>
      </c>
      <c r="H116" s="251">
        <v>7097629</v>
      </c>
      <c r="I116" s="251">
        <v>10227700</v>
      </c>
      <c r="J116" s="251">
        <v>2839288</v>
      </c>
      <c r="K116" s="251">
        <v>7487579</v>
      </c>
      <c r="L116" s="251">
        <v>12846547</v>
      </c>
      <c r="M116" s="251">
        <v>18299301</v>
      </c>
      <c r="N116" s="251">
        <v>6856817</v>
      </c>
      <c r="O116" s="251"/>
      <c r="P116" s="251">
        <f>P27</f>
        <v>18815201.056561671</v>
      </c>
      <c r="Q116" s="251">
        <f>P116+N116</f>
        <v>25672018.056561671</v>
      </c>
    </row>
    <row r="117" spans="1:18" x14ac:dyDescent="0.6">
      <c r="A117" s="252" t="s">
        <v>97</v>
      </c>
      <c r="B117" s="251">
        <v>-5254067</v>
      </c>
      <c r="C117" s="251">
        <v>-6928658</v>
      </c>
      <c r="D117" s="251">
        <v>-5018931</v>
      </c>
      <c r="E117" s="251">
        <v>-6300421</v>
      </c>
      <c r="F117" s="251">
        <v>-1908306</v>
      </c>
      <c r="G117" s="251">
        <v>-3758494</v>
      </c>
      <c r="H117" s="251">
        <v>-6224621</v>
      </c>
      <c r="I117" s="251">
        <v>-8694091</v>
      </c>
      <c r="J117" s="251">
        <v>-2539291</v>
      </c>
      <c r="K117" s="251">
        <v>-6313115</v>
      </c>
      <c r="L117" s="251">
        <v>-10534169</v>
      </c>
      <c r="M117" s="251">
        <v>-14219987</v>
      </c>
      <c r="N117" s="251">
        <v>-5388317</v>
      </c>
      <c r="O117" s="251"/>
      <c r="P117" s="251">
        <f>-I55</f>
        <v>-14217856.820194107</v>
      </c>
      <c r="Q117" s="251">
        <f>P117+N117</f>
        <v>-19606173.820194107</v>
      </c>
    </row>
    <row r="118" spans="1:18" x14ac:dyDescent="0.6">
      <c r="A118" s="252" t="s">
        <v>96</v>
      </c>
      <c r="B118" s="251">
        <v>989161</v>
      </c>
      <c r="C118" s="251">
        <v>866947</v>
      </c>
      <c r="D118" s="251">
        <v>813776</v>
      </c>
      <c r="E118" s="251">
        <v>958477</v>
      </c>
      <c r="F118" s="251">
        <v>284645</v>
      </c>
      <c r="G118" s="251">
        <v>672894</v>
      </c>
      <c r="H118" s="251">
        <v>873008</v>
      </c>
      <c r="I118" s="251">
        <v>1533609</v>
      </c>
      <c r="J118" s="251">
        <v>299997</v>
      </c>
      <c r="K118" s="251">
        <v>1174464</v>
      </c>
      <c r="L118" s="251">
        <v>2312378</v>
      </c>
      <c r="M118" s="251">
        <v>4079314</v>
      </c>
      <c r="N118" s="251">
        <v>1468500</v>
      </c>
      <c r="O118" s="251"/>
      <c r="P118" s="251">
        <f>SUM(P116:P117)</f>
        <v>4597344.2363675646</v>
      </c>
      <c r="Q118" s="251">
        <f>SUM(Q116:Q117)</f>
        <v>6065844.2363675646</v>
      </c>
    </row>
    <row r="119" spans="1:18" x14ac:dyDescent="0.6">
      <c r="A119" s="252" t="s">
        <v>95</v>
      </c>
      <c r="B119" s="251">
        <v>-98719</v>
      </c>
      <c r="C119" s="251">
        <v>-198734</v>
      </c>
      <c r="D119" s="251">
        <v>-139097</v>
      </c>
      <c r="E119" s="251">
        <v>-215395</v>
      </c>
      <c r="F119" s="251">
        <v>-54387</v>
      </c>
      <c r="G119" s="251">
        <v>-115735</v>
      </c>
      <c r="H119" s="251">
        <v>-156837</v>
      </c>
      <c r="I119" s="251">
        <v>-221272</v>
      </c>
      <c r="J119" s="251">
        <v>-58597</v>
      </c>
      <c r="K119" s="251">
        <v>-139713</v>
      </c>
      <c r="L119" s="251">
        <v>-214905</v>
      </c>
      <c r="M119" s="251">
        <v>-261968</v>
      </c>
      <c r="N119" s="251">
        <v>-89148</v>
      </c>
      <c r="O119" s="251"/>
      <c r="P119" s="251">
        <f>-J112</f>
        <v>-242938</v>
      </c>
      <c r="Q119" s="251">
        <f>P119+N119</f>
        <v>-332086</v>
      </c>
    </row>
    <row r="120" spans="1:18" x14ac:dyDescent="0.6">
      <c r="A120" s="252" t="s">
        <v>94</v>
      </c>
      <c r="B120" s="251">
        <v>-847</v>
      </c>
      <c r="C120" s="251">
        <v>-26343</v>
      </c>
      <c r="D120" s="251">
        <v>0</v>
      </c>
      <c r="E120" s="251">
        <v>4493</v>
      </c>
      <c r="F120" s="251">
        <v>0</v>
      </c>
      <c r="G120" s="251">
        <v>25993</v>
      </c>
      <c r="H120" s="251">
        <v>26096</v>
      </c>
      <c r="I120" s="251">
        <v>41842</v>
      </c>
      <c r="J120" s="251">
        <v>3470</v>
      </c>
      <c r="K120" s="251">
        <v>38790</v>
      </c>
      <c r="L120" s="251">
        <v>38804</v>
      </c>
      <c r="M120" s="251">
        <v>51916</v>
      </c>
      <c r="N120" s="251">
        <v>9725</v>
      </c>
      <c r="O120" s="251"/>
      <c r="P120" s="251">
        <f>Q120-N120</f>
        <v>42191</v>
      </c>
      <c r="Q120" s="251">
        <f>M120</f>
        <v>51916</v>
      </c>
    </row>
    <row r="121" spans="1:18" x14ac:dyDescent="0.6">
      <c r="A121" s="252" t="s">
        <v>93</v>
      </c>
      <c r="B121" s="251">
        <v>-99566</v>
      </c>
      <c r="C121" s="251">
        <v>-225077</v>
      </c>
      <c r="D121" s="251">
        <v>-307068</v>
      </c>
      <c r="E121" s="251">
        <v>0</v>
      </c>
      <c r="F121" s="251">
        <v>0</v>
      </c>
      <c r="G121" s="251">
        <v>0</v>
      </c>
      <c r="H121" s="251">
        <v>0</v>
      </c>
      <c r="I121" s="251">
        <v>0</v>
      </c>
      <c r="J121" s="251">
        <v>0</v>
      </c>
      <c r="K121" s="251">
        <v>0</v>
      </c>
      <c r="L121" s="251">
        <v>0</v>
      </c>
      <c r="M121" s="251">
        <v>0</v>
      </c>
      <c r="N121" s="251">
        <v>0</v>
      </c>
      <c r="O121" s="251">
        <v>0</v>
      </c>
      <c r="P121" s="251">
        <v>0</v>
      </c>
      <c r="Q121" s="251">
        <v>0</v>
      </c>
    </row>
    <row r="122" spans="1:18" x14ac:dyDescent="0.6">
      <c r="A122" s="252" t="s">
        <v>92</v>
      </c>
      <c r="B122" s="251">
        <v>889595</v>
      </c>
      <c r="C122" s="251">
        <v>641870</v>
      </c>
      <c r="D122" s="251">
        <v>367611</v>
      </c>
      <c r="E122" s="251">
        <v>747575</v>
      </c>
      <c r="F122" s="251">
        <v>230258</v>
      </c>
      <c r="G122" s="251">
        <v>583152</v>
      </c>
      <c r="H122" s="251">
        <v>742267</v>
      </c>
      <c r="I122" s="251">
        <v>1354179</v>
      </c>
      <c r="J122" s="251">
        <v>244870</v>
      </c>
      <c r="K122" s="251">
        <v>1073541</v>
      </c>
      <c r="L122" s="251">
        <v>2136277</v>
      </c>
      <c r="M122" s="251">
        <v>3869262</v>
      </c>
      <c r="N122" s="251">
        <v>1389077</v>
      </c>
      <c r="O122" s="251"/>
      <c r="P122" s="251">
        <f>SUM(P118:P121)</f>
        <v>4396597.2363675646</v>
      </c>
      <c r="Q122" s="251">
        <f>SUM(Q118:Q121)</f>
        <v>5785674.2363675646</v>
      </c>
    </row>
    <row r="123" spans="1:18" x14ac:dyDescent="0.6">
      <c r="A123" s="252" t="s">
        <v>91</v>
      </c>
      <c r="B123" s="251">
        <v>-326052</v>
      </c>
      <c r="C123" s="251">
        <v>-452821</v>
      </c>
      <c r="D123" s="251">
        <v>-432055</v>
      </c>
      <c r="E123" s="251">
        <v>-406986</v>
      </c>
      <c r="F123" s="251">
        <v>-104591</v>
      </c>
      <c r="G123" s="251">
        <v>-214614</v>
      </c>
      <c r="H123" s="251">
        <v>-275395</v>
      </c>
      <c r="I123" s="251">
        <v>-378499</v>
      </c>
      <c r="J123" s="251">
        <v>-79131</v>
      </c>
      <c r="K123" s="251">
        <v>-187856</v>
      </c>
      <c r="L123" s="251">
        <v>-276211</v>
      </c>
      <c r="M123" s="251">
        <v>-357404</v>
      </c>
      <c r="N123" s="251">
        <v>-37232</v>
      </c>
      <c r="O123" s="251"/>
      <c r="P123" s="251">
        <f>Q123-N123</f>
        <v>-320172</v>
      </c>
      <c r="Q123" s="251">
        <f>M123</f>
        <v>-357404</v>
      </c>
    </row>
    <row r="124" spans="1:18" x14ac:dyDescent="0.6">
      <c r="A124" s="252" t="s">
        <v>89</v>
      </c>
      <c r="B124" s="251">
        <v>494261</v>
      </c>
      <c r="C124" s="251">
        <v>574643</v>
      </c>
      <c r="D124" s="251">
        <v>352397</v>
      </c>
      <c r="E124" s="251">
        <v>387216</v>
      </c>
      <c r="F124" s="251">
        <v>14042</v>
      </c>
      <c r="G124" s="251">
        <v>0</v>
      </c>
      <c r="H124" s="251">
        <v>0</v>
      </c>
      <c r="I124" s="251">
        <v>325833</v>
      </c>
      <c r="J124" s="251">
        <v>0</v>
      </c>
      <c r="K124" s="251">
        <v>74916</v>
      </c>
      <c r="L124" s="251">
        <v>20527</v>
      </c>
      <c r="M124" s="251">
        <v>710789</v>
      </c>
      <c r="N124" s="251">
        <v>50185</v>
      </c>
      <c r="O124" s="251"/>
      <c r="P124" s="251">
        <f>Q124-N124</f>
        <v>275648</v>
      </c>
      <c r="Q124" s="251">
        <f>I124</f>
        <v>325833</v>
      </c>
    </row>
    <row r="125" spans="1:18" x14ac:dyDescent="0.6">
      <c r="A125" s="252" t="s">
        <v>88</v>
      </c>
      <c r="B125" s="251">
        <v>0</v>
      </c>
      <c r="C125" s="251">
        <v>0</v>
      </c>
      <c r="D125" s="251">
        <v>0</v>
      </c>
      <c r="E125" s="251">
        <v>0</v>
      </c>
      <c r="F125" s="251">
        <v>17962</v>
      </c>
      <c r="G125" s="251">
        <v>-46312</v>
      </c>
      <c r="H125" s="251">
        <v>-33223</v>
      </c>
      <c r="I125" s="251">
        <v>0</v>
      </c>
      <c r="J125" s="251">
        <v>2803</v>
      </c>
      <c r="K125" s="251">
        <v>0</v>
      </c>
      <c r="L125" s="251">
        <v>0</v>
      </c>
      <c r="M125" s="251">
        <v>0</v>
      </c>
      <c r="N125" s="251">
        <v>0</v>
      </c>
      <c r="O125" s="251"/>
      <c r="P125" s="251">
        <v>0</v>
      </c>
      <c r="Q125" s="251">
        <v>0</v>
      </c>
    </row>
    <row r="126" spans="1:18" x14ac:dyDescent="0.6">
      <c r="A126" s="252" t="s">
        <v>87</v>
      </c>
      <c r="B126" s="251">
        <v>1057804</v>
      </c>
      <c r="C126" s="251">
        <v>763692</v>
      </c>
      <c r="D126" s="251">
        <v>287953</v>
      </c>
      <c r="E126" s="251">
        <v>727805</v>
      </c>
      <c r="F126" s="251">
        <v>157671</v>
      </c>
      <c r="G126" s="251">
        <v>322226</v>
      </c>
      <c r="H126" s="251">
        <v>433649</v>
      </c>
      <c r="I126" s="251">
        <v>1301513</v>
      </c>
      <c r="J126" s="251">
        <v>168542</v>
      </c>
      <c r="K126" s="251">
        <v>960601</v>
      </c>
      <c r="L126" s="251">
        <v>1880593</v>
      </c>
      <c r="M126" s="251">
        <v>4222647</v>
      </c>
      <c r="N126" s="251">
        <v>1402030</v>
      </c>
      <c r="O126" s="251"/>
      <c r="P126" s="251">
        <f>SUM(P122:P125)</f>
        <v>4352073.2363675646</v>
      </c>
      <c r="Q126" s="251">
        <f>SUM(Q122:Q125)</f>
        <v>5754103.2363675646</v>
      </c>
    </row>
    <row r="127" spans="1:18" x14ac:dyDescent="0.6">
      <c r="A127" s="252" t="s">
        <v>83</v>
      </c>
      <c r="B127" s="251">
        <v>-140111</v>
      </c>
      <c r="C127" s="251">
        <v>-44705</v>
      </c>
      <c r="D127" s="251">
        <v>-84163</v>
      </c>
      <c r="E127" s="251">
        <v>-69434</v>
      </c>
      <c r="F127" s="251">
        <v>-26863</v>
      </c>
      <c r="G127" s="251">
        <v>-59271</v>
      </c>
      <c r="H127" s="251">
        <v>-81965</v>
      </c>
      <c r="I127" s="251">
        <v>-166810</v>
      </c>
      <c r="J127" s="251">
        <v>-39634</v>
      </c>
      <c r="K127" s="251">
        <v>-186748</v>
      </c>
      <c r="L127" s="251">
        <v>-366377</v>
      </c>
      <c r="M127" s="251">
        <v>-553908</v>
      </c>
      <c r="N127" s="251">
        <v>-257391</v>
      </c>
      <c r="O127" s="251"/>
      <c r="P127" s="251">
        <f>P126*Q131</f>
        <v>-570885.55643175589</v>
      </c>
      <c r="Q127" s="251">
        <f>Q126*Q131</f>
        <v>-754797.59862708976</v>
      </c>
      <c r="R127" s="3" t="s">
        <v>496</v>
      </c>
    </row>
    <row r="128" spans="1:18" x14ac:dyDescent="0.6">
      <c r="A128" s="252" t="s">
        <v>86</v>
      </c>
      <c r="B128" s="251">
        <v>917693</v>
      </c>
      <c r="C128" s="251">
        <v>718987</v>
      </c>
      <c r="D128" s="251">
        <v>203790</v>
      </c>
      <c r="E128" s="251">
        <v>658371</v>
      </c>
      <c r="F128" s="251">
        <v>130808</v>
      </c>
      <c r="G128" s="251">
        <v>262955</v>
      </c>
      <c r="H128" s="251">
        <v>351684</v>
      </c>
      <c r="I128" s="251">
        <v>1134703</v>
      </c>
      <c r="J128" s="251">
        <v>128908</v>
      </c>
      <c r="K128" s="251">
        <v>773853</v>
      </c>
      <c r="L128" s="251">
        <v>1514216</v>
      </c>
      <c r="M128" s="251">
        <v>3668739</v>
      </c>
      <c r="N128" s="251">
        <v>1144639</v>
      </c>
      <c r="O128" s="251"/>
      <c r="P128" s="251">
        <f>SUM(P126:P127)</f>
        <v>3781187.6799358088</v>
      </c>
      <c r="Q128" s="251">
        <f>SUM(Q126:Q127)</f>
        <v>4999305.6377404751</v>
      </c>
    </row>
    <row r="129" spans="1:23" x14ac:dyDescent="0.6">
      <c r="A129" s="252" t="s">
        <v>85</v>
      </c>
      <c r="B129" s="251">
        <v>482</v>
      </c>
      <c r="C129" s="251">
        <v>378</v>
      </c>
      <c r="D129" s="251">
        <v>49</v>
      </c>
      <c r="E129" s="251">
        <v>158</v>
      </c>
      <c r="F129" s="251">
        <v>26</v>
      </c>
      <c r="G129" s="251">
        <v>53</v>
      </c>
      <c r="H129" s="251">
        <v>70</v>
      </c>
      <c r="I129" s="251">
        <v>227</v>
      </c>
      <c r="J129" s="251">
        <v>26</v>
      </c>
      <c r="K129" s="251">
        <v>155</v>
      </c>
      <c r="L129" s="251">
        <v>303</v>
      </c>
      <c r="M129" s="251">
        <v>735</v>
      </c>
      <c r="N129" s="251">
        <v>208</v>
      </c>
      <c r="O129" s="251"/>
      <c r="P129" s="251">
        <f>P128*1000/P130</f>
        <v>687.48866907923798</v>
      </c>
      <c r="Q129" s="251">
        <f>Q128*1000/Q130</f>
        <v>908.96466140735902</v>
      </c>
    </row>
    <row r="130" spans="1:23" x14ac:dyDescent="0.6">
      <c r="A130" s="252" t="s">
        <v>84</v>
      </c>
      <c r="B130" s="251">
        <v>1903000</v>
      </c>
      <c r="C130" s="251">
        <v>1903000</v>
      </c>
      <c r="D130" s="251">
        <v>4160000</v>
      </c>
      <c r="E130" s="251">
        <v>4160000</v>
      </c>
      <c r="F130" s="251">
        <v>4990000</v>
      </c>
      <c r="G130" s="251">
        <v>4990000</v>
      </c>
      <c r="H130" s="251">
        <v>4990000</v>
      </c>
      <c r="I130" s="251">
        <v>4990000</v>
      </c>
      <c r="J130" s="251">
        <v>4990000</v>
      </c>
      <c r="K130" s="251">
        <v>4990000</v>
      </c>
      <c r="L130" s="251">
        <v>4990000</v>
      </c>
      <c r="M130" s="251">
        <v>4990000</v>
      </c>
      <c r="N130" s="251">
        <v>5500000</v>
      </c>
      <c r="O130" s="251">
        <v>5500000</v>
      </c>
      <c r="P130" s="251">
        <v>5500000</v>
      </c>
      <c r="Q130" s="251">
        <v>5500000</v>
      </c>
      <c r="W130" s="239"/>
    </row>
    <row r="131" spans="1:23" x14ac:dyDescent="0.6">
      <c r="A131" s="3" t="s">
        <v>83</v>
      </c>
      <c r="B131" s="250">
        <f t="shared" ref="B131:N131" si="52">B127/B126</f>
        <v>-0.13245459461299069</v>
      </c>
      <c r="C131" s="250">
        <f t="shared" si="52"/>
        <v>-5.8537996993552374E-2</v>
      </c>
      <c r="D131" s="250">
        <f t="shared" si="52"/>
        <v>-0.29228033741617554</v>
      </c>
      <c r="E131" s="250">
        <f t="shared" si="52"/>
        <v>-9.5401927714154205E-2</v>
      </c>
      <c r="F131" s="250">
        <f t="shared" si="52"/>
        <v>-0.17037375294125109</v>
      </c>
      <c r="G131" s="250">
        <f t="shared" si="52"/>
        <v>-0.18394232619341705</v>
      </c>
      <c r="H131" s="250">
        <f t="shared" si="52"/>
        <v>-0.18901231180055758</v>
      </c>
      <c r="I131" s="250">
        <f t="shared" si="52"/>
        <v>-0.12816621885451779</v>
      </c>
      <c r="J131" s="250">
        <f t="shared" si="52"/>
        <v>-0.23515800215969906</v>
      </c>
      <c r="K131" s="250">
        <f t="shared" si="52"/>
        <v>-0.19440745949671093</v>
      </c>
      <c r="L131" s="250">
        <f t="shared" si="52"/>
        <v>-0.19481993179810836</v>
      </c>
      <c r="M131" s="250">
        <f t="shared" si="52"/>
        <v>-0.1311755398923945</v>
      </c>
      <c r="N131" s="250">
        <f t="shared" si="52"/>
        <v>-0.18358451673644643</v>
      </c>
      <c r="O131" s="249"/>
      <c r="P131" s="249"/>
      <c r="Q131" s="248">
        <f>M131</f>
        <v>-0.1311755398923945</v>
      </c>
    </row>
    <row r="132" spans="1:23" ht="40.5" x14ac:dyDescent="1.05">
      <c r="A132" s="95" t="s">
        <v>82</v>
      </c>
      <c r="B132" s="91" t="s">
        <v>81</v>
      </c>
      <c r="C132" s="91" t="s">
        <v>80</v>
      </c>
      <c r="D132" s="91" t="s">
        <v>79</v>
      </c>
      <c r="E132" s="91" t="s">
        <v>78</v>
      </c>
      <c r="F132" s="91" t="s">
        <v>77</v>
      </c>
      <c r="G132" s="91" t="s">
        <v>76</v>
      </c>
      <c r="H132" s="91" t="s">
        <v>75</v>
      </c>
      <c r="I132" s="91" t="s">
        <v>74</v>
      </c>
      <c r="J132" s="91" t="s">
        <v>73</v>
      </c>
      <c r="K132" s="91" t="s">
        <v>72</v>
      </c>
      <c r="L132" s="91" t="s">
        <v>71</v>
      </c>
      <c r="M132" s="91" t="s">
        <v>70</v>
      </c>
      <c r="N132" s="91" t="s">
        <v>69</v>
      </c>
      <c r="O132" s="91" t="s">
        <v>68</v>
      </c>
      <c r="P132" s="91" t="s">
        <v>67</v>
      </c>
      <c r="Q132" s="91" t="s">
        <v>66</v>
      </c>
    </row>
    <row r="133" spans="1:23" x14ac:dyDescent="0.6">
      <c r="A133" s="93" t="s">
        <v>65</v>
      </c>
      <c r="B133" s="247">
        <f t="shared" ref="B133:N133" si="53">B118/B116</f>
        <v>0.15843743012428826</v>
      </c>
      <c r="C133" s="247">
        <f t="shared" si="53"/>
        <v>0.11120971367841238</v>
      </c>
      <c r="D133" s="247">
        <f t="shared" si="53"/>
        <v>0.13951943754417975</v>
      </c>
      <c r="E133" s="247">
        <f t="shared" si="53"/>
        <v>0.13204166803280609</v>
      </c>
      <c r="F133" s="247">
        <f t="shared" si="53"/>
        <v>0.12979998185093966</v>
      </c>
      <c r="G133" s="247">
        <f t="shared" si="53"/>
        <v>0.15184723161230748</v>
      </c>
      <c r="H133" s="247">
        <f t="shared" si="53"/>
        <v>0.1229999482925918</v>
      </c>
      <c r="I133" s="247">
        <f t="shared" si="53"/>
        <v>0.14994661556361646</v>
      </c>
      <c r="J133" s="247">
        <f t="shared" si="53"/>
        <v>0.10565923569570963</v>
      </c>
      <c r="K133" s="247">
        <f t="shared" si="53"/>
        <v>0.1568549727488685</v>
      </c>
      <c r="L133" s="247">
        <f t="shared" si="53"/>
        <v>0.17999996419271264</v>
      </c>
      <c r="M133" s="247">
        <f t="shared" si="53"/>
        <v>0.22292184821704392</v>
      </c>
      <c r="N133" s="247">
        <f t="shared" si="53"/>
        <v>0.21416642736710051</v>
      </c>
      <c r="O133" s="247"/>
      <c r="P133" s="247">
        <f>P118/P116</f>
        <v>0.244342020186081</v>
      </c>
      <c r="Q133" s="247">
        <f>Q118/Q116</f>
        <v>0.23628232977255786</v>
      </c>
    </row>
    <row r="134" spans="1:23" x14ac:dyDescent="0.6">
      <c r="A134" s="91" t="s">
        <v>64</v>
      </c>
      <c r="B134" s="246">
        <f t="shared" ref="B134:N134" si="54">B122/B116</f>
        <v>0.1424895903209045</v>
      </c>
      <c r="C134" s="246">
        <f t="shared" si="54"/>
        <v>8.2337419610152132E-2</v>
      </c>
      <c r="D134" s="246">
        <f t="shared" si="54"/>
        <v>6.3025795741154148E-2</v>
      </c>
      <c r="E134" s="246">
        <f t="shared" si="54"/>
        <v>0.10298739560743242</v>
      </c>
      <c r="F134" s="246">
        <f t="shared" si="54"/>
        <v>0.10499915410786652</v>
      </c>
      <c r="G134" s="246">
        <f t="shared" si="54"/>
        <v>0.13159578894919605</v>
      </c>
      <c r="H134" s="246">
        <f t="shared" si="54"/>
        <v>0.10457957157242229</v>
      </c>
      <c r="I134" s="246">
        <f t="shared" si="54"/>
        <v>0.13240308182680369</v>
      </c>
      <c r="J134" s="246">
        <f t="shared" si="54"/>
        <v>8.6243452583887228E-2</v>
      </c>
      <c r="K134" s="246">
        <f t="shared" si="54"/>
        <v>0.14337625018714326</v>
      </c>
      <c r="L134" s="246">
        <f t="shared" si="54"/>
        <v>0.16629192264660692</v>
      </c>
      <c r="M134" s="246">
        <f t="shared" si="54"/>
        <v>0.21144315840260783</v>
      </c>
      <c r="N134" s="246">
        <f t="shared" si="54"/>
        <v>0.20258335609656783</v>
      </c>
      <c r="O134" s="246"/>
      <c r="P134" s="246">
        <f>P122/P116</f>
        <v>0.23367261519824586</v>
      </c>
      <c r="Q134" s="246">
        <f>Q122/Q116</f>
        <v>0.22536889089203363</v>
      </c>
    </row>
    <row r="135" spans="1:23" x14ac:dyDescent="0.6">
      <c r="A135" s="89" t="s">
        <v>63</v>
      </c>
      <c r="B135" s="245">
        <f t="shared" ref="B135:N135" si="55">B128/B116</f>
        <v>0.14699014676382155</v>
      </c>
      <c r="C135" s="245">
        <f t="shared" si="55"/>
        <v>9.2229788451313272E-2</v>
      </c>
      <c r="D135" s="245">
        <f t="shared" si="55"/>
        <v>3.4939180041102698E-2</v>
      </c>
      <c r="E135" s="245">
        <f t="shared" si="55"/>
        <v>9.0698477923232976E-2</v>
      </c>
      <c r="F135" s="245">
        <f t="shared" si="55"/>
        <v>5.9649303609610974E-2</v>
      </c>
      <c r="G135" s="245">
        <f t="shared" si="55"/>
        <v>5.9339195755370555E-2</v>
      </c>
      <c r="H135" s="245">
        <f t="shared" si="55"/>
        <v>4.9549504489456969E-2</v>
      </c>
      <c r="I135" s="245">
        <f t="shared" si="55"/>
        <v>0.11094410277970609</v>
      </c>
      <c r="J135" s="245">
        <f t="shared" si="55"/>
        <v>4.5401523198773774E-2</v>
      </c>
      <c r="K135" s="245">
        <f t="shared" si="55"/>
        <v>0.10335156397014308</v>
      </c>
      <c r="L135" s="245">
        <f t="shared" si="55"/>
        <v>0.11786949442523349</v>
      </c>
      <c r="M135" s="245">
        <f t="shared" si="55"/>
        <v>0.20048519886087451</v>
      </c>
      <c r="N135" s="245">
        <f t="shared" si="55"/>
        <v>0.16693445369768509</v>
      </c>
      <c r="O135" s="245"/>
      <c r="P135" s="245">
        <f>P128/P116</f>
        <v>0.20096451101260732</v>
      </c>
      <c r="Q135" s="245">
        <f>Q128/Q116</f>
        <v>0.19473753978848857</v>
      </c>
    </row>
    <row r="137" spans="1:23" x14ac:dyDescent="0.6">
      <c r="A137" s="81"/>
      <c r="B137" s="81" t="s">
        <v>81</v>
      </c>
      <c r="C137" s="81" t="s">
        <v>80</v>
      </c>
      <c r="D137" s="81" t="s">
        <v>79</v>
      </c>
      <c r="E137" s="81" t="s">
        <v>78</v>
      </c>
      <c r="F137" s="81" t="s">
        <v>74</v>
      </c>
      <c r="G137" s="81" t="s">
        <v>70</v>
      </c>
      <c r="H137" s="81" t="s">
        <v>69</v>
      </c>
      <c r="I137" s="81" t="s">
        <v>66</v>
      </c>
    </row>
    <row r="138" spans="1:23" ht="25.5" x14ac:dyDescent="0.7">
      <c r="A138" s="637" t="s">
        <v>441</v>
      </c>
      <c r="B138" s="639">
        <f>B116*1000/B130</f>
        <v>3280.7293746715713</v>
      </c>
      <c r="C138" s="639">
        <f>C116*1000/C130</f>
        <v>4096.4818707304257</v>
      </c>
      <c r="D138" s="639">
        <f>D116*1000/D130</f>
        <v>1402.0930288461539</v>
      </c>
      <c r="E138" s="639">
        <f>E116*1000/E130</f>
        <v>1744.9274038461538</v>
      </c>
      <c r="F138" s="639">
        <f>I116*1000/I130</f>
        <v>2049.6392785571143</v>
      </c>
      <c r="G138" s="639">
        <f>M116*1000/M130</f>
        <v>3667.1945891783566</v>
      </c>
      <c r="H138" s="639">
        <f>N116*1000/N130</f>
        <v>1246.694</v>
      </c>
      <c r="I138" s="639">
        <f>Q116*1000/Q130</f>
        <v>4667.6396466475771</v>
      </c>
    </row>
    <row r="139" spans="1:23" ht="25.5" x14ac:dyDescent="0.7">
      <c r="A139" s="638" t="s">
        <v>442</v>
      </c>
      <c r="B139" s="647">
        <f>B231*1000/B130</f>
        <v>1658.1108775617447</v>
      </c>
      <c r="C139" s="647">
        <f>C231*1000/C130</f>
        <v>1585.9285338938519</v>
      </c>
      <c r="D139" s="647">
        <f>D231*1000/D130</f>
        <v>1116.8711538461539</v>
      </c>
      <c r="E139" s="647">
        <f>E231*1000/E130</f>
        <v>1389.7105769230768</v>
      </c>
      <c r="F139" s="647">
        <f>F231*1000/I130</f>
        <v>1304.204008016032</v>
      </c>
      <c r="G139" s="647">
        <f>G231*1000/M130</f>
        <v>1903.4222444889779</v>
      </c>
      <c r="H139" s="647">
        <f>H231*1000/N130</f>
        <v>1935.0392727272726</v>
      </c>
      <c r="I139" s="647"/>
    </row>
    <row r="144" spans="1:23" x14ac:dyDescent="0.6">
      <c r="A144" s="87" t="s">
        <v>60</v>
      </c>
    </row>
    <row r="145" spans="1:21" x14ac:dyDescent="0.6">
      <c r="A145" s="241" t="s">
        <v>59</v>
      </c>
      <c r="B145" s="241"/>
      <c r="C145" s="241" t="s">
        <v>57</v>
      </c>
      <c r="D145" s="241"/>
      <c r="E145" s="241"/>
      <c r="F145" s="241"/>
      <c r="G145" s="241" t="s">
        <v>58</v>
      </c>
      <c r="H145" s="241"/>
      <c r="I145" s="241"/>
      <c r="J145" s="241" t="s">
        <v>467</v>
      </c>
      <c r="K145" s="241"/>
      <c r="L145" s="241"/>
      <c r="M145" s="241"/>
      <c r="N145" s="241" t="s">
        <v>468</v>
      </c>
      <c r="O145" s="241"/>
      <c r="P145" s="241"/>
      <c r="Q145" s="241"/>
      <c r="R145" s="241" t="s">
        <v>469</v>
      </c>
      <c r="S145" s="241"/>
      <c r="T145" s="241"/>
      <c r="U145" s="241"/>
    </row>
    <row r="146" spans="1:21" x14ac:dyDescent="0.6">
      <c r="A146" s="241" t="s">
        <v>51</v>
      </c>
      <c r="B146" s="241" t="s">
        <v>56</v>
      </c>
      <c r="C146" s="241" t="s">
        <v>55</v>
      </c>
      <c r="D146" s="241" t="s">
        <v>54</v>
      </c>
      <c r="E146" s="241" t="s">
        <v>53</v>
      </c>
      <c r="F146" s="241" t="s">
        <v>52</v>
      </c>
      <c r="G146" s="241" t="s">
        <v>55</v>
      </c>
      <c r="H146" s="241" t="s">
        <v>54</v>
      </c>
      <c r="I146" s="241" t="s">
        <v>52</v>
      </c>
      <c r="J146" s="241" t="s">
        <v>55</v>
      </c>
      <c r="K146" s="241" t="s">
        <v>54</v>
      </c>
      <c r="L146" s="241" t="s">
        <v>53</v>
      </c>
      <c r="M146" s="241" t="s">
        <v>52</v>
      </c>
      <c r="N146" s="241" t="s">
        <v>55</v>
      </c>
      <c r="O146" s="241" t="s">
        <v>54</v>
      </c>
      <c r="P146" s="241" t="s">
        <v>53</v>
      </c>
      <c r="Q146" s="241" t="s">
        <v>52</v>
      </c>
      <c r="R146" s="241" t="s">
        <v>55</v>
      </c>
      <c r="S146" s="241" t="s">
        <v>54</v>
      </c>
      <c r="T146" s="241" t="s">
        <v>53</v>
      </c>
      <c r="U146" s="241" t="s">
        <v>52</v>
      </c>
    </row>
    <row r="147" spans="1:21" x14ac:dyDescent="0.6">
      <c r="A147" s="241" t="s">
        <v>191</v>
      </c>
      <c r="B147" s="241" t="s">
        <v>188</v>
      </c>
      <c r="C147" s="240">
        <v>149882</v>
      </c>
      <c r="D147" s="240">
        <v>148724</v>
      </c>
      <c r="E147" s="240">
        <v>65633543</v>
      </c>
      <c r="F147" s="240">
        <v>9761283</v>
      </c>
      <c r="G147" s="242">
        <v>0</v>
      </c>
      <c r="H147" s="242">
        <v>0</v>
      </c>
      <c r="I147" s="242">
        <v>0</v>
      </c>
      <c r="J147" s="240">
        <v>149882</v>
      </c>
      <c r="K147" s="240">
        <v>148724</v>
      </c>
      <c r="L147" s="240">
        <v>65633543</v>
      </c>
      <c r="M147" s="240">
        <v>9761283</v>
      </c>
      <c r="N147" s="240">
        <v>26393</v>
      </c>
      <c r="O147" s="240">
        <v>23036</v>
      </c>
      <c r="P147" s="240">
        <v>70865688</v>
      </c>
      <c r="Q147" s="240">
        <v>1632462</v>
      </c>
      <c r="R147" s="240">
        <v>176275</v>
      </c>
      <c r="S147" s="240">
        <v>171760</v>
      </c>
      <c r="T147" s="240">
        <v>66335264</v>
      </c>
      <c r="U147" s="240">
        <v>11393745</v>
      </c>
    </row>
    <row r="148" spans="1:21" x14ac:dyDescent="0.6">
      <c r="A148" s="241" t="s">
        <v>190</v>
      </c>
      <c r="B148" s="241" t="s">
        <v>188</v>
      </c>
      <c r="C148" s="240">
        <v>40141</v>
      </c>
      <c r="D148" s="240">
        <v>39536</v>
      </c>
      <c r="E148" s="240">
        <v>42030377</v>
      </c>
      <c r="F148" s="240">
        <v>1661713</v>
      </c>
      <c r="G148" s="242">
        <v>0</v>
      </c>
      <c r="H148" s="242">
        <v>0</v>
      </c>
      <c r="I148" s="242">
        <v>0</v>
      </c>
      <c r="J148" s="240">
        <v>40141</v>
      </c>
      <c r="K148" s="240">
        <v>39536</v>
      </c>
      <c r="L148" s="240">
        <v>42030377</v>
      </c>
      <c r="M148" s="240">
        <v>1661713</v>
      </c>
      <c r="N148" s="240">
        <v>12605</v>
      </c>
      <c r="O148" s="240">
        <v>12281</v>
      </c>
      <c r="P148" s="240">
        <v>45050647</v>
      </c>
      <c r="Q148" s="240">
        <v>553267</v>
      </c>
      <c r="R148" s="240">
        <v>52746</v>
      </c>
      <c r="S148" s="240">
        <v>51817</v>
      </c>
      <c r="T148" s="240">
        <v>42746203</v>
      </c>
      <c r="U148" s="240">
        <v>2214980</v>
      </c>
    </row>
    <row r="149" spans="1:21" x14ac:dyDescent="0.6">
      <c r="A149" s="241" t="s">
        <v>189</v>
      </c>
      <c r="B149" s="241" t="s">
        <v>188</v>
      </c>
      <c r="C149" s="242">
        <v>384</v>
      </c>
      <c r="D149" s="242">
        <v>974</v>
      </c>
      <c r="E149" s="240">
        <v>42196099</v>
      </c>
      <c r="F149" s="240">
        <v>41099</v>
      </c>
      <c r="G149" s="242">
        <v>0</v>
      </c>
      <c r="H149" s="242">
        <v>0</v>
      </c>
      <c r="I149" s="242">
        <v>0</v>
      </c>
      <c r="J149" s="242">
        <v>384</v>
      </c>
      <c r="K149" s="242">
        <v>974</v>
      </c>
      <c r="L149" s="240">
        <v>42196099</v>
      </c>
      <c r="M149" s="240">
        <v>41099</v>
      </c>
      <c r="N149" s="242">
        <v>19</v>
      </c>
      <c r="O149" s="242">
        <v>346</v>
      </c>
      <c r="P149" s="240">
        <v>37627168</v>
      </c>
      <c r="Q149" s="240">
        <v>13019</v>
      </c>
      <c r="R149" s="242">
        <v>403</v>
      </c>
      <c r="S149" s="242">
        <v>1320</v>
      </c>
      <c r="T149" s="240">
        <v>40998485</v>
      </c>
      <c r="U149" s="240">
        <v>54118</v>
      </c>
    </row>
    <row r="150" spans="1:21" x14ac:dyDescent="0.6">
      <c r="A150" s="241" t="s">
        <v>45</v>
      </c>
      <c r="B150" s="241"/>
      <c r="C150" s="241"/>
      <c r="D150" s="241"/>
      <c r="E150" s="241"/>
      <c r="F150" s="240">
        <v>11464095</v>
      </c>
      <c r="G150" s="241"/>
      <c r="H150" s="241"/>
      <c r="I150" s="242">
        <v>0</v>
      </c>
      <c r="J150" s="241"/>
      <c r="K150" s="241"/>
      <c r="L150" s="241"/>
      <c r="M150" s="240">
        <v>11464095</v>
      </c>
      <c r="N150" s="241"/>
      <c r="O150" s="241"/>
      <c r="P150" s="241"/>
      <c r="Q150" s="240">
        <v>2198748</v>
      </c>
      <c r="R150" s="241"/>
      <c r="S150" s="241"/>
      <c r="T150" s="241"/>
      <c r="U150" s="240">
        <v>13662843</v>
      </c>
    </row>
    <row r="151" spans="1:21" x14ac:dyDescent="0.6">
      <c r="N151" s="239">
        <f>SUM(N147:N150)</f>
        <v>39017</v>
      </c>
      <c r="R151" s="239">
        <f>SUM(R147:R150)</f>
        <v>229424</v>
      </c>
      <c r="S151" s="239">
        <f>SUM(S147:S150)</f>
        <v>224897</v>
      </c>
    </row>
    <row r="154" spans="1:21" x14ac:dyDescent="0.6">
      <c r="A154" s="1036" t="s">
        <v>44</v>
      </c>
    </row>
    <row r="155" spans="1:21" x14ac:dyDescent="0.6">
      <c r="A155" s="1036"/>
      <c r="D155" s="194"/>
      <c r="E155" s="244"/>
      <c r="F155" s="194"/>
      <c r="G155" s="194"/>
      <c r="H155" s="194"/>
      <c r="I155" s="194"/>
      <c r="J155" s="194"/>
      <c r="K155" s="194"/>
    </row>
    <row r="156" spans="1:21" ht="23.25" thickBot="1" x14ac:dyDescent="0.65">
      <c r="A156" s="1036"/>
      <c r="B156" s="82"/>
      <c r="C156" s="81" t="s">
        <v>43</v>
      </c>
      <c r="D156" s="82" t="s">
        <v>42</v>
      </c>
      <c r="E156" s="81" t="s">
        <v>41</v>
      </c>
      <c r="F156" s="82" t="s">
        <v>40</v>
      </c>
      <c r="G156" s="82" t="s">
        <v>39</v>
      </c>
      <c r="H156" s="82" t="s">
        <v>38</v>
      </c>
      <c r="I156" s="82" t="s">
        <v>37</v>
      </c>
      <c r="J156" s="82" t="s">
        <v>36</v>
      </c>
      <c r="K156" s="82" t="s">
        <v>35</v>
      </c>
      <c r="L156" s="81" t="s">
        <v>34</v>
      </c>
    </row>
    <row r="157" spans="1:21" ht="24" thickTop="1" thickBot="1" x14ac:dyDescent="0.65">
      <c r="A157" s="751" t="s">
        <v>194</v>
      </c>
      <c r="B157" s="752">
        <f>H157</f>
        <v>416522</v>
      </c>
      <c r="C157" s="399"/>
      <c r="D157" s="753">
        <f>AVERAGE(M5,I5,E5,C5,B5)</f>
        <v>390566.40000000002</v>
      </c>
      <c r="E157" s="753">
        <f>N151</f>
        <v>39017</v>
      </c>
      <c r="F157" s="753">
        <f>R151</f>
        <v>229424</v>
      </c>
      <c r="G157" s="753">
        <f>N5*M5/J5</f>
        <v>523772.09829479893</v>
      </c>
      <c r="H157" s="753">
        <f>MAX(M5,I5,B5:E5)</f>
        <v>416522</v>
      </c>
      <c r="I157" s="753">
        <f>MIN(M5,I5,B5:E5)</f>
        <v>299598</v>
      </c>
      <c r="J157" s="753">
        <f>AVERAGE(D157:I157)</f>
        <v>316483.24971579982</v>
      </c>
      <c r="K157" s="753">
        <v>410000</v>
      </c>
      <c r="L157" s="399"/>
    </row>
    <row r="158" spans="1:21" ht="24" thickTop="1" thickBot="1" x14ac:dyDescent="0.65">
      <c r="A158" s="741" t="s">
        <v>193</v>
      </c>
      <c r="B158" s="747">
        <f>C158-15</f>
        <v>340</v>
      </c>
      <c r="C158" s="655">
        <f>پنل!B2</f>
        <v>355</v>
      </c>
      <c r="D158" s="738"/>
      <c r="E158" s="742"/>
      <c r="F158" s="738"/>
      <c r="G158" s="738"/>
      <c r="H158" s="738"/>
      <c r="I158" s="738"/>
      <c r="J158" s="738"/>
      <c r="K158" s="738"/>
      <c r="L158" s="742"/>
    </row>
    <row r="159" spans="1:21" ht="24" thickTop="1" thickBot="1" x14ac:dyDescent="0.65">
      <c r="A159" s="739" t="s">
        <v>192</v>
      </c>
      <c r="B159" s="746">
        <f>B158*B162</f>
        <v>37400000</v>
      </c>
      <c r="C159" s="736">
        <f>C158*B162</f>
        <v>39050000</v>
      </c>
      <c r="D159" s="736"/>
      <c r="E159" s="736">
        <f>P149</f>
        <v>37627168</v>
      </c>
      <c r="F159" s="736">
        <f>T149</f>
        <v>40998485</v>
      </c>
      <c r="G159" s="736">
        <f>N33</f>
        <v>43332394.366197184</v>
      </c>
      <c r="H159" s="736"/>
      <c r="I159" s="736"/>
      <c r="J159" s="736"/>
      <c r="K159" s="736"/>
      <c r="L159" s="740"/>
    </row>
    <row r="160" spans="1:21" ht="24" thickTop="1" thickBot="1" x14ac:dyDescent="0.65">
      <c r="A160" s="748" t="s">
        <v>470</v>
      </c>
      <c r="B160" s="749">
        <f>C158+285</f>
        <v>640</v>
      </c>
      <c r="C160" s="733" t="s">
        <v>497</v>
      </c>
      <c r="D160" s="733"/>
      <c r="E160" s="733"/>
      <c r="F160" s="733"/>
      <c r="G160" s="733"/>
      <c r="H160" s="733"/>
      <c r="I160" s="733"/>
      <c r="J160" s="733"/>
      <c r="K160" s="733"/>
      <c r="L160" s="750"/>
    </row>
    <row r="161" spans="1:19" ht="24" thickTop="1" thickBot="1" x14ac:dyDescent="0.65">
      <c r="A161" s="238" t="s">
        <v>471</v>
      </c>
      <c r="B161" s="237">
        <f>B160*B162</f>
        <v>70400000</v>
      </c>
      <c r="C161" s="243" t="s">
        <v>500</v>
      </c>
      <c r="D161" s="243"/>
      <c r="E161" s="243">
        <f>P147</f>
        <v>70865688</v>
      </c>
      <c r="F161" s="243">
        <f>T147</f>
        <v>66335264</v>
      </c>
      <c r="G161" s="243">
        <f>N32</f>
        <v>63159970.722186074</v>
      </c>
      <c r="H161" s="243"/>
      <c r="I161" s="243"/>
      <c r="J161" s="243"/>
      <c r="K161" s="243"/>
      <c r="L161" s="393"/>
    </row>
    <row r="162" spans="1:19" ht="24" thickTop="1" thickBot="1" x14ac:dyDescent="0.65">
      <c r="A162" s="743" t="s">
        <v>26</v>
      </c>
      <c r="B162" s="745">
        <f>C162</f>
        <v>110000</v>
      </c>
      <c r="C162" s="718">
        <f>پنل!B1</f>
        <v>110000</v>
      </c>
      <c r="D162" s="744"/>
      <c r="E162" s="717"/>
      <c r="F162" s="744"/>
      <c r="G162" s="744"/>
      <c r="H162" s="744"/>
      <c r="I162" s="744"/>
      <c r="J162" s="744"/>
      <c r="K162" s="744"/>
      <c r="L162" s="717"/>
    </row>
    <row r="163" spans="1:19" ht="24" thickTop="1" thickBot="1" x14ac:dyDescent="0.65">
      <c r="A163" s="751" t="s">
        <v>31</v>
      </c>
      <c r="B163" s="754">
        <f>پنل!B6</f>
        <v>39050000</v>
      </c>
      <c r="C163" s="399"/>
      <c r="D163" s="755"/>
      <c r="E163" s="399"/>
      <c r="F163" s="755"/>
      <c r="G163" s="755"/>
      <c r="H163" s="753"/>
      <c r="I163" s="753"/>
      <c r="J163" s="753"/>
      <c r="K163" s="753"/>
      <c r="L163" s="399"/>
    </row>
    <row r="164" spans="1:19" ht="24" thickTop="1" thickBot="1" x14ac:dyDescent="0.65">
      <c r="A164" s="756" t="s">
        <v>187</v>
      </c>
      <c r="B164" s="757">
        <f>پنل!B9</f>
        <v>19525000</v>
      </c>
      <c r="C164" s="758"/>
      <c r="D164" s="758"/>
      <c r="E164" s="758"/>
      <c r="F164" s="759"/>
      <c r="G164" s="759">
        <f>G82</f>
        <v>17257774.994868372</v>
      </c>
      <c r="H164" s="760"/>
      <c r="I164" s="760"/>
      <c r="J164" s="760"/>
      <c r="K164" s="760"/>
      <c r="L164" s="758"/>
    </row>
    <row r="165" spans="1:19" ht="24" thickTop="1" thickBot="1" x14ac:dyDescent="0.65">
      <c r="A165" s="761" t="s">
        <v>186</v>
      </c>
      <c r="B165" s="762">
        <f>J67</f>
        <v>1.1521450151492598</v>
      </c>
      <c r="C165" s="710"/>
      <c r="D165" s="710"/>
      <c r="E165" s="710"/>
      <c r="F165" s="710"/>
      <c r="G165" s="710"/>
      <c r="H165" s="710"/>
      <c r="I165" s="710"/>
      <c r="J165" s="763"/>
      <c r="K165" s="763"/>
      <c r="L165" s="763"/>
    </row>
    <row r="166" spans="1:19" ht="24" thickTop="1" thickBot="1" x14ac:dyDescent="0.65">
      <c r="A166" s="764" t="s">
        <v>185</v>
      </c>
      <c r="B166" s="765">
        <f>B165*B157</f>
        <v>479893.74599999998</v>
      </c>
      <c r="C166" s="766"/>
      <c r="D166" s="766"/>
      <c r="E166" s="766"/>
      <c r="F166" s="766"/>
      <c r="G166" s="766"/>
      <c r="H166" s="766"/>
      <c r="I166" s="766"/>
      <c r="J166" s="767"/>
      <c r="K166" s="767"/>
      <c r="L166" s="767"/>
    </row>
    <row r="167" spans="1:19" ht="24" thickTop="1" thickBot="1" x14ac:dyDescent="0.65">
      <c r="B167" s="235"/>
      <c r="C167" s="235"/>
      <c r="D167" s="235"/>
      <c r="E167" s="235"/>
      <c r="F167" s="1083" t="s">
        <v>26</v>
      </c>
      <c r="G167" s="1087" t="s">
        <v>25</v>
      </c>
      <c r="H167" s="1088"/>
      <c r="I167" s="1088"/>
      <c r="J167" s="1088"/>
      <c r="K167" s="1088"/>
      <c r="L167" s="1088"/>
      <c r="M167" s="1088"/>
      <c r="N167" s="1088"/>
      <c r="O167" s="1088"/>
      <c r="P167" s="1088"/>
      <c r="Q167" s="1088"/>
      <c r="R167" s="1088"/>
      <c r="S167" s="1089"/>
    </row>
    <row r="168" spans="1:19" ht="30" thickTop="1" thickBot="1" x14ac:dyDescent="0.8">
      <c r="A168" s="51" t="s">
        <v>22</v>
      </c>
      <c r="B168" s="236">
        <f>Q129</f>
        <v>908.96466140735902</v>
      </c>
      <c r="C168" s="235"/>
      <c r="D168" s="235"/>
      <c r="E168" s="235"/>
      <c r="F168" s="1084"/>
      <c r="G168" s="1090"/>
      <c r="H168" s="1091"/>
      <c r="I168" s="1091"/>
      <c r="J168" s="1091"/>
      <c r="K168" s="1091"/>
      <c r="L168" s="1091"/>
      <c r="M168" s="1091"/>
      <c r="N168" s="1091"/>
      <c r="O168" s="1091"/>
      <c r="P168" s="1091"/>
      <c r="Q168" s="1091"/>
      <c r="R168" s="1091"/>
      <c r="S168" s="1092"/>
    </row>
    <row r="169" spans="1:19" ht="24" thickTop="1" thickBot="1" x14ac:dyDescent="0.65">
      <c r="F169" s="1085"/>
      <c r="G169" s="234">
        <f>B168</f>
        <v>908.96466140735902</v>
      </c>
      <c r="H169" s="233">
        <v>370</v>
      </c>
      <c r="I169" s="233">
        <v>380</v>
      </c>
      <c r="J169" s="233">
        <v>390</v>
      </c>
      <c r="K169" s="233">
        <v>400</v>
      </c>
      <c r="L169" s="233">
        <v>410</v>
      </c>
      <c r="M169" s="233">
        <v>420</v>
      </c>
      <c r="N169" s="233">
        <v>430</v>
      </c>
      <c r="O169" s="233">
        <v>440</v>
      </c>
      <c r="P169" s="233">
        <v>450</v>
      </c>
      <c r="Q169" s="233">
        <v>460</v>
      </c>
      <c r="R169" s="233">
        <v>470</v>
      </c>
      <c r="S169" s="232">
        <v>480</v>
      </c>
    </row>
    <row r="170" spans="1:19" ht="23.25" thickBot="1" x14ac:dyDescent="0.65">
      <c r="A170" s="82" t="s">
        <v>450</v>
      </c>
      <c r="B170" s="680">
        <f>F226*1000/F216</f>
        <v>847.9734545454545</v>
      </c>
      <c r="F170" s="1085"/>
      <c r="G170" s="224">
        <v>110000</v>
      </c>
      <c r="H170" s="230">
        <f t="dataTable" ref="H170:S178" dt2D="1" dtr="1" r1="B158" r2="B162"/>
        <v>913.75807383486608</v>
      </c>
      <c r="I170" s="229">
        <v>915.35587797736866</v>
      </c>
      <c r="J170" s="229">
        <v>916.95368211987056</v>
      </c>
      <c r="K170" s="229">
        <v>918.55148626237315</v>
      </c>
      <c r="L170" s="229">
        <v>920.14929040487516</v>
      </c>
      <c r="M170" s="229">
        <v>921.74709454737751</v>
      </c>
      <c r="N170" s="229">
        <v>923.34489868988021</v>
      </c>
      <c r="O170" s="229">
        <v>924.94270283238222</v>
      </c>
      <c r="P170" s="229">
        <v>926.54050697488469</v>
      </c>
      <c r="Q170" s="229">
        <v>928.13831111738659</v>
      </c>
      <c r="R170" s="229">
        <v>929.73611525988929</v>
      </c>
      <c r="S170" s="228">
        <v>931.33391940239176</v>
      </c>
    </row>
    <row r="171" spans="1:19" ht="45" thickBot="1" x14ac:dyDescent="1.2">
      <c r="A171" s="49" t="s">
        <v>21</v>
      </c>
      <c r="B171" s="231">
        <f>VLOOKUP(D171,'دیده بان بازار'!A:W,8,0)</f>
        <v>6637</v>
      </c>
      <c r="C171" s="716">
        <f>B192</f>
        <v>4340.8116037384862</v>
      </c>
      <c r="D171" s="1027" t="s">
        <v>341</v>
      </c>
      <c r="F171" s="1085"/>
      <c r="G171" s="224">
        <v>120000</v>
      </c>
      <c r="H171" s="223">
        <v>1148.6078839424331</v>
      </c>
      <c r="I171" s="222">
        <v>1150.350943006981</v>
      </c>
      <c r="J171" s="222">
        <v>1152.0940020715288</v>
      </c>
      <c r="K171" s="222">
        <v>1153.8370611360767</v>
      </c>
      <c r="L171" s="222">
        <v>1155.5801202006246</v>
      </c>
      <c r="M171" s="222">
        <v>1157.3231792651727</v>
      </c>
      <c r="N171" s="222">
        <v>1159.066238329721</v>
      </c>
      <c r="O171" s="222">
        <v>1160.8092973942692</v>
      </c>
      <c r="P171" s="222">
        <v>1162.552356458817</v>
      </c>
      <c r="Q171" s="222">
        <v>1164.2954155233649</v>
      </c>
      <c r="R171" s="222">
        <v>1166.0384745879128</v>
      </c>
      <c r="S171" s="221">
        <v>1167.7815336524609</v>
      </c>
    </row>
    <row r="172" spans="1:19" x14ac:dyDescent="0.6">
      <c r="A172" s="676" t="s">
        <v>478</v>
      </c>
      <c r="B172" s="711">
        <f>B171-B170</f>
        <v>5789.0265454545452</v>
      </c>
      <c r="F172" s="1085"/>
      <c r="G172" s="224">
        <v>130000</v>
      </c>
      <c r="H172" s="223">
        <v>1383.4576940499996</v>
      </c>
      <c r="I172" s="222">
        <v>1385.3460080365935</v>
      </c>
      <c r="J172" s="222">
        <v>1387.2343220231874</v>
      </c>
      <c r="K172" s="222">
        <v>1389.1226360097805</v>
      </c>
      <c r="L172" s="222">
        <v>1391.0109499963744</v>
      </c>
      <c r="M172" s="222">
        <v>1392.8992639829683</v>
      </c>
      <c r="N172" s="222">
        <v>1394.7875779695617</v>
      </c>
      <c r="O172" s="222">
        <v>1396.6758919561555</v>
      </c>
      <c r="P172" s="222">
        <v>1398.5642059427487</v>
      </c>
      <c r="Q172" s="222">
        <v>1400.4525199293425</v>
      </c>
      <c r="R172" s="222">
        <v>1402.3408339159364</v>
      </c>
      <c r="S172" s="221">
        <v>1404.2291479025296</v>
      </c>
    </row>
    <row r="173" spans="1:19" x14ac:dyDescent="0.6">
      <c r="A173" s="47">
        <v>3</v>
      </c>
      <c r="B173" s="227">
        <f>$B$172/A173</f>
        <v>1929.6755151515151</v>
      </c>
      <c r="F173" s="1085"/>
      <c r="G173" s="224">
        <v>140000</v>
      </c>
      <c r="H173" s="223">
        <v>1618.3075041575653</v>
      </c>
      <c r="I173" s="222">
        <v>1620.3410730662047</v>
      </c>
      <c r="J173" s="222">
        <v>1622.3746419748445</v>
      </c>
      <c r="K173" s="222">
        <v>1624.4082108834834</v>
      </c>
      <c r="L173" s="222">
        <v>1626.4417797921228</v>
      </c>
      <c r="M173" s="222">
        <v>1628.475348700762</v>
      </c>
      <c r="N173" s="222">
        <v>1630.5089176094014</v>
      </c>
      <c r="O173" s="222">
        <v>1632.5424865180407</v>
      </c>
      <c r="P173" s="222">
        <v>1634.5760554266799</v>
      </c>
      <c r="Q173" s="222">
        <v>1636.6096243353195</v>
      </c>
      <c r="R173" s="222">
        <v>1638.6431932439589</v>
      </c>
      <c r="S173" s="221">
        <v>1640.676762152598</v>
      </c>
    </row>
    <row r="174" spans="1:19" x14ac:dyDescent="0.6">
      <c r="A174" s="47">
        <v>4</v>
      </c>
      <c r="B174" s="227">
        <f t="shared" ref="B174:B175" si="56">$B$172/A174</f>
        <v>1447.2566363636363</v>
      </c>
      <c r="F174" s="1085"/>
      <c r="G174" s="224">
        <v>150000</v>
      </c>
      <c r="H174" s="223">
        <v>1853.157314265133</v>
      </c>
      <c r="I174" s="222">
        <v>1855.3361380958183</v>
      </c>
      <c r="J174" s="222">
        <v>1857.514961926503</v>
      </c>
      <c r="K174" s="222">
        <v>1859.6937857571879</v>
      </c>
      <c r="L174" s="222">
        <v>1861.8726095878733</v>
      </c>
      <c r="M174" s="222">
        <v>1864.0514334185575</v>
      </c>
      <c r="N174" s="222">
        <v>1866.2302572492429</v>
      </c>
      <c r="O174" s="222">
        <v>1868.409081079928</v>
      </c>
      <c r="P174" s="222">
        <v>1870.5879049106127</v>
      </c>
      <c r="Q174" s="222">
        <v>1872.7667287412976</v>
      </c>
      <c r="R174" s="222">
        <v>1874.9455525719829</v>
      </c>
      <c r="S174" s="221">
        <v>1877.1243764026676</v>
      </c>
    </row>
    <row r="175" spans="1:19" ht="23.25" thickBot="1" x14ac:dyDescent="0.65">
      <c r="A175" s="42">
        <v>5</v>
      </c>
      <c r="B175" s="226">
        <f t="shared" si="56"/>
        <v>1157.8053090909091</v>
      </c>
      <c r="F175" s="1085"/>
      <c r="G175" s="224">
        <v>160000</v>
      </c>
      <c r="H175" s="223">
        <v>2088.0071243726993</v>
      </c>
      <c r="I175" s="222">
        <v>2090.33120312543</v>
      </c>
      <c r="J175" s="222">
        <v>2092.6552818781606</v>
      </c>
      <c r="K175" s="222">
        <v>2094.9793606308917</v>
      </c>
      <c r="L175" s="222">
        <v>2097.3034393836224</v>
      </c>
      <c r="M175" s="222">
        <v>2099.6275181363526</v>
      </c>
      <c r="N175" s="222">
        <v>2101.9515968890837</v>
      </c>
      <c r="O175" s="222">
        <v>2104.2756756418139</v>
      </c>
      <c r="P175" s="222">
        <v>2106.5997543945446</v>
      </c>
      <c r="Q175" s="222">
        <v>2108.9238331472748</v>
      </c>
      <c r="R175" s="222">
        <v>2111.2479119000059</v>
      </c>
      <c r="S175" s="221">
        <v>2113.5719906527365</v>
      </c>
    </row>
    <row r="176" spans="1:19" ht="23.25" thickBot="1" x14ac:dyDescent="0.65">
      <c r="F176" s="1085"/>
      <c r="G176" s="224">
        <v>170000</v>
      </c>
      <c r="H176" s="223">
        <v>2322.8569344802668</v>
      </c>
      <c r="I176" s="222">
        <v>2325.3262681550423</v>
      </c>
      <c r="J176" s="222">
        <v>2327.7956018298182</v>
      </c>
      <c r="K176" s="222">
        <v>2330.2649355045942</v>
      </c>
      <c r="L176" s="222">
        <v>2332.734269179371</v>
      </c>
      <c r="M176" s="222">
        <v>2335.203602854147</v>
      </c>
      <c r="N176" s="222">
        <v>2337.6729365289239</v>
      </c>
      <c r="O176" s="222">
        <v>2340.1422702036998</v>
      </c>
      <c r="P176" s="222">
        <v>2342.6116038784762</v>
      </c>
      <c r="Q176" s="222">
        <v>2345.0809375532522</v>
      </c>
      <c r="R176" s="222">
        <v>2347.550271228029</v>
      </c>
      <c r="S176" s="221">
        <v>2350.019604902805</v>
      </c>
    </row>
    <row r="177" spans="1:19" ht="28.5" x14ac:dyDescent="0.6">
      <c r="A177" s="21" t="s">
        <v>20</v>
      </c>
      <c r="B177" s="37">
        <v>0.7</v>
      </c>
      <c r="F177" s="1085"/>
      <c r="G177" s="224">
        <v>180000</v>
      </c>
      <c r="H177" s="223">
        <v>2557.7067445878333</v>
      </c>
      <c r="I177" s="222">
        <v>2560.3213331846546</v>
      </c>
      <c r="J177" s="222">
        <v>2562.9359217814763</v>
      </c>
      <c r="K177" s="222">
        <v>2565.5505103782984</v>
      </c>
      <c r="L177" s="222">
        <v>2568.1650989751211</v>
      </c>
      <c r="M177" s="222">
        <v>2570.7796875719418</v>
      </c>
      <c r="N177" s="222">
        <v>2573.3942761687645</v>
      </c>
      <c r="O177" s="222">
        <v>2576.0088647655871</v>
      </c>
      <c r="P177" s="222">
        <v>2578.6234533624083</v>
      </c>
      <c r="Q177" s="222">
        <v>2581.2380419592296</v>
      </c>
      <c r="R177" s="222">
        <v>2583.8526305560536</v>
      </c>
      <c r="S177" s="221">
        <v>2586.4672191528748</v>
      </c>
    </row>
    <row r="178" spans="1:19" ht="29.25" thickBot="1" x14ac:dyDescent="0.65">
      <c r="A178" s="34" t="s">
        <v>19</v>
      </c>
      <c r="B178" s="225">
        <f>B177*B168</f>
        <v>636.27526298515124</v>
      </c>
      <c r="F178" s="1086"/>
      <c r="G178" s="220">
        <v>190000</v>
      </c>
      <c r="H178" s="219">
        <v>2792.5565546954008</v>
      </c>
      <c r="I178" s="218">
        <v>2795.3163982142669</v>
      </c>
      <c r="J178" s="218">
        <v>2798.0762417331352</v>
      </c>
      <c r="K178" s="218">
        <v>2800.8360852520032</v>
      </c>
      <c r="L178" s="218">
        <v>2803.5959287708693</v>
      </c>
      <c r="M178" s="218">
        <v>2806.3557722897385</v>
      </c>
      <c r="N178" s="218">
        <v>2809.1156158086051</v>
      </c>
      <c r="O178" s="218">
        <v>2811.8754593274739</v>
      </c>
      <c r="P178" s="218">
        <v>2814.6353028463404</v>
      </c>
      <c r="Q178" s="218">
        <v>2817.3951463652083</v>
      </c>
      <c r="R178" s="218">
        <v>2820.1549898840767</v>
      </c>
      <c r="S178" s="217">
        <v>2822.9148334029428</v>
      </c>
    </row>
    <row r="179" spans="1:19" ht="29.25" thickBot="1" x14ac:dyDescent="0.8">
      <c r="A179" s="216"/>
      <c r="B179" s="216"/>
    </row>
    <row r="180" spans="1:19" ht="28.5" x14ac:dyDescent="0.6">
      <c r="A180" s="21" t="s">
        <v>18</v>
      </c>
      <c r="B180" s="20" t="s">
        <v>17</v>
      </c>
    </row>
    <row r="181" spans="1:19" ht="29.25" thickBot="1" x14ac:dyDescent="0.65">
      <c r="A181" s="34" t="s">
        <v>16</v>
      </c>
      <c r="B181" s="33" t="s">
        <v>184</v>
      </c>
    </row>
    <row r="182" spans="1:19" ht="29.25" thickBot="1" x14ac:dyDescent="0.8">
      <c r="A182" s="216"/>
      <c r="B182" s="216"/>
    </row>
    <row r="183" spans="1:19" ht="28.5" x14ac:dyDescent="0.6">
      <c r="A183" s="21" t="s">
        <v>14</v>
      </c>
      <c r="B183" s="20">
        <v>10</v>
      </c>
    </row>
    <row r="184" spans="1:19" ht="29.25" thickBot="1" x14ac:dyDescent="0.65">
      <c r="A184" s="34" t="s">
        <v>13</v>
      </c>
      <c r="B184" s="33">
        <v>16</v>
      </c>
    </row>
    <row r="185" spans="1:19" ht="29.25" thickBot="1" x14ac:dyDescent="0.8">
      <c r="A185" s="216"/>
      <c r="B185" s="216"/>
    </row>
    <row r="186" spans="1:19" ht="29.25" thickBot="1" x14ac:dyDescent="0.8">
      <c r="A186" s="215">
        <v>0.2</v>
      </c>
      <c r="B186" s="214" t="s">
        <v>7</v>
      </c>
    </row>
    <row r="187" spans="1:19" ht="28.5" x14ac:dyDescent="0.6">
      <c r="A187" s="21" t="s">
        <v>6</v>
      </c>
      <c r="B187" s="20" t="s">
        <v>5</v>
      </c>
    </row>
    <row r="188" spans="1:19" ht="29.25" thickBot="1" x14ac:dyDescent="0.8">
      <c r="A188" s="19">
        <f>A186/12</f>
        <v>1.6666666666666666E-2</v>
      </c>
      <c r="B188" s="18">
        <v>5</v>
      </c>
      <c r="I188" s="412"/>
    </row>
    <row r="189" spans="1:19" ht="28.5" x14ac:dyDescent="0.75">
      <c r="A189" s="213" t="s">
        <v>4</v>
      </c>
      <c r="B189" s="212">
        <f>B168*B188</f>
        <v>4544.8233070367951</v>
      </c>
      <c r="I189" s="412"/>
    </row>
    <row r="190" spans="1:19" ht="28.5" x14ac:dyDescent="0.75">
      <c r="A190" s="211" t="s">
        <v>3</v>
      </c>
      <c r="B190" s="210">
        <f>B189/(1+A188)^B183</f>
        <v>3852.3980750236997</v>
      </c>
      <c r="I190" s="407"/>
    </row>
    <row r="191" spans="1:19" ht="29.25" thickBot="1" x14ac:dyDescent="0.8">
      <c r="A191" s="209" t="s">
        <v>2</v>
      </c>
      <c r="B191" s="208">
        <f>B178/(1+A188)^B184</f>
        <v>488.4135287147862</v>
      </c>
    </row>
    <row r="192" spans="1:19" ht="29.25" thickBot="1" x14ac:dyDescent="0.8">
      <c r="A192" s="207" t="s">
        <v>1</v>
      </c>
      <c r="B192" s="206">
        <f>SUM(B190:B191)</f>
        <v>4340.8116037384862</v>
      </c>
    </row>
    <row r="194" spans="1:8" x14ac:dyDescent="0.6">
      <c r="A194" s="82" t="s">
        <v>440</v>
      </c>
    </row>
    <row r="195" spans="1:8" x14ac:dyDescent="0.6">
      <c r="A195" s="241" t="s">
        <v>59</v>
      </c>
      <c r="B195" s="241" t="s">
        <v>384</v>
      </c>
      <c r="C195" s="241" t="s">
        <v>386</v>
      </c>
      <c r="D195" s="241" t="s">
        <v>159</v>
      </c>
      <c r="E195" s="241" t="s">
        <v>59</v>
      </c>
      <c r="F195" s="241" t="s">
        <v>384</v>
      </c>
      <c r="G195" s="241" t="s">
        <v>386</v>
      </c>
      <c r="H195" s="241" t="s">
        <v>159</v>
      </c>
    </row>
    <row r="196" spans="1:8" x14ac:dyDescent="0.6">
      <c r="A196" s="241"/>
      <c r="B196" s="241" t="s">
        <v>385</v>
      </c>
      <c r="C196" s="241" t="s">
        <v>387</v>
      </c>
      <c r="D196" s="241" t="s">
        <v>388</v>
      </c>
      <c r="E196" s="241"/>
      <c r="F196" s="241" t="s">
        <v>385</v>
      </c>
      <c r="G196" s="241" t="s">
        <v>387</v>
      </c>
      <c r="H196" s="241" t="s">
        <v>388</v>
      </c>
    </row>
    <row r="197" spans="1:8" x14ac:dyDescent="0.6">
      <c r="A197" s="241" t="s">
        <v>389</v>
      </c>
      <c r="B197" s="241"/>
      <c r="C197" s="241"/>
      <c r="D197" s="241"/>
      <c r="E197" s="241" t="s">
        <v>390</v>
      </c>
      <c r="F197" s="241"/>
      <c r="G197" s="241"/>
      <c r="H197" s="241"/>
    </row>
    <row r="198" spans="1:8" x14ac:dyDescent="0.6">
      <c r="A198" s="241" t="s">
        <v>391</v>
      </c>
      <c r="B198" s="241"/>
      <c r="C198" s="241"/>
      <c r="D198" s="241"/>
      <c r="E198" s="241" t="s">
        <v>392</v>
      </c>
      <c r="F198" s="241"/>
      <c r="G198" s="241"/>
      <c r="H198" s="241"/>
    </row>
    <row r="199" spans="1:8" x14ac:dyDescent="0.6">
      <c r="A199" s="241" t="s">
        <v>393</v>
      </c>
      <c r="B199" s="240">
        <v>1125009</v>
      </c>
      <c r="C199" s="240">
        <v>1192032</v>
      </c>
      <c r="D199" s="242">
        <v>-6</v>
      </c>
      <c r="E199" s="241" t="s">
        <v>394</v>
      </c>
      <c r="F199" s="240">
        <v>1988687</v>
      </c>
      <c r="G199" s="240">
        <v>1006379</v>
      </c>
      <c r="H199" s="242">
        <v>98</v>
      </c>
    </row>
    <row r="200" spans="1:8" x14ac:dyDescent="0.6">
      <c r="A200" s="241" t="s">
        <v>395</v>
      </c>
      <c r="B200" s="240">
        <v>270000</v>
      </c>
      <c r="C200" s="240">
        <v>270000</v>
      </c>
      <c r="D200" s="242">
        <v>0</v>
      </c>
      <c r="E200" s="241" t="s">
        <v>396</v>
      </c>
      <c r="F200" s="240">
        <v>873422</v>
      </c>
      <c r="G200" s="240">
        <v>1067267</v>
      </c>
      <c r="H200" s="242">
        <v>-18</v>
      </c>
    </row>
    <row r="201" spans="1:8" x14ac:dyDescent="0.6">
      <c r="A201" s="241" t="s">
        <v>397</v>
      </c>
      <c r="B201" s="240">
        <v>1949798</v>
      </c>
      <c r="C201" s="240">
        <v>998172</v>
      </c>
      <c r="D201" s="242">
        <v>95</v>
      </c>
      <c r="E201" s="241" t="s">
        <v>398</v>
      </c>
      <c r="F201" s="240">
        <v>789799</v>
      </c>
      <c r="G201" s="240">
        <v>571578</v>
      </c>
      <c r="H201" s="242">
        <v>38</v>
      </c>
    </row>
    <row r="202" spans="1:8" x14ac:dyDescent="0.6">
      <c r="A202" s="241" t="s">
        <v>399</v>
      </c>
      <c r="B202" s="240">
        <v>1161818</v>
      </c>
      <c r="C202" s="240">
        <v>946874</v>
      </c>
      <c r="D202" s="242">
        <v>23</v>
      </c>
      <c r="E202" s="241" t="s">
        <v>400</v>
      </c>
      <c r="F202" s="240">
        <v>70964</v>
      </c>
      <c r="G202" s="240">
        <v>401129</v>
      </c>
      <c r="H202" s="242">
        <v>-82</v>
      </c>
    </row>
    <row r="203" spans="1:8" x14ac:dyDescent="0.6">
      <c r="A203" s="241" t="s">
        <v>401</v>
      </c>
      <c r="B203" s="240">
        <v>5104338</v>
      </c>
      <c r="C203" s="240">
        <v>5109986</v>
      </c>
      <c r="D203" s="242">
        <v>0</v>
      </c>
      <c r="E203" s="241" t="s">
        <v>402</v>
      </c>
      <c r="F203" s="240">
        <v>2159344</v>
      </c>
      <c r="G203" s="240">
        <v>2794852</v>
      </c>
      <c r="H203" s="242">
        <v>-23</v>
      </c>
    </row>
    <row r="204" spans="1:8" x14ac:dyDescent="0.6">
      <c r="A204" s="241" t="s">
        <v>403</v>
      </c>
      <c r="B204" s="240">
        <v>1104496</v>
      </c>
      <c r="C204" s="240">
        <v>1147132</v>
      </c>
      <c r="D204" s="242">
        <v>-4</v>
      </c>
      <c r="E204" s="241" t="s">
        <v>404</v>
      </c>
      <c r="F204" s="240">
        <v>234595</v>
      </c>
      <c r="G204" s="240">
        <v>106548</v>
      </c>
      <c r="H204" s="242">
        <v>120</v>
      </c>
    </row>
    <row r="205" spans="1:8" x14ac:dyDescent="0.6">
      <c r="A205" s="241" t="s">
        <v>406</v>
      </c>
      <c r="B205" s="242">
        <v>0</v>
      </c>
      <c r="C205" s="242">
        <v>0</v>
      </c>
      <c r="D205" s="241" t="s">
        <v>405</v>
      </c>
      <c r="E205" s="241" t="s">
        <v>407</v>
      </c>
      <c r="F205" s="240">
        <v>702200</v>
      </c>
      <c r="G205" s="240">
        <v>961515</v>
      </c>
      <c r="H205" s="242">
        <v>-27</v>
      </c>
    </row>
    <row r="206" spans="1:8" x14ac:dyDescent="0.6">
      <c r="A206" s="241" t="s">
        <v>408</v>
      </c>
      <c r="B206" s="240">
        <v>10715459</v>
      </c>
      <c r="C206" s="240">
        <v>9664196</v>
      </c>
      <c r="D206" s="242">
        <v>11</v>
      </c>
      <c r="E206" s="241" t="s">
        <v>409</v>
      </c>
      <c r="F206" s="242">
        <v>0</v>
      </c>
      <c r="G206" s="242">
        <v>0</v>
      </c>
      <c r="H206" s="241" t="s">
        <v>405</v>
      </c>
    </row>
    <row r="207" spans="1:8" x14ac:dyDescent="0.6">
      <c r="A207" s="241" t="s">
        <v>410</v>
      </c>
      <c r="B207" s="241"/>
      <c r="C207" s="241"/>
      <c r="D207" s="241"/>
      <c r="E207" s="241" t="s">
        <v>411</v>
      </c>
      <c r="F207" s="240">
        <v>6819011</v>
      </c>
      <c r="G207" s="240">
        <v>6909268</v>
      </c>
      <c r="H207" s="242">
        <v>-1</v>
      </c>
    </row>
    <row r="208" spans="1:8" x14ac:dyDescent="0.6">
      <c r="A208" s="241" t="s">
        <v>412</v>
      </c>
      <c r="B208" s="240">
        <v>62422</v>
      </c>
      <c r="C208" s="240">
        <v>41416</v>
      </c>
      <c r="D208" s="242">
        <v>51</v>
      </c>
      <c r="E208" s="241" t="s">
        <v>413</v>
      </c>
      <c r="F208" s="241"/>
      <c r="G208" s="241"/>
      <c r="H208" s="241"/>
    </row>
    <row r="209" spans="1:8" x14ac:dyDescent="0.6">
      <c r="A209" s="241" t="s">
        <v>414</v>
      </c>
      <c r="B209" s="240">
        <v>1118323</v>
      </c>
      <c r="C209" s="240">
        <v>1118323</v>
      </c>
      <c r="D209" s="242">
        <v>0</v>
      </c>
      <c r="E209" s="241" t="s">
        <v>415</v>
      </c>
      <c r="F209" s="242">
        <v>0</v>
      </c>
      <c r="G209" s="242">
        <v>0</v>
      </c>
      <c r="H209" s="241" t="s">
        <v>405</v>
      </c>
    </row>
    <row r="210" spans="1:8" x14ac:dyDescent="0.6">
      <c r="A210" s="241" t="s">
        <v>416</v>
      </c>
      <c r="B210" s="242">
        <v>0</v>
      </c>
      <c r="C210" s="242">
        <v>0</v>
      </c>
      <c r="D210" s="241" t="s">
        <v>405</v>
      </c>
      <c r="E210" s="241" t="s">
        <v>417</v>
      </c>
      <c r="F210" s="242">
        <v>0</v>
      </c>
      <c r="G210" s="242">
        <v>0</v>
      </c>
      <c r="H210" s="241" t="s">
        <v>405</v>
      </c>
    </row>
    <row r="211" spans="1:8" x14ac:dyDescent="0.6">
      <c r="A211" s="241" t="s">
        <v>418</v>
      </c>
      <c r="B211" s="240">
        <v>339671</v>
      </c>
      <c r="C211" s="240">
        <v>335151</v>
      </c>
      <c r="D211" s="242">
        <v>1</v>
      </c>
      <c r="E211" s="241" t="s">
        <v>419</v>
      </c>
      <c r="F211" s="240">
        <v>3430258</v>
      </c>
      <c r="G211" s="240">
        <v>3430258</v>
      </c>
      <c r="H211" s="242">
        <v>0</v>
      </c>
    </row>
    <row r="212" spans="1:8" x14ac:dyDescent="0.6">
      <c r="A212" s="241" t="s">
        <v>420</v>
      </c>
      <c r="B212" s="240">
        <v>9254526</v>
      </c>
      <c r="C212" s="240">
        <v>9125471</v>
      </c>
      <c r="D212" s="242">
        <v>1</v>
      </c>
      <c r="E212" s="241" t="s">
        <v>421</v>
      </c>
      <c r="F212" s="240">
        <v>652551</v>
      </c>
      <c r="G212" s="240">
        <v>501089</v>
      </c>
      <c r="H212" s="242">
        <v>30</v>
      </c>
    </row>
    <row r="213" spans="1:8" x14ac:dyDescent="0.6">
      <c r="A213" s="241" t="s">
        <v>422</v>
      </c>
      <c r="B213" s="240">
        <v>54135</v>
      </c>
      <c r="C213" s="240">
        <v>54135</v>
      </c>
      <c r="D213" s="242">
        <v>0</v>
      </c>
      <c r="E213" s="241" t="s">
        <v>423</v>
      </c>
      <c r="F213" s="240">
        <v>4082809</v>
      </c>
      <c r="G213" s="240">
        <v>3931347</v>
      </c>
      <c r="H213" s="242">
        <v>4</v>
      </c>
    </row>
    <row r="214" spans="1:8" x14ac:dyDescent="0.6">
      <c r="A214" s="241" t="s">
        <v>424</v>
      </c>
      <c r="B214" s="240">
        <v>10829077</v>
      </c>
      <c r="C214" s="240">
        <v>10674496</v>
      </c>
      <c r="D214" s="242">
        <v>1</v>
      </c>
      <c r="E214" s="241" t="s">
        <v>425</v>
      </c>
      <c r="F214" s="240">
        <v>10901820</v>
      </c>
      <c r="G214" s="240">
        <v>10840615</v>
      </c>
      <c r="H214" s="242">
        <v>1</v>
      </c>
    </row>
    <row r="215" spans="1:8" x14ac:dyDescent="0.6">
      <c r="A215" s="241"/>
      <c r="B215" s="241"/>
      <c r="C215" s="241"/>
      <c r="D215" s="241"/>
      <c r="E215" s="241" t="s">
        <v>426</v>
      </c>
      <c r="F215" s="241"/>
      <c r="G215" s="241"/>
      <c r="H215" s="241"/>
    </row>
    <row r="216" spans="1:8" x14ac:dyDescent="0.6">
      <c r="A216" s="241"/>
      <c r="B216" s="241"/>
      <c r="C216" s="241"/>
      <c r="D216" s="241"/>
      <c r="E216" s="241" t="s">
        <v>84</v>
      </c>
      <c r="F216" s="240">
        <v>5500000</v>
      </c>
      <c r="G216" s="240">
        <v>4990000</v>
      </c>
      <c r="H216" s="242">
        <v>10</v>
      </c>
    </row>
    <row r="217" spans="1:8" x14ac:dyDescent="0.6">
      <c r="A217" s="241"/>
      <c r="B217" s="241"/>
      <c r="C217" s="241"/>
      <c r="D217" s="241"/>
      <c r="E217" s="241" t="s">
        <v>427</v>
      </c>
      <c r="F217" s="242">
        <v>0</v>
      </c>
      <c r="G217" s="242">
        <v>0</v>
      </c>
      <c r="H217" s="241" t="s">
        <v>405</v>
      </c>
    </row>
    <row r="218" spans="1:8" x14ac:dyDescent="0.6">
      <c r="A218" s="241"/>
      <c r="B218" s="241"/>
      <c r="C218" s="241"/>
      <c r="D218" s="241"/>
      <c r="E218" s="241" t="s">
        <v>428</v>
      </c>
      <c r="F218" s="242">
        <v>0</v>
      </c>
      <c r="G218" s="242">
        <v>0</v>
      </c>
      <c r="H218" s="241" t="s">
        <v>405</v>
      </c>
    </row>
    <row r="219" spans="1:8" x14ac:dyDescent="0.6">
      <c r="A219" s="241"/>
      <c r="B219" s="241"/>
      <c r="C219" s="241"/>
      <c r="D219" s="241"/>
      <c r="E219" s="241" t="s">
        <v>429</v>
      </c>
      <c r="F219" s="242">
        <v>0</v>
      </c>
      <c r="G219" s="242">
        <v>0</v>
      </c>
      <c r="H219" s="241" t="s">
        <v>405</v>
      </c>
    </row>
    <row r="220" spans="1:8" x14ac:dyDescent="0.6">
      <c r="A220" s="241"/>
      <c r="B220" s="241"/>
      <c r="C220" s="241"/>
      <c r="D220" s="241"/>
      <c r="E220" s="241" t="s">
        <v>430</v>
      </c>
      <c r="F220" s="240">
        <v>478862</v>
      </c>
      <c r="G220" s="240">
        <v>478862</v>
      </c>
      <c r="H220" s="242">
        <v>0</v>
      </c>
    </row>
    <row r="221" spans="1:8" x14ac:dyDescent="0.6">
      <c r="A221" s="241"/>
      <c r="B221" s="241"/>
      <c r="C221" s="241"/>
      <c r="D221" s="241"/>
      <c r="E221" s="241" t="s">
        <v>431</v>
      </c>
      <c r="F221" s="242">
        <v>0</v>
      </c>
      <c r="G221" s="242">
        <v>0</v>
      </c>
      <c r="H221" s="241" t="s">
        <v>405</v>
      </c>
    </row>
    <row r="222" spans="1:8" x14ac:dyDescent="0.6">
      <c r="A222" s="241"/>
      <c r="B222" s="241"/>
      <c r="C222" s="241"/>
      <c r="D222" s="241"/>
      <c r="E222" s="241" t="s">
        <v>432</v>
      </c>
      <c r="F222" s="242">
        <v>0</v>
      </c>
      <c r="G222" s="242">
        <v>0</v>
      </c>
      <c r="H222" s="241" t="s">
        <v>405</v>
      </c>
    </row>
    <row r="223" spans="1:8" x14ac:dyDescent="0.6">
      <c r="A223" s="241"/>
      <c r="B223" s="241"/>
      <c r="C223" s="241"/>
      <c r="D223" s="241"/>
      <c r="E223" s="241" t="s">
        <v>433</v>
      </c>
      <c r="F223" s="242">
        <v>0</v>
      </c>
      <c r="G223" s="242">
        <v>0</v>
      </c>
      <c r="H223" s="241" t="s">
        <v>405</v>
      </c>
    </row>
    <row r="224" spans="1:8" x14ac:dyDescent="0.6">
      <c r="A224" s="241"/>
      <c r="B224" s="241"/>
      <c r="C224" s="241"/>
      <c r="D224" s="241"/>
      <c r="E224" s="241" t="s">
        <v>434</v>
      </c>
      <c r="F224" s="242">
        <v>0</v>
      </c>
      <c r="G224" s="242">
        <v>0</v>
      </c>
      <c r="H224" s="241" t="s">
        <v>405</v>
      </c>
    </row>
    <row r="225" spans="1:30" x14ac:dyDescent="0.6">
      <c r="A225" s="241"/>
      <c r="B225" s="241"/>
      <c r="C225" s="241"/>
      <c r="D225" s="241"/>
      <c r="E225" s="241" t="s">
        <v>435</v>
      </c>
      <c r="F225" s="242">
        <v>0</v>
      </c>
      <c r="G225" s="242">
        <v>0</v>
      </c>
      <c r="H225" s="241" t="s">
        <v>405</v>
      </c>
    </row>
    <row r="226" spans="1:30" x14ac:dyDescent="0.6">
      <c r="A226" s="241"/>
      <c r="B226" s="241"/>
      <c r="C226" s="241"/>
      <c r="D226" s="241"/>
      <c r="E226" s="241" t="s">
        <v>436</v>
      </c>
      <c r="F226" s="240">
        <v>4663854</v>
      </c>
      <c r="G226" s="240">
        <v>4029215</v>
      </c>
      <c r="H226" s="242">
        <v>16</v>
      </c>
    </row>
    <row r="227" spans="1:30" x14ac:dyDescent="0.6">
      <c r="A227" s="241"/>
      <c r="B227" s="241"/>
      <c r="C227" s="241"/>
      <c r="D227" s="241"/>
      <c r="E227" s="241" t="s">
        <v>437</v>
      </c>
      <c r="F227" s="240">
        <v>10642716</v>
      </c>
      <c r="G227" s="240">
        <v>9498077</v>
      </c>
      <c r="H227" s="242">
        <v>12</v>
      </c>
    </row>
    <row r="228" spans="1:30" x14ac:dyDescent="0.6">
      <c r="A228" s="241" t="s">
        <v>438</v>
      </c>
      <c r="B228" s="240">
        <v>21544536</v>
      </c>
      <c r="C228" s="240">
        <v>20338692</v>
      </c>
      <c r="D228" s="242">
        <v>6</v>
      </c>
      <c r="E228" s="241" t="s">
        <v>439</v>
      </c>
      <c r="F228" s="240">
        <v>21544536</v>
      </c>
      <c r="G228" s="240">
        <v>20338692</v>
      </c>
      <c r="H228" s="242">
        <v>6</v>
      </c>
    </row>
    <row r="229" spans="1:30" ht="23.25" thickBot="1" x14ac:dyDescent="0.65"/>
    <row r="230" spans="1:30" ht="25.5" x14ac:dyDescent="0.7">
      <c r="A230" s="640" t="s">
        <v>59</v>
      </c>
      <c r="B230" s="641" t="s">
        <v>81</v>
      </c>
      <c r="C230" s="641" t="s">
        <v>80</v>
      </c>
      <c r="D230" s="641" t="s">
        <v>79</v>
      </c>
      <c r="E230" s="641" t="s">
        <v>78</v>
      </c>
      <c r="F230" s="641" t="s">
        <v>74</v>
      </c>
      <c r="G230" s="641" t="s">
        <v>70</v>
      </c>
      <c r="H230" s="642" t="s">
        <v>69</v>
      </c>
    </row>
    <row r="231" spans="1:30" ht="26.25" thickBot="1" x14ac:dyDescent="0.75">
      <c r="A231" s="643" t="s">
        <v>437</v>
      </c>
      <c r="B231" s="644">
        <v>3155385</v>
      </c>
      <c r="C231" s="644">
        <v>3018022</v>
      </c>
      <c r="D231" s="645">
        <v>4646184</v>
      </c>
      <c r="E231" s="645">
        <v>5781196</v>
      </c>
      <c r="F231" s="645">
        <v>6507978</v>
      </c>
      <c r="G231" s="645">
        <v>9498077</v>
      </c>
      <c r="H231" s="646">
        <v>10642716</v>
      </c>
    </row>
    <row r="240" spans="1:30" x14ac:dyDescent="0.6">
      <c r="A240" s="629" t="s">
        <v>349</v>
      </c>
      <c r="B240" s="629" t="s">
        <v>350</v>
      </c>
      <c r="C240" s="629" t="s">
        <v>351</v>
      </c>
      <c r="D240" s="629" t="s">
        <v>473</v>
      </c>
      <c r="E240" s="629" t="s">
        <v>352</v>
      </c>
      <c r="F240" s="629" t="s">
        <v>353</v>
      </c>
      <c r="G240" s="629" t="s">
        <v>354</v>
      </c>
      <c r="H240" s="629" t="s">
        <v>355</v>
      </c>
      <c r="I240" s="629" t="s">
        <v>356</v>
      </c>
      <c r="J240" s="629" t="s">
        <v>357</v>
      </c>
      <c r="K240" s="629" t="s">
        <v>358</v>
      </c>
      <c r="L240" s="629" t="s">
        <v>359</v>
      </c>
      <c r="M240" s="629" t="s">
        <v>360</v>
      </c>
      <c r="N240" s="629" t="s">
        <v>361</v>
      </c>
      <c r="O240" s="635" t="s">
        <v>453</v>
      </c>
      <c r="P240" s="1"/>
      <c r="Q240" s="629" t="s">
        <v>368</v>
      </c>
      <c r="R240" s="629" t="s">
        <v>369</v>
      </c>
      <c r="S240" s="629" t="s">
        <v>370</v>
      </c>
      <c r="T240" s="629" t="s">
        <v>371</v>
      </c>
      <c r="U240" s="629" t="s">
        <v>372</v>
      </c>
      <c r="V240" s="629" t="s">
        <v>373</v>
      </c>
      <c r="W240" s="629" t="s">
        <v>374</v>
      </c>
      <c r="X240" s="629" t="s">
        <v>375</v>
      </c>
      <c r="Y240" s="629" t="s">
        <v>376</v>
      </c>
      <c r="Z240" s="629" t="s">
        <v>377</v>
      </c>
      <c r="AA240" s="629" t="s">
        <v>378</v>
      </c>
      <c r="AB240" s="629" t="s">
        <v>379</v>
      </c>
      <c r="AC240" s="629" t="s">
        <v>380</v>
      </c>
      <c r="AD240" s="629" t="s">
        <v>361</v>
      </c>
    </row>
    <row r="241" spans="1:30" x14ac:dyDescent="0.6">
      <c r="A241" s="629" t="s">
        <v>191</v>
      </c>
      <c r="B241" s="630">
        <v>27505</v>
      </c>
      <c r="C241" s="630">
        <v>22418</v>
      </c>
      <c r="D241" s="630">
        <v>34167</v>
      </c>
      <c r="E241" s="630">
        <v>33972</v>
      </c>
      <c r="F241" s="630">
        <v>30476</v>
      </c>
      <c r="G241" s="630">
        <v>26393</v>
      </c>
      <c r="H241" s="630"/>
      <c r="I241" s="630"/>
      <c r="J241" s="630"/>
      <c r="K241" s="630"/>
      <c r="L241" s="630"/>
      <c r="M241" s="630"/>
      <c r="N241" s="630">
        <f>SUM(B241:M241)</f>
        <v>174931</v>
      </c>
      <c r="O241" s="636">
        <f>SUM(R241:W241)</f>
        <v>162544</v>
      </c>
      <c r="P241" s="1"/>
      <c r="Q241" s="629" t="s">
        <v>191</v>
      </c>
      <c r="R241" s="630">
        <v>17990</v>
      </c>
      <c r="S241" s="630">
        <v>19492</v>
      </c>
      <c r="T241" s="630">
        <v>23532</v>
      </c>
      <c r="U241" s="630">
        <v>34268</v>
      </c>
      <c r="V241" s="630">
        <v>32423</v>
      </c>
      <c r="W241" s="630">
        <v>34839</v>
      </c>
      <c r="X241" s="630">
        <v>34658</v>
      </c>
      <c r="Y241" s="630">
        <v>33579</v>
      </c>
      <c r="Z241" s="630">
        <v>34683</v>
      </c>
      <c r="AA241" s="630">
        <v>26358</v>
      </c>
      <c r="AB241" s="630">
        <v>25946</v>
      </c>
      <c r="AC241" s="630">
        <v>26372</v>
      </c>
      <c r="AD241" s="630">
        <f>SUM(R241:AC241)</f>
        <v>344140</v>
      </c>
    </row>
    <row r="242" spans="1:30" x14ac:dyDescent="0.6">
      <c r="A242" s="629" t="s">
        <v>190</v>
      </c>
      <c r="B242" s="630">
        <v>8675</v>
      </c>
      <c r="C242" s="630">
        <v>18991</v>
      </c>
      <c r="D242" s="630">
        <v>5725</v>
      </c>
      <c r="E242" s="630">
        <v>3904</v>
      </c>
      <c r="F242" s="630">
        <v>3234</v>
      </c>
      <c r="G242" s="630">
        <v>12605</v>
      </c>
      <c r="H242" s="630"/>
      <c r="I242" s="630"/>
      <c r="J242" s="630"/>
      <c r="K242" s="630"/>
      <c r="L242" s="630"/>
      <c r="M242" s="630"/>
      <c r="N242" s="630">
        <f t="shared" ref="N242:N243" si="57">SUM(B242:M242)</f>
        <v>53134</v>
      </c>
      <c r="O242" s="636">
        <f t="shared" ref="O242:O244" si="58">SUM(R242:W242)</f>
        <v>48509</v>
      </c>
      <c r="P242" s="1"/>
      <c r="Q242" s="629" t="s">
        <v>465</v>
      </c>
      <c r="R242" s="630">
        <v>6228</v>
      </c>
      <c r="S242" s="630">
        <v>16161</v>
      </c>
      <c r="T242" s="630">
        <v>7274</v>
      </c>
      <c r="U242" s="630">
        <v>4345</v>
      </c>
      <c r="V242" s="630">
        <v>10650</v>
      </c>
      <c r="W242" s="630">
        <v>3851</v>
      </c>
      <c r="X242" s="630">
        <v>4026</v>
      </c>
      <c r="Y242" s="630">
        <v>3138</v>
      </c>
      <c r="Z242" s="630">
        <v>3622</v>
      </c>
      <c r="AA242" s="630">
        <v>3581</v>
      </c>
      <c r="AB242" s="630">
        <v>3922</v>
      </c>
      <c r="AC242" s="630">
        <v>4763</v>
      </c>
      <c r="AD242" s="630">
        <f t="shared" ref="AD242:AD243" si="59">SUM(R242:AC242)</f>
        <v>71561</v>
      </c>
    </row>
    <row r="243" spans="1:30" x14ac:dyDescent="0.6">
      <c r="A243" s="629" t="s">
        <v>189</v>
      </c>
      <c r="B243" s="630">
        <v>127</v>
      </c>
      <c r="C243" s="630"/>
      <c r="D243" s="630">
        <v>88</v>
      </c>
      <c r="E243" s="630">
        <v>110</v>
      </c>
      <c r="F243" s="630">
        <v>24</v>
      </c>
      <c r="G243" s="630">
        <v>19</v>
      </c>
      <c r="H243" s="630"/>
      <c r="I243" s="630"/>
      <c r="J243" s="630"/>
      <c r="K243" s="630"/>
      <c r="L243" s="630"/>
      <c r="M243" s="630"/>
      <c r="N243" s="630">
        <f t="shared" si="57"/>
        <v>368</v>
      </c>
      <c r="O243" s="636">
        <f t="shared" si="58"/>
        <v>0</v>
      </c>
      <c r="P243" s="1"/>
      <c r="Q243" s="629" t="s">
        <v>466</v>
      </c>
      <c r="R243" s="630">
        <v>0</v>
      </c>
      <c r="S243" s="630">
        <v>0</v>
      </c>
      <c r="T243" s="630">
        <v>0</v>
      </c>
      <c r="U243" s="630">
        <v>0</v>
      </c>
      <c r="V243" s="630">
        <v>0</v>
      </c>
      <c r="W243" s="630">
        <v>0</v>
      </c>
      <c r="X243" s="630">
        <v>0</v>
      </c>
      <c r="Y243" s="630">
        <v>0</v>
      </c>
      <c r="Z243" s="630">
        <v>0</v>
      </c>
      <c r="AA243" s="630">
        <v>349</v>
      </c>
      <c r="AB243" s="630">
        <v>2453</v>
      </c>
      <c r="AC243" s="630">
        <v>1299</v>
      </c>
      <c r="AD243" s="630">
        <f t="shared" si="59"/>
        <v>4101</v>
      </c>
    </row>
    <row r="244" spans="1:30" x14ac:dyDescent="0.6">
      <c r="A244" s="629" t="s">
        <v>45</v>
      </c>
      <c r="B244" s="630">
        <f>SUM(B241:B243)</f>
        <v>36307</v>
      </c>
      <c r="C244" s="630">
        <f t="shared" ref="C244:N244" si="60">SUM(C241:C243)</f>
        <v>41409</v>
      </c>
      <c r="D244" s="630">
        <f t="shared" si="60"/>
        <v>39980</v>
      </c>
      <c r="E244" s="630">
        <f t="shared" si="60"/>
        <v>37986</v>
      </c>
      <c r="F244" s="630">
        <f t="shared" si="60"/>
        <v>33734</v>
      </c>
      <c r="G244" s="630">
        <f t="shared" si="60"/>
        <v>39017</v>
      </c>
      <c r="H244" s="630"/>
      <c r="I244" s="630"/>
      <c r="J244" s="630"/>
      <c r="K244" s="630"/>
      <c r="L244" s="630"/>
      <c r="M244" s="630"/>
      <c r="N244" s="705">
        <f t="shared" si="60"/>
        <v>228433</v>
      </c>
      <c r="O244" s="705">
        <f t="shared" si="58"/>
        <v>211053</v>
      </c>
      <c r="P244" s="1"/>
      <c r="Q244" s="629" t="s">
        <v>45</v>
      </c>
      <c r="R244" s="630">
        <f>SUM(R241:R243)</f>
        <v>24218</v>
      </c>
      <c r="S244" s="630">
        <f t="shared" ref="S244:AD244" si="61">SUM(S241:S243)</f>
        <v>35653</v>
      </c>
      <c r="T244" s="630">
        <f t="shared" si="61"/>
        <v>30806</v>
      </c>
      <c r="U244" s="630">
        <f t="shared" si="61"/>
        <v>38613</v>
      </c>
      <c r="V244" s="630">
        <f t="shared" si="61"/>
        <v>43073</v>
      </c>
      <c r="W244" s="630">
        <f t="shared" si="61"/>
        <v>38690</v>
      </c>
      <c r="X244" s="630">
        <f t="shared" si="61"/>
        <v>38684</v>
      </c>
      <c r="Y244" s="630">
        <f t="shared" si="61"/>
        <v>36717</v>
      </c>
      <c r="Z244" s="630">
        <f t="shared" si="61"/>
        <v>38305</v>
      </c>
      <c r="AA244" s="630">
        <f t="shared" si="61"/>
        <v>30288</v>
      </c>
      <c r="AB244" s="630">
        <f t="shared" si="61"/>
        <v>32321</v>
      </c>
      <c r="AC244" s="630">
        <f t="shared" si="61"/>
        <v>32434</v>
      </c>
      <c r="AD244" s="630">
        <f t="shared" si="61"/>
        <v>419802</v>
      </c>
    </row>
    <row r="245" spans="1:30" x14ac:dyDescent="0.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x14ac:dyDescent="0.6">
      <c r="A246" s="628" t="s">
        <v>362</v>
      </c>
      <c r="B246" s="628" t="s">
        <v>350</v>
      </c>
      <c r="C246" s="628" t="s">
        <v>351</v>
      </c>
      <c r="D246" s="628" t="s">
        <v>473</v>
      </c>
      <c r="E246" s="628" t="s">
        <v>352</v>
      </c>
      <c r="F246" s="628" t="s">
        <v>353</v>
      </c>
      <c r="G246" s="628" t="s">
        <v>354</v>
      </c>
      <c r="H246" s="628" t="s">
        <v>355</v>
      </c>
      <c r="I246" s="628" t="s">
        <v>356</v>
      </c>
      <c r="J246" s="628" t="s">
        <v>357</v>
      </c>
      <c r="K246" s="628" t="s">
        <v>358</v>
      </c>
      <c r="L246" s="628" t="s">
        <v>359</v>
      </c>
      <c r="M246" s="628" t="s">
        <v>360</v>
      </c>
      <c r="N246" s="628" t="s">
        <v>361</v>
      </c>
      <c r="O246" s="635" t="s">
        <v>453</v>
      </c>
      <c r="P246" s="1"/>
      <c r="Q246" s="628" t="s">
        <v>381</v>
      </c>
      <c r="R246" s="628" t="s">
        <v>369</v>
      </c>
      <c r="S246" s="628" t="s">
        <v>370</v>
      </c>
      <c r="T246" s="628" t="s">
        <v>371</v>
      </c>
      <c r="U246" s="628" t="s">
        <v>372</v>
      </c>
      <c r="V246" s="628" t="s">
        <v>373</v>
      </c>
      <c r="W246" s="628" t="s">
        <v>374</v>
      </c>
      <c r="X246" s="628" t="s">
        <v>375</v>
      </c>
      <c r="Y246" s="628" t="s">
        <v>376</v>
      </c>
      <c r="Z246" s="628" t="s">
        <v>377</v>
      </c>
      <c r="AA246" s="628" t="s">
        <v>378</v>
      </c>
      <c r="AB246" s="628" t="s">
        <v>379</v>
      </c>
      <c r="AC246" s="628" t="s">
        <v>380</v>
      </c>
      <c r="AD246" s="628" t="s">
        <v>361</v>
      </c>
    </row>
    <row r="247" spans="1:30" x14ac:dyDescent="0.6">
      <c r="A247" s="628" t="s">
        <v>191</v>
      </c>
      <c r="B247" s="631">
        <v>25588</v>
      </c>
      <c r="C247" s="631">
        <v>25508</v>
      </c>
      <c r="D247" s="631">
        <v>35603</v>
      </c>
      <c r="E247" s="631">
        <v>33858</v>
      </c>
      <c r="F247" s="631">
        <v>28888</v>
      </c>
      <c r="G247" s="631">
        <v>23036</v>
      </c>
      <c r="H247" s="631"/>
      <c r="I247" s="631"/>
      <c r="J247" s="631"/>
      <c r="K247" s="631"/>
      <c r="L247" s="631"/>
      <c r="M247" s="631"/>
      <c r="N247" s="631">
        <f>SUM(B247:M247)</f>
        <v>172481</v>
      </c>
      <c r="O247" s="636">
        <f>SUM(R247:W247)</f>
        <v>158139</v>
      </c>
      <c r="P247" s="1"/>
      <c r="Q247" s="628" t="s">
        <v>191</v>
      </c>
      <c r="R247" s="631">
        <v>13655</v>
      </c>
      <c r="S247" s="631">
        <v>23210</v>
      </c>
      <c r="T247" s="631">
        <v>21493</v>
      </c>
      <c r="U247" s="631">
        <v>29216</v>
      </c>
      <c r="V247" s="631">
        <v>34221</v>
      </c>
      <c r="W247" s="631">
        <v>36344</v>
      </c>
      <c r="X247" s="631">
        <v>27005</v>
      </c>
      <c r="Y247" s="631">
        <v>33182</v>
      </c>
      <c r="Z247" s="631">
        <v>29579</v>
      </c>
      <c r="AA247" s="631">
        <v>29805</v>
      </c>
      <c r="AB247" s="631">
        <v>29307</v>
      </c>
      <c r="AC247" s="631">
        <v>28361</v>
      </c>
      <c r="AD247" s="631">
        <f>SUM(R247:AC247)</f>
        <v>335378</v>
      </c>
    </row>
    <row r="248" spans="1:30" x14ac:dyDescent="0.6">
      <c r="A248" s="628" t="s">
        <v>190</v>
      </c>
      <c r="B248" s="631">
        <v>3975</v>
      </c>
      <c r="C248" s="631">
        <v>23861</v>
      </c>
      <c r="D248" s="631">
        <v>4840</v>
      </c>
      <c r="E248" s="631">
        <v>4043</v>
      </c>
      <c r="F248" s="631">
        <v>3783</v>
      </c>
      <c r="G248" s="631">
        <v>12281</v>
      </c>
      <c r="H248" s="631"/>
      <c r="I248" s="631"/>
      <c r="J248" s="631"/>
      <c r="K248" s="631"/>
      <c r="L248" s="631"/>
      <c r="M248" s="631"/>
      <c r="N248" s="631">
        <f t="shared" ref="N248:N249" si="62">SUM(B248:M248)</f>
        <v>52783</v>
      </c>
      <c r="O248" s="636">
        <f t="shared" ref="O248:O250" si="63">SUM(R248:W248)</f>
        <v>45967</v>
      </c>
      <c r="P248" s="1"/>
      <c r="Q248" s="628" t="s">
        <v>465</v>
      </c>
      <c r="R248" s="631">
        <v>1076</v>
      </c>
      <c r="S248" s="631">
        <v>1840</v>
      </c>
      <c r="T248" s="631">
        <v>27977</v>
      </c>
      <c r="U248" s="631">
        <v>3814</v>
      </c>
      <c r="V248" s="631">
        <v>4206</v>
      </c>
      <c r="W248" s="631">
        <v>7054</v>
      </c>
      <c r="X248" s="631">
        <v>3500</v>
      </c>
      <c r="Y248" s="631">
        <v>3599</v>
      </c>
      <c r="Z248" s="631">
        <v>2256</v>
      </c>
      <c r="AA248" s="631">
        <v>3596</v>
      </c>
      <c r="AB248" s="631">
        <v>4072</v>
      </c>
      <c r="AC248" s="631">
        <v>4145</v>
      </c>
      <c r="AD248" s="631">
        <f t="shared" ref="AD248:AD249" si="64">SUM(R248:AC248)</f>
        <v>67135</v>
      </c>
    </row>
    <row r="249" spans="1:30" x14ac:dyDescent="0.6">
      <c r="A249" s="628" t="s">
        <v>189</v>
      </c>
      <c r="B249" s="631">
        <v>500</v>
      </c>
      <c r="C249" s="631"/>
      <c r="D249" s="631">
        <v>210</v>
      </c>
      <c r="E249" s="631"/>
      <c r="F249" s="631">
        <v>264</v>
      </c>
      <c r="G249" s="631">
        <v>346</v>
      </c>
      <c r="H249" s="631"/>
      <c r="I249" s="631"/>
      <c r="J249" s="631"/>
      <c r="K249" s="631"/>
      <c r="L249" s="631"/>
      <c r="M249" s="631"/>
      <c r="N249" s="631">
        <f t="shared" si="62"/>
        <v>1320</v>
      </c>
      <c r="O249" s="636">
        <f t="shared" si="63"/>
        <v>1060</v>
      </c>
      <c r="P249" s="1"/>
      <c r="Q249" s="628" t="s">
        <v>466</v>
      </c>
      <c r="R249" s="631">
        <v>804</v>
      </c>
      <c r="S249" s="631">
        <v>23</v>
      </c>
      <c r="T249" s="631">
        <v>0</v>
      </c>
      <c r="U249" s="631">
        <v>233</v>
      </c>
      <c r="V249" s="631">
        <v>0</v>
      </c>
      <c r="W249" s="631">
        <v>0</v>
      </c>
      <c r="X249" s="631">
        <v>400</v>
      </c>
      <c r="Y249" s="631">
        <v>1225</v>
      </c>
      <c r="Z249" s="631">
        <v>0</v>
      </c>
      <c r="AA249" s="631">
        <v>1073</v>
      </c>
      <c r="AB249" s="631">
        <v>1650</v>
      </c>
      <c r="AC249" s="631">
        <v>888</v>
      </c>
      <c r="AD249" s="631">
        <f t="shared" si="64"/>
        <v>6296</v>
      </c>
    </row>
    <row r="250" spans="1:30" x14ac:dyDescent="0.6">
      <c r="A250" s="628" t="s">
        <v>45</v>
      </c>
      <c r="B250" s="631">
        <f>SUM(B247:B249)</f>
        <v>30063</v>
      </c>
      <c r="C250" s="631">
        <f t="shared" ref="C250:N250" si="65">SUM(C247:C249)</f>
        <v>49369</v>
      </c>
      <c r="D250" s="631">
        <f t="shared" si="65"/>
        <v>40653</v>
      </c>
      <c r="E250" s="631">
        <f t="shared" si="65"/>
        <v>37901</v>
      </c>
      <c r="F250" s="631">
        <f t="shared" si="65"/>
        <v>32935</v>
      </c>
      <c r="G250" s="631">
        <f t="shared" si="65"/>
        <v>35663</v>
      </c>
      <c r="H250" s="631"/>
      <c r="I250" s="631"/>
      <c r="J250" s="631"/>
      <c r="K250" s="631"/>
      <c r="L250" s="631"/>
      <c r="M250" s="631"/>
      <c r="N250" s="705">
        <f t="shared" si="65"/>
        <v>226584</v>
      </c>
      <c r="O250" s="705">
        <f t="shared" si="63"/>
        <v>205166</v>
      </c>
      <c r="P250" s="1"/>
      <c r="Q250" s="628" t="s">
        <v>45</v>
      </c>
      <c r="R250" s="631">
        <f>SUM(R247:R249)</f>
        <v>15535</v>
      </c>
      <c r="S250" s="631">
        <f t="shared" ref="S250:AD250" si="66">SUM(S247:S249)</f>
        <v>25073</v>
      </c>
      <c r="T250" s="631">
        <f t="shared" si="66"/>
        <v>49470</v>
      </c>
      <c r="U250" s="631">
        <f t="shared" si="66"/>
        <v>33263</v>
      </c>
      <c r="V250" s="631">
        <f t="shared" si="66"/>
        <v>38427</v>
      </c>
      <c r="W250" s="631">
        <f t="shared" si="66"/>
        <v>43398</v>
      </c>
      <c r="X250" s="631">
        <f t="shared" si="66"/>
        <v>30905</v>
      </c>
      <c r="Y250" s="631">
        <f t="shared" si="66"/>
        <v>38006</v>
      </c>
      <c r="Z250" s="631">
        <f t="shared" si="66"/>
        <v>31835</v>
      </c>
      <c r="AA250" s="631">
        <f t="shared" si="66"/>
        <v>34474</v>
      </c>
      <c r="AB250" s="631">
        <f t="shared" si="66"/>
        <v>35029</v>
      </c>
      <c r="AC250" s="631">
        <f t="shared" si="66"/>
        <v>33394</v>
      </c>
      <c r="AD250" s="631">
        <f t="shared" si="66"/>
        <v>408809</v>
      </c>
    </row>
    <row r="251" spans="1:30" x14ac:dyDescent="0.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x14ac:dyDescent="0.6">
      <c r="A252" s="627" t="s">
        <v>363</v>
      </c>
      <c r="B252" s="627" t="s">
        <v>350</v>
      </c>
      <c r="C252" s="627" t="s">
        <v>351</v>
      </c>
      <c r="D252" s="627" t="s">
        <v>473</v>
      </c>
      <c r="E252" s="627" t="s">
        <v>352</v>
      </c>
      <c r="F252" s="627" t="s">
        <v>353</v>
      </c>
      <c r="G252" s="627" t="s">
        <v>354</v>
      </c>
      <c r="H252" s="627" t="s">
        <v>355</v>
      </c>
      <c r="I252" s="627" t="s">
        <v>356</v>
      </c>
      <c r="J252" s="627" t="s">
        <v>357</v>
      </c>
      <c r="K252" s="627" t="s">
        <v>358</v>
      </c>
      <c r="L252" s="627" t="s">
        <v>359</v>
      </c>
      <c r="M252" s="627" t="s">
        <v>360</v>
      </c>
      <c r="N252" s="627" t="s">
        <v>361</v>
      </c>
      <c r="O252" s="635" t="s">
        <v>453</v>
      </c>
      <c r="P252" s="1"/>
      <c r="Q252" s="627" t="s">
        <v>382</v>
      </c>
      <c r="R252" s="627" t="s">
        <v>369</v>
      </c>
      <c r="S252" s="627" t="s">
        <v>370</v>
      </c>
      <c r="T252" s="627" t="s">
        <v>371</v>
      </c>
      <c r="U252" s="627" t="s">
        <v>372</v>
      </c>
      <c r="V252" s="627" t="s">
        <v>373</v>
      </c>
      <c r="W252" s="627" t="s">
        <v>374</v>
      </c>
      <c r="X252" s="627" t="s">
        <v>375</v>
      </c>
      <c r="Y252" s="627" t="s">
        <v>376</v>
      </c>
      <c r="Z252" s="627" t="s">
        <v>377</v>
      </c>
      <c r="AA252" s="627" t="s">
        <v>378</v>
      </c>
      <c r="AB252" s="627" t="s">
        <v>379</v>
      </c>
      <c r="AC252" s="627" t="s">
        <v>380</v>
      </c>
      <c r="AD252" s="627" t="s">
        <v>361</v>
      </c>
    </row>
    <row r="253" spans="1:30" x14ac:dyDescent="0.6">
      <c r="A253" s="627" t="s">
        <v>191</v>
      </c>
      <c r="B253" s="632">
        <v>58985736</v>
      </c>
      <c r="C253" s="632">
        <v>66812451</v>
      </c>
      <c r="D253" s="632">
        <v>66485717</v>
      </c>
      <c r="E253" s="632">
        <v>66422175</v>
      </c>
      <c r="F253" s="632">
        <v>67090280</v>
      </c>
      <c r="G253" s="632">
        <v>70865688</v>
      </c>
      <c r="H253" s="632"/>
      <c r="I253" s="632"/>
      <c r="J253" s="632"/>
      <c r="K253" s="632"/>
      <c r="L253" s="632"/>
      <c r="M253" s="632"/>
      <c r="N253" s="632">
        <f>AVERAGE(B253:M253)</f>
        <v>66110341.166666664</v>
      </c>
      <c r="O253" s="636">
        <f>AVERAGE(R253:W253)</f>
        <v>38623267.833333336</v>
      </c>
      <c r="P253" s="1"/>
      <c r="Q253" s="627" t="s">
        <v>191</v>
      </c>
      <c r="R253" s="632">
        <v>35547126</v>
      </c>
      <c r="S253" s="632">
        <v>35931237</v>
      </c>
      <c r="T253" s="632">
        <v>37406970</v>
      </c>
      <c r="U253" s="632">
        <v>36478676</v>
      </c>
      <c r="V253" s="632">
        <v>39212297</v>
      </c>
      <c r="W253" s="632">
        <v>47163301</v>
      </c>
      <c r="X253" s="632">
        <v>50025921</v>
      </c>
      <c r="Y253" s="632">
        <v>53455156</v>
      </c>
      <c r="Z253" s="632">
        <v>57876128</v>
      </c>
      <c r="AA253" s="632">
        <v>52993793</v>
      </c>
      <c r="AB253" s="632">
        <v>53993415</v>
      </c>
      <c r="AC253" s="632">
        <v>58045309</v>
      </c>
      <c r="AD253" s="632">
        <v>38623267.833333336</v>
      </c>
    </row>
    <row r="254" spans="1:30" x14ac:dyDescent="0.6">
      <c r="A254" s="627" t="s">
        <v>190</v>
      </c>
      <c r="B254" s="632">
        <v>47220126</v>
      </c>
      <c r="C254" s="632">
        <v>35104564</v>
      </c>
      <c r="D254" s="632">
        <v>54432645</v>
      </c>
      <c r="E254" s="632">
        <v>52473411</v>
      </c>
      <c r="F254" s="632">
        <v>51550357</v>
      </c>
      <c r="G254" s="632">
        <v>45050647</v>
      </c>
      <c r="H254" s="632"/>
      <c r="I254" s="632"/>
      <c r="J254" s="632"/>
      <c r="K254" s="632"/>
      <c r="L254" s="632"/>
      <c r="M254" s="632"/>
      <c r="N254" s="632">
        <f t="shared" ref="N254:N255" si="67">AVERAGE(B254:M254)</f>
        <v>47638625</v>
      </c>
      <c r="O254" s="636">
        <f t="shared" ref="O254:O255" si="68">AVERAGE(R254:W254)</f>
        <v>30853506</v>
      </c>
      <c r="P254" s="1"/>
      <c r="Q254" s="627" t="s">
        <v>465</v>
      </c>
      <c r="R254" s="632">
        <v>26848513</v>
      </c>
      <c r="S254" s="632">
        <v>29096739</v>
      </c>
      <c r="T254" s="632">
        <v>21252529</v>
      </c>
      <c r="U254" s="632">
        <v>32970372</v>
      </c>
      <c r="V254" s="632">
        <v>33029719</v>
      </c>
      <c r="W254" s="632">
        <v>41923164</v>
      </c>
      <c r="X254" s="632">
        <v>43243143</v>
      </c>
      <c r="Y254" s="632">
        <v>47995276</v>
      </c>
      <c r="Z254" s="632">
        <v>46902039</v>
      </c>
      <c r="AA254" s="632">
        <v>44671023</v>
      </c>
      <c r="AB254" s="632">
        <v>45444008</v>
      </c>
      <c r="AC254" s="632">
        <v>48909771</v>
      </c>
      <c r="AD254" s="632">
        <v>30853506</v>
      </c>
    </row>
    <row r="255" spans="1:30" x14ac:dyDescent="0.6">
      <c r="A255" s="627" t="s">
        <v>189</v>
      </c>
      <c r="B255" s="632">
        <v>43762000</v>
      </c>
      <c r="C255" s="632"/>
      <c r="D255" s="632">
        <v>42309524</v>
      </c>
      <c r="E255" s="632"/>
      <c r="F255" s="632">
        <v>39140152</v>
      </c>
      <c r="G255" s="632">
        <v>37627168</v>
      </c>
      <c r="H255" s="632"/>
      <c r="I255" s="632"/>
      <c r="J255" s="632"/>
      <c r="K255" s="632"/>
      <c r="L255" s="632"/>
      <c r="M255" s="632"/>
      <c r="N255" s="632">
        <f t="shared" si="67"/>
        <v>40709711</v>
      </c>
      <c r="O255" s="636">
        <f t="shared" si="68"/>
        <v>12898685</v>
      </c>
      <c r="P255" s="1"/>
      <c r="Q255" s="627" t="s">
        <v>466</v>
      </c>
      <c r="R255" s="632">
        <v>23348259</v>
      </c>
      <c r="S255" s="632">
        <v>23739130</v>
      </c>
      <c r="T255" s="632">
        <v>0</v>
      </c>
      <c r="U255" s="632">
        <v>30304721</v>
      </c>
      <c r="V255" s="632">
        <v>0</v>
      </c>
      <c r="W255" s="632">
        <v>0</v>
      </c>
      <c r="X255" s="632">
        <v>37285000</v>
      </c>
      <c r="Y255" s="632">
        <v>39524898</v>
      </c>
      <c r="Z255" s="632">
        <v>0</v>
      </c>
      <c r="AA255" s="632">
        <v>33150979</v>
      </c>
      <c r="AB255" s="632">
        <v>33153939</v>
      </c>
      <c r="AC255" s="632">
        <v>40513514</v>
      </c>
      <c r="AD255" s="632">
        <v>12898685</v>
      </c>
    </row>
    <row r="256" spans="1:30" x14ac:dyDescent="0.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x14ac:dyDescent="0.6">
      <c r="A257" s="633" t="s">
        <v>364</v>
      </c>
      <c r="B257" s="633" t="s">
        <v>350</v>
      </c>
      <c r="C257" s="633" t="s">
        <v>351</v>
      </c>
      <c r="D257" s="633" t="s">
        <v>473</v>
      </c>
      <c r="E257" s="633" t="s">
        <v>352</v>
      </c>
      <c r="F257" s="633" t="s">
        <v>353</v>
      </c>
      <c r="G257" s="633" t="s">
        <v>354</v>
      </c>
      <c r="H257" s="633" t="s">
        <v>355</v>
      </c>
      <c r="I257" s="633" t="s">
        <v>356</v>
      </c>
      <c r="J257" s="633" t="s">
        <v>357</v>
      </c>
      <c r="K257" s="633" t="s">
        <v>358</v>
      </c>
      <c r="L257" s="633" t="s">
        <v>359</v>
      </c>
      <c r="M257" s="633" t="s">
        <v>360</v>
      </c>
      <c r="N257" s="633" t="s">
        <v>361</v>
      </c>
      <c r="O257" s="635" t="s">
        <v>453</v>
      </c>
      <c r="P257" s="1"/>
      <c r="Q257" s="633" t="s">
        <v>383</v>
      </c>
      <c r="R257" s="633" t="s">
        <v>369</v>
      </c>
      <c r="S257" s="633" t="s">
        <v>370</v>
      </c>
      <c r="T257" s="633" t="s">
        <v>371</v>
      </c>
      <c r="U257" s="633" t="s">
        <v>372</v>
      </c>
      <c r="V257" s="633" t="s">
        <v>373</v>
      </c>
      <c r="W257" s="633" t="s">
        <v>374</v>
      </c>
      <c r="X257" s="633" t="s">
        <v>375</v>
      </c>
      <c r="Y257" s="633" t="s">
        <v>376</v>
      </c>
      <c r="Z257" s="633" t="s">
        <v>377</v>
      </c>
      <c r="AA257" s="633" t="s">
        <v>378</v>
      </c>
      <c r="AB257" s="633" t="s">
        <v>379</v>
      </c>
      <c r="AC257" s="633" t="s">
        <v>380</v>
      </c>
      <c r="AD257" s="633" t="s">
        <v>361</v>
      </c>
    </row>
    <row r="258" spans="1:30" x14ac:dyDescent="0.6">
      <c r="A258" s="633" t="s">
        <v>191</v>
      </c>
      <c r="B258" s="634">
        <v>1509327</v>
      </c>
      <c r="C258" s="634">
        <v>1704252</v>
      </c>
      <c r="D258" s="634">
        <v>2367091</v>
      </c>
      <c r="E258" s="634">
        <v>2248922</v>
      </c>
      <c r="F258" s="634">
        <v>1938104</v>
      </c>
      <c r="G258" s="634">
        <v>1632462</v>
      </c>
      <c r="H258" s="634"/>
      <c r="I258" s="634"/>
      <c r="J258" s="634"/>
      <c r="K258" s="634"/>
      <c r="L258" s="634"/>
      <c r="M258" s="634"/>
      <c r="N258" s="634">
        <f>SUM(B258:M258)</f>
        <v>11400158</v>
      </c>
      <c r="O258" s="636">
        <f>SUM(R258:W258)</f>
        <v>6245096</v>
      </c>
      <c r="P258" s="1"/>
      <c r="Q258" s="633" t="s">
        <v>191</v>
      </c>
      <c r="R258" s="634">
        <v>485396</v>
      </c>
      <c r="S258" s="634">
        <v>833964</v>
      </c>
      <c r="T258" s="634">
        <v>803988</v>
      </c>
      <c r="U258" s="634">
        <v>1065761</v>
      </c>
      <c r="V258" s="634">
        <v>1341884</v>
      </c>
      <c r="W258" s="634">
        <v>1714103</v>
      </c>
      <c r="X258" s="634">
        <v>1350950</v>
      </c>
      <c r="Y258" s="634">
        <v>1773749</v>
      </c>
      <c r="Z258" s="634">
        <v>1711918</v>
      </c>
      <c r="AA258" s="634">
        <v>1579480</v>
      </c>
      <c r="AB258" s="634">
        <v>1582385</v>
      </c>
      <c r="AC258" s="634">
        <v>1646223</v>
      </c>
      <c r="AD258" s="634">
        <f>SUM(R258:AC258)</f>
        <v>15889801</v>
      </c>
    </row>
    <row r="259" spans="1:30" x14ac:dyDescent="0.6">
      <c r="A259" s="633" t="s">
        <v>190</v>
      </c>
      <c r="B259" s="634">
        <v>187700</v>
      </c>
      <c r="C259" s="634">
        <v>837630</v>
      </c>
      <c r="D259" s="634">
        <v>263454</v>
      </c>
      <c r="E259" s="634">
        <v>212150</v>
      </c>
      <c r="F259" s="634">
        <v>195015</v>
      </c>
      <c r="G259" s="634">
        <v>553267</v>
      </c>
      <c r="H259" s="634"/>
      <c r="I259" s="634"/>
      <c r="J259" s="634"/>
      <c r="K259" s="634"/>
      <c r="L259" s="634"/>
      <c r="M259" s="634"/>
      <c r="N259" s="634">
        <f t="shared" ref="N259:N260" si="69">SUM(B259:M259)</f>
        <v>2249216</v>
      </c>
      <c r="O259" s="636">
        <f t="shared" ref="O259:O261" si="70">SUM(R259:W259)</f>
        <v>1237407</v>
      </c>
      <c r="P259" s="1"/>
      <c r="Q259" s="633" t="s">
        <v>465</v>
      </c>
      <c r="R259" s="634">
        <v>28889</v>
      </c>
      <c r="S259" s="634">
        <v>53538</v>
      </c>
      <c r="T259" s="634">
        <v>594582</v>
      </c>
      <c r="U259" s="634">
        <v>125749</v>
      </c>
      <c r="V259" s="634">
        <v>138923</v>
      </c>
      <c r="W259" s="634">
        <v>295726</v>
      </c>
      <c r="X259" s="634">
        <v>151351</v>
      </c>
      <c r="Y259" s="634">
        <v>172735</v>
      </c>
      <c r="Z259" s="634">
        <v>105811</v>
      </c>
      <c r="AA259" s="634">
        <v>160637</v>
      </c>
      <c r="AB259" s="634">
        <v>185048</v>
      </c>
      <c r="AC259" s="634">
        <v>202731</v>
      </c>
      <c r="AD259" s="634">
        <f t="shared" ref="AD259:AD260" si="71">SUM(R259:AC259)</f>
        <v>2215720</v>
      </c>
    </row>
    <row r="260" spans="1:30" x14ac:dyDescent="0.6">
      <c r="A260" s="633" t="s">
        <v>189</v>
      </c>
      <c r="B260" s="634">
        <v>21881</v>
      </c>
      <c r="C260" s="634"/>
      <c r="D260" s="634">
        <v>8885</v>
      </c>
      <c r="E260" s="634"/>
      <c r="F260" s="634">
        <v>10333</v>
      </c>
      <c r="G260" s="634">
        <v>13019</v>
      </c>
      <c r="H260" s="634"/>
      <c r="I260" s="634"/>
      <c r="J260" s="634"/>
      <c r="K260" s="634"/>
      <c r="L260" s="634"/>
      <c r="M260" s="634"/>
      <c r="N260" s="634">
        <f t="shared" si="69"/>
        <v>54118</v>
      </c>
      <c r="O260" s="636">
        <f t="shared" si="70"/>
        <v>26379</v>
      </c>
      <c r="P260" s="1"/>
      <c r="Q260" s="633" t="s">
        <v>466</v>
      </c>
      <c r="R260" s="634">
        <v>18772</v>
      </c>
      <c r="S260" s="634">
        <v>546</v>
      </c>
      <c r="T260" s="634">
        <v>0</v>
      </c>
      <c r="U260" s="634">
        <v>7061</v>
      </c>
      <c r="V260" s="634">
        <v>0</v>
      </c>
      <c r="W260" s="634">
        <v>0</v>
      </c>
      <c r="X260" s="634">
        <v>14914</v>
      </c>
      <c r="Y260" s="634">
        <v>48418</v>
      </c>
      <c r="Z260" s="634">
        <v>0</v>
      </c>
      <c r="AA260" s="634">
        <v>35571</v>
      </c>
      <c r="AB260" s="634">
        <v>54704</v>
      </c>
      <c r="AC260" s="634">
        <v>35976</v>
      </c>
      <c r="AD260" s="634">
        <f t="shared" si="71"/>
        <v>215962</v>
      </c>
    </row>
    <row r="261" spans="1:30" x14ac:dyDescent="0.6">
      <c r="A261" s="633" t="s">
        <v>45</v>
      </c>
      <c r="B261" s="634">
        <f>SUM(B258:B260)</f>
        <v>1718908</v>
      </c>
      <c r="C261" s="634">
        <f t="shared" ref="C261:N261" si="72">SUM(C258:C260)</f>
        <v>2541882</v>
      </c>
      <c r="D261" s="634">
        <f t="shared" si="72"/>
        <v>2639430</v>
      </c>
      <c r="E261" s="634">
        <f t="shared" si="72"/>
        <v>2461072</v>
      </c>
      <c r="F261" s="634">
        <f t="shared" si="72"/>
        <v>2143452</v>
      </c>
      <c r="G261" s="634">
        <f t="shared" si="72"/>
        <v>2198748</v>
      </c>
      <c r="H261" s="634">
        <f t="shared" si="72"/>
        <v>0</v>
      </c>
      <c r="I261" s="634">
        <f t="shared" si="72"/>
        <v>0</v>
      </c>
      <c r="J261" s="634">
        <f t="shared" si="72"/>
        <v>0</v>
      </c>
      <c r="K261" s="634">
        <f t="shared" si="72"/>
        <v>0</v>
      </c>
      <c r="L261" s="634">
        <f t="shared" si="72"/>
        <v>0</v>
      </c>
      <c r="M261" s="634">
        <f t="shared" si="72"/>
        <v>0</v>
      </c>
      <c r="N261" s="705">
        <f t="shared" si="72"/>
        <v>13703492</v>
      </c>
      <c r="O261" s="705">
        <f t="shared" si="70"/>
        <v>7508882</v>
      </c>
      <c r="P261" s="1"/>
      <c r="Q261" s="633" t="s">
        <v>45</v>
      </c>
      <c r="R261" s="634">
        <f>SUM(R258:R260)</f>
        <v>533057</v>
      </c>
      <c r="S261" s="634">
        <f t="shared" ref="S261:AD261" si="73">SUM(S258:S260)</f>
        <v>888048</v>
      </c>
      <c r="T261" s="634">
        <f t="shared" si="73"/>
        <v>1398570</v>
      </c>
      <c r="U261" s="634">
        <f t="shared" si="73"/>
        <v>1198571</v>
      </c>
      <c r="V261" s="634">
        <f t="shared" si="73"/>
        <v>1480807</v>
      </c>
      <c r="W261" s="634">
        <f t="shared" si="73"/>
        <v>2009829</v>
      </c>
      <c r="X261" s="634">
        <f t="shared" si="73"/>
        <v>1517215</v>
      </c>
      <c r="Y261" s="634">
        <f t="shared" si="73"/>
        <v>1994902</v>
      </c>
      <c r="Z261" s="634">
        <f t="shared" si="73"/>
        <v>1817729</v>
      </c>
      <c r="AA261" s="634">
        <f t="shared" si="73"/>
        <v>1775688</v>
      </c>
      <c r="AB261" s="634">
        <f t="shared" si="73"/>
        <v>1822137</v>
      </c>
      <c r="AC261" s="634">
        <f t="shared" si="73"/>
        <v>1884930</v>
      </c>
      <c r="AD261" s="634">
        <f t="shared" si="73"/>
        <v>18321483</v>
      </c>
    </row>
  </sheetData>
  <mergeCells count="3">
    <mergeCell ref="A154:A156"/>
    <mergeCell ref="F167:F178"/>
    <mergeCell ref="G167:S168"/>
  </mergeCells>
  <conditionalFormatting sqref="H170:S178">
    <cfRule type="colorScale" priority="25">
      <colorScale>
        <cfvo type="num" val="$B$175"/>
        <cfvo type="num" val="$B$174"/>
        <cfvo type="num" val="$B$173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O241:O261" formulaRange="1"/>
    <ignoredError sqref="P35 Q11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5"/>
  <sheetViews>
    <sheetView rightToLeft="1" topLeftCell="A230" zoomScale="70" zoomScaleNormal="70" workbookViewId="0">
      <pane xSplit="1" topLeftCell="B1" activePane="topRight" state="frozen"/>
      <selection pane="topRight" activeCell="E239" sqref="E239"/>
    </sheetView>
  </sheetViews>
  <sheetFormatPr defaultRowHeight="22.5" x14ac:dyDescent="0.25"/>
  <cols>
    <col min="1" max="1" width="51.140625" style="1" bestFit="1" customWidth="1"/>
    <col min="2" max="2" width="22.85546875" style="1" bestFit="1" customWidth="1"/>
    <col min="3" max="3" width="22.28515625" style="1" bestFit="1" customWidth="1"/>
    <col min="4" max="4" width="23" style="1" bestFit="1" customWidth="1"/>
    <col min="5" max="5" width="26.140625" style="1" customWidth="1"/>
    <col min="6" max="6" width="23.140625" style="1" bestFit="1" customWidth="1"/>
    <col min="7" max="7" width="22.5703125" style="1" bestFit="1" customWidth="1"/>
    <col min="8" max="8" width="23.140625" style="1" bestFit="1" customWidth="1"/>
    <col min="9" max="9" width="24.140625" style="1" bestFit="1" customWidth="1"/>
    <col min="10" max="10" width="30.85546875" style="1" customWidth="1"/>
    <col min="11" max="11" width="24.5703125" style="1" bestFit="1" customWidth="1"/>
    <col min="12" max="12" width="29.140625" style="1" customWidth="1"/>
    <col min="13" max="13" width="23.28515625" style="1" bestFit="1" customWidth="1"/>
    <col min="14" max="14" width="25" style="1" bestFit="1" customWidth="1"/>
    <col min="15" max="15" width="16.28515625" style="1" bestFit="1" customWidth="1"/>
    <col min="16" max="16" width="18.28515625" style="1" bestFit="1" customWidth="1"/>
    <col min="17" max="17" width="21.28515625" style="1" bestFit="1" customWidth="1"/>
    <col min="18" max="18" width="28.5703125" style="1" customWidth="1"/>
    <col min="19" max="19" width="24.5703125" style="1" customWidth="1"/>
    <col min="20" max="20" width="17.85546875" style="1" bestFit="1" customWidth="1"/>
    <col min="21" max="21" width="21.28515625" style="1" bestFit="1" customWidth="1"/>
    <col min="22" max="22" width="17" style="1" bestFit="1" customWidth="1"/>
    <col min="23" max="23" width="17.28515625" style="1" bestFit="1" customWidth="1"/>
    <col min="24" max="24" width="18.7109375" style="1" bestFit="1" customWidth="1"/>
    <col min="25" max="25" width="17.140625" style="1" bestFit="1" customWidth="1"/>
    <col min="26" max="26" width="17.85546875" style="1" bestFit="1" customWidth="1"/>
    <col min="27" max="27" width="16.7109375" style="1" bestFit="1" customWidth="1"/>
    <col min="28" max="28" width="17.28515625" style="1" bestFit="1" customWidth="1"/>
    <col min="29" max="29" width="16.85546875" style="1" bestFit="1" customWidth="1"/>
    <col min="30" max="30" width="19.7109375" style="1" customWidth="1"/>
    <col min="31" max="31" width="11" style="1" bestFit="1" customWidth="1"/>
    <col min="32" max="32" width="8.42578125" style="1" bestFit="1" customWidth="1"/>
    <col min="33" max="33" width="13.140625" style="1" bestFit="1" customWidth="1"/>
    <col min="34" max="37" width="17.7109375" style="1" customWidth="1"/>
    <col min="38" max="38" width="31" style="1" customWidth="1"/>
    <col min="39" max="39" width="10.28515625" style="1" bestFit="1" customWidth="1"/>
    <col min="40" max="40" width="16.85546875" style="1" customWidth="1"/>
    <col min="41" max="41" width="12.42578125" style="1" customWidth="1"/>
    <col min="42" max="16384" width="9.140625" style="1"/>
  </cols>
  <sheetData>
    <row r="1" spans="1:44" x14ac:dyDescent="0.25">
      <c r="A1" s="191" t="s">
        <v>183</v>
      </c>
      <c r="B1" s="191" t="s">
        <v>81</v>
      </c>
      <c r="C1" s="191" t="s">
        <v>80</v>
      </c>
      <c r="D1" s="191" t="s">
        <v>79</v>
      </c>
      <c r="E1" s="191" t="s">
        <v>78</v>
      </c>
      <c r="F1" s="191" t="s">
        <v>77</v>
      </c>
      <c r="G1" s="191" t="s">
        <v>76</v>
      </c>
      <c r="H1" s="191" t="s">
        <v>75</v>
      </c>
      <c r="I1" s="191" t="s">
        <v>74</v>
      </c>
      <c r="J1" s="191" t="s">
        <v>73</v>
      </c>
      <c r="K1" s="191" t="s">
        <v>72</v>
      </c>
      <c r="L1" s="191" t="s">
        <v>71</v>
      </c>
      <c r="M1" s="191" t="s">
        <v>70</v>
      </c>
      <c r="N1" s="192" t="s">
        <v>69</v>
      </c>
      <c r="O1" s="191" t="s">
        <v>68</v>
      </c>
      <c r="P1" s="191" t="s">
        <v>67</v>
      </c>
      <c r="Q1" s="191" t="s">
        <v>66</v>
      </c>
      <c r="R1" s="204" t="s">
        <v>480</v>
      </c>
      <c r="S1" s="204" t="s">
        <v>182</v>
      </c>
      <c r="T1" s="204" t="s">
        <v>181</v>
      </c>
    </row>
    <row r="2" spans="1:44" x14ac:dyDescent="0.25">
      <c r="A2" s="191" t="s">
        <v>50</v>
      </c>
      <c r="B2" s="190">
        <v>4170000</v>
      </c>
      <c r="C2" s="190">
        <v>4038000</v>
      </c>
      <c r="D2" s="190">
        <v>5475000</v>
      </c>
      <c r="E2" s="190">
        <v>5563000</v>
      </c>
      <c r="F2" s="190">
        <v>1140000</v>
      </c>
      <c r="G2" s="190">
        <v>2924000</v>
      </c>
      <c r="H2" s="190">
        <v>3691000</v>
      </c>
      <c r="I2" s="190">
        <v>5968000</v>
      </c>
      <c r="J2" s="190">
        <v>1545000</v>
      </c>
      <c r="K2" s="190">
        <v>2467000</v>
      </c>
      <c r="L2" s="190">
        <v>3475000</v>
      </c>
      <c r="M2" s="190">
        <v>4449000</v>
      </c>
      <c r="N2" s="190">
        <v>1267000</v>
      </c>
      <c r="O2" s="190"/>
      <c r="P2" s="190">
        <f>Q2-N2</f>
        <v>3511519.4174757274</v>
      </c>
      <c r="Q2" s="190">
        <f>Q10*$Q$6</f>
        <v>4778519.4174757274</v>
      </c>
      <c r="R2" s="695">
        <v>7836000</v>
      </c>
      <c r="S2" s="204" t="s">
        <v>180</v>
      </c>
      <c r="T2" s="695">
        <v>8800000</v>
      </c>
      <c r="AM2" s="193"/>
      <c r="AN2" s="193"/>
      <c r="AO2" s="193"/>
      <c r="AP2" s="193"/>
      <c r="AQ2" s="193"/>
      <c r="AR2" s="193"/>
    </row>
    <row r="3" spans="1:44" x14ac:dyDescent="0.25">
      <c r="A3" s="191" t="s">
        <v>49</v>
      </c>
      <c r="B3" s="190">
        <v>1325000</v>
      </c>
      <c r="C3" s="190">
        <v>1467000</v>
      </c>
      <c r="D3" s="190">
        <v>1222000</v>
      </c>
      <c r="E3" s="190">
        <v>1370000</v>
      </c>
      <c r="F3" s="190">
        <v>378000</v>
      </c>
      <c r="G3" s="190">
        <v>753000</v>
      </c>
      <c r="H3" s="190">
        <v>1096000</v>
      </c>
      <c r="I3" s="190">
        <v>1492000</v>
      </c>
      <c r="J3" s="190">
        <v>352000</v>
      </c>
      <c r="K3" s="190">
        <v>713000</v>
      </c>
      <c r="L3" s="190">
        <v>1089000</v>
      </c>
      <c r="M3" s="190">
        <v>1428000</v>
      </c>
      <c r="N3" s="190">
        <v>385000</v>
      </c>
      <c r="O3" s="190"/>
      <c r="P3" s="190">
        <f>Q3-N3</f>
        <v>1052378.6407766989</v>
      </c>
      <c r="Q3" s="190">
        <f>Q11*$Q$6</f>
        <v>1437378.6407766989</v>
      </c>
      <c r="R3" s="695">
        <v>6663000</v>
      </c>
      <c r="S3" s="204" t="s">
        <v>179</v>
      </c>
      <c r="T3" s="695">
        <v>6750000</v>
      </c>
      <c r="AM3" s="193"/>
      <c r="AN3" s="193"/>
      <c r="AO3" s="193"/>
      <c r="AP3" s="193"/>
      <c r="AQ3" s="193"/>
      <c r="AR3" s="193"/>
    </row>
    <row r="4" spans="1:44" x14ac:dyDescent="0.25">
      <c r="A4" s="191" t="s">
        <v>48</v>
      </c>
      <c r="B4" s="190">
        <v>299000</v>
      </c>
      <c r="C4" s="190">
        <v>285000</v>
      </c>
      <c r="D4" s="190">
        <v>372000</v>
      </c>
      <c r="E4" s="190">
        <v>395000</v>
      </c>
      <c r="F4" s="190">
        <v>72000</v>
      </c>
      <c r="G4" s="190">
        <v>157000</v>
      </c>
      <c r="H4" s="190">
        <v>220000</v>
      </c>
      <c r="I4" s="190">
        <v>415000</v>
      </c>
      <c r="J4" s="190">
        <v>73000</v>
      </c>
      <c r="K4" s="190">
        <v>142000</v>
      </c>
      <c r="L4" s="190">
        <v>213000</v>
      </c>
      <c r="M4" s="190">
        <v>284000</v>
      </c>
      <c r="N4" s="190">
        <v>74000</v>
      </c>
      <c r="O4" s="190"/>
      <c r="P4" s="190">
        <f>Q4-N4</f>
        <v>199331.31067961163</v>
      </c>
      <c r="Q4" s="190">
        <f>Q12*$Q$6</f>
        <v>273331.31067961163</v>
      </c>
      <c r="R4" s="695">
        <v>1495000</v>
      </c>
      <c r="S4" s="204" t="s">
        <v>178</v>
      </c>
      <c r="T4" s="695">
        <v>1700000</v>
      </c>
      <c r="AM4" s="193"/>
      <c r="AN4" s="197"/>
      <c r="AO4" s="193"/>
      <c r="AP4" s="193"/>
      <c r="AQ4" s="193"/>
      <c r="AR4" s="193"/>
    </row>
    <row r="5" spans="1:44" x14ac:dyDescent="0.25">
      <c r="A5" s="191" t="s">
        <v>46</v>
      </c>
      <c r="B5" s="190">
        <v>168000</v>
      </c>
      <c r="C5" s="190">
        <v>55000</v>
      </c>
      <c r="D5" s="190">
        <v>0</v>
      </c>
      <c r="E5" s="190">
        <v>0</v>
      </c>
      <c r="F5" s="190">
        <v>263000</v>
      </c>
      <c r="G5" s="190">
        <v>0</v>
      </c>
      <c r="H5" s="190">
        <v>0</v>
      </c>
      <c r="I5" s="190">
        <v>0</v>
      </c>
      <c r="J5" s="190">
        <v>0</v>
      </c>
      <c r="K5" s="190">
        <v>329000</v>
      </c>
      <c r="L5" s="190">
        <v>452000</v>
      </c>
      <c r="M5" s="190">
        <v>627000</v>
      </c>
      <c r="N5" s="190">
        <v>311000</v>
      </c>
      <c r="O5" s="190"/>
      <c r="P5" s="190">
        <f>Q5-N5</f>
        <v>1074770.6310679612</v>
      </c>
      <c r="Q5" s="190">
        <f>Q13*$Q$6</f>
        <v>1385770.6310679612</v>
      </c>
      <c r="R5" s="695">
        <v>95000</v>
      </c>
      <c r="S5" s="204" t="s">
        <v>177</v>
      </c>
      <c r="T5" s="695">
        <v>100000</v>
      </c>
      <c r="AM5" s="193"/>
      <c r="AN5" s="193"/>
      <c r="AO5" s="193"/>
      <c r="AP5" s="193"/>
      <c r="AQ5" s="193"/>
      <c r="AR5" s="193"/>
    </row>
    <row r="6" spans="1:44" x14ac:dyDescent="0.25">
      <c r="A6" s="205" t="s">
        <v>45</v>
      </c>
      <c r="B6" s="190">
        <f t="shared" ref="B6:N6" si="0">SUM(B2:B5)</f>
        <v>5962000</v>
      </c>
      <c r="C6" s="190">
        <f t="shared" si="0"/>
        <v>5845000</v>
      </c>
      <c r="D6" s="190">
        <f t="shared" si="0"/>
        <v>7069000</v>
      </c>
      <c r="E6" s="190">
        <f t="shared" si="0"/>
        <v>7328000</v>
      </c>
      <c r="F6" s="190">
        <f t="shared" si="0"/>
        <v>1853000</v>
      </c>
      <c r="G6" s="190">
        <f t="shared" si="0"/>
        <v>3834000</v>
      </c>
      <c r="H6" s="190">
        <f t="shared" si="0"/>
        <v>5007000</v>
      </c>
      <c r="I6" s="190">
        <f t="shared" si="0"/>
        <v>7875000</v>
      </c>
      <c r="J6" s="190">
        <f t="shared" si="0"/>
        <v>1970000</v>
      </c>
      <c r="K6" s="190">
        <f t="shared" si="0"/>
        <v>3651000</v>
      </c>
      <c r="L6" s="190">
        <f t="shared" si="0"/>
        <v>5229000</v>
      </c>
      <c r="M6" s="190">
        <f t="shared" si="0"/>
        <v>6788000</v>
      </c>
      <c r="N6" s="190">
        <f t="shared" si="0"/>
        <v>2037000</v>
      </c>
      <c r="O6" s="190"/>
      <c r="P6" s="190">
        <f>Q6-N6</f>
        <v>5838000</v>
      </c>
      <c r="Q6" s="190">
        <f>B243</f>
        <v>7875000</v>
      </c>
      <c r="R6" s="695">
        <v>184000</v>
      </c>
      <c r="S6" s="204" t="s">
        <v>176</v>
      </c>
      <c r="T6" s="695">
        <v>200000</v>
      </c>
      <c r="AM6" s="193"/>
      <c r="AN6" s="193"/>
      <c r="AO6" s="193"/>
      <c r="AP6" s="193"/>
      <c r="AQ6" s="193"/>
      <c r="AR6" s="193"/>
    </row>
    <row r="7" spans="1:44" x14ac:dyDescent="0.25">
      <c r="R7" s="695">
        <v>105000</v>
      </c>
      <c r="S7" s="203" t="s">
        <v>175</v>
      </c>
      <c r="T7" s="695">
        <v>135000</v>
      </c>
    </row>
    <row r="8" spans="1:44" x14ac:dyDescent="0.25">
      <c r="R8" s="201"/>
      <c r="S8" s="202"/>
      <c r="T8" s="201"/>
    </row>
    <row r="9" spans="1:44" x14ac:dyDescent="0.6">
      <c r="A9" s="186" t="s">
        <v>174</v>
      </c>
      <c r="B9" s="186" t="s">
        <v>81</v>
      </c>
      <c r="C9" s="186" t="s">
        <v>80</v>
      </c>
      <c r="D9" s="186" t="s">
        <v>79</v>
      </c>
      <c r="E9" s="186" t="s">
        <v>78</v>
      </c>
      <c r="F9" s="186" t="s">
        <v>77</v>
      </c>
      <c r="G9" s="186" t="s">
        <v>76</v>
      </c>
      <c r="H9" s="186" t="s">
        <v>75</v>
      </c>
      <c r="I9" s="186" t="s">
        <v>74</v>
      </c>
      <c r="J9" s="186" t="s">
        <v>73</v>
      </c>
      <c r="K9" s="186" t="s">
        <v>72</v>
      </c>
      <c r="L9" s="186" t="s">
        <v>71</v>
      </c>
      <c r="M9" s="186" t="s">
        <v>70</v>
      </c>
      <c r="N9" s="186" t="s">
        <v>69</v>
      </c>
      <c r="O9" s="186" t="s">
        <v>68</v>
      </c>
      <c r="P9" s="186" t="s">
        <v>67</v>
      </c>
      <c r="Q9" s="186" t="s">
        <v>66</v>
      </c>
      <c r="R9" s="200" t="s">
        <v>173</v>
      </c>
      <c r="T9" s="83"/>
    </row>
    <row r="10" spans="1:44" x14ac:dyDescent="0.25">
      <c r="A10" s="186" t="s">
        <v>50</v>
      </c>
      <c r="B10" s="185">
        <f t="shared" ref="B10:N10" si="1">B2/B6</f>
        <v>0.69942972156994299</v>
      </c>
      <c r="C10" s="185">
        <f t="shared" si="1"/>
        <v>0.69084687767322495</v>
      </c>
      <c r="D10" s="185">
        <f t="shared" si="1"/>
        <v>0.77450841703211204</v>
      </c>
      <c r="E10" s="185">
        <f t="shared" si="1"/>
        <v>0.75914301310043664</v>
      </c>
      <c r="F10" s="185">
        <f t="shared" si="1"/>
        <v>0.61521856449001622</v>
      </c>
      <c r="G10" s="185">
        <f t="shared" si="1"/>
        <v>0.7626499739175796</v>
      </c>
      <c r="H10" s="185">
        <f t="shared" si="1"/>
        <v>0.7371679648492111</v>
      </c>
      <c r="I10" s="185">
        <f t="shared" si="1"/>
        <v>0.75784126984126987</v>
      </c>
      <c r="J10" s="185">
        <f t="shared" si="1"/>
        <v>0.78426395939086291</v>
      </c>
      <c r="K10" s="185">
        <f t="shared" si="1"/>
        <v>0.67570528622295256</v>
      </c>
      <c r="L10" s="185">
        <f t="shared" si="1"/>
        <v>0.66456301396060435</v>
      </c>
      <c r="M10" s="185">
        <f t="shared" si="1"/>
        <v>0.65542133176193285</v>
      </c>
      <c r="N10" s="185">
        <f t="shared" si="1"/>
        <v>0.62199312714776633</v>
      </c>
      <c r="O10" s="184"/>
      <c r="P10" s="185">
        <f>AVERAGE(C10:N10)</f>
        <v>0.70827689994899756</v>
      </c>
      <c r="Q10" s="185">
        <f>R10</f>
        <v>0.60679611650485432</v>
      </c>
      <c r="R10" s="189">
        <f>R232/$R$238</f>
        <v>0.60679611650485432</v>
      </c>
      <c r="T10" s="83"/>
    </row>
    <row r="11" spans="1:44" x14ac:dyDescent="0.25">
      <c r="A11" s="186" t="s">
        <v>49</v>
      </c>
      <c r="B11" s="185">
        <f t="shared" ref="B11:N11" si="2">B3/B6</f>
        <v>0.22224085877222408</v>
      </c>
      <c r="C11" s="185">
        <f t="shared" si="2"/>
        <v>0.25098374679213004</v>
      </c>
      <c r="D11" s="185">
        <f t="shared" si="2"/>
        <v>0.17286744942707596</v>
      </c>
      <c r="E11" s="185">
        <f t="shared" si="2"/>
        <v>0.18695414847161573</v>
      </c>
      <c r="F11" s="185">
        <f t="shared" si="2"/>
        <v>0.20399352401511064</v>
      </c>
      <c r="G11" s="185">
        <f t="shared" si="2"/>
        <v>0.19640062597809077</v>
      </c>
      <c r="H11" s="185">
        <f t="shared" si="2"/>
        <v>0.2188935490313561</v>
      </c>
      <c r="I11" s="185">
        <f t="shared" si="2"/>
        <v>0.18946031746031747</v>
      </c>
      <c r="J11" s="185">
        <f t="shared" si="2"/>
        <v>0.17868020304568527</v>
      </c>
      <c r="K11" s="185">
        <f t="shared" si="2"/>
        <v>0.19528896192823883</v>
      </c>
      <c r="L11" s="185">
        <f t="shared" si="2"/>
        <v>0.20826161790017211</v>
      </c>
      <c r="M11" s="185">
        <f t="shared" si="2"/>
        <v>0.2103712433706541</v>
      </c>
      <c r="N11" s="185">
        <f t="shared" si="2"/>
        <v>0.18900343642611683</v>
      </c>
      <c r="O11" s="184"/>
      <c r="P11" s="185">
        <f t="shared" ref="P11:P13" si="3">AVERAGE(C11:N11)</f>
        <v>0.20009656865388034</v>
      </c>
      <c r="Q11" s="185">
        <f t="shared" ref="Q11:Q13" si="4">R11</f>
        <v>0.18252427184466019</v>
      </c>
      <c r="R11" s="189">
        <f>R233/$R$238</f>
        <v>0.18252427184466019</v>
      </c>
      <c r="T11" s="83"/>
    </row>
    <row r="12" spans="1:44" x14ac:dyDescent="0.25">
      <c r="A12" s="186" t="s">
        <v>48</v>
      </c>
      <c r="B12" s="185">
        <f t="shared" ref="B12:N12" si="5">B4/B6</f>
        <v>5.0150956055015093E-2</v>
      </c>
      <c r="C12" s="185">
        <f t="shared" si="5"/>
        <v>4.875962360992301E-2</v>
      </c>
      <c r="D12" s="185">
        <f t="shared" si="5"/>
        <v>5.2624133540811996E-2</v>
      </c>
      <c r="E12" s="185">
        <f t="shared" si="5"/>
        <v>5.3902838427947596E-2</v>
      </c>
      <c r="F12" s="185">
        <f t="shared" si="5"/>
        <v>3.8855909336211546E-2</v>
      </c>
      <c r="G12" s="185">
        <f t="shared" si="5"/>
        <v>4.0949400104329681E-2</v>
      </c>
      <c r="H12" s="185">
        <f t="shared" si="5"/>
        <v>4.3938486119432796E-2</v>
      </c>
      <c r="I12" s="185">
        <f t="shared" si="5"/>
        <v>5.2698412698412696E-2</v>
      </c>
      <c r="J12" s="185">
        <f t="shared" si="5"/>
        <v>3.7055837563451779E-2</v>
      </c>
      <c r="K12" s="185">
        <f t="shared" si="5"/>
        <v>3.8893453848260748E-2</v>
      </c>
      <c r="L12" s="185">
        <f t="shared" si="5"/>
        <v>4.0734366035570853E-2</v>
      </c>
      <c r="M12" s="185">
        <f t="shared" si="5"/>
        <v>4.1838538597525045E-2</v>
      </c>
      <c r="N12" s="185">
        <f t="shared" si="5"/>
        <v>3.6327933235149733E-2</v>
      </c>
      <c r="O12" s="184"/>
      <c r="P12" s="185">
        <f t="shared" si="3"/>
        <v>4.3881577759752294E-2</v>
      </c>
      <c r="Q12" s="185">
        <f t="shared" si="4"/>
        <v>3.4708737864077667E-2</v>
      </c>
      <c r="R12" s="189">
        <f>R234/$R$238</f>
        <v>3.4708737864077667E-2</v>
      </c>
      <c r="T12" s="83"/>
    </row>
    <row r="13" spans="1:44" x14ac:dyDescent="0.25">
      <c r="A13" s="186" t="s">
        <v>46</v>
      </c>
      <c r="B13" s="185">
        <f t="shared" ref="B13:N13" si="6">B5/B6</f>
        <v>2.8178463602817845E-2</v>
      </c>
      <c r="C13" s="185">
        <f t="shared" si="6"/>
        <v>9.4097519247219839E-3</v>
      </c>
      <c r="D13" s="185">
        <f t="shared" si="6"/>
        <v>0</v>
      </c>
      <c r="E13" s="185">
        <f t="shared" si="6"/>
        <v>0</v>
      </c>
      <c r="F13" s="185">
        <f t="shared" si="6"/>
        <v>0.14193200215866164</v>
      </c>
      <c r="G13" s="185">
        <f t="shared" si="6"/>
        <v>0</v>
      </c>
      <c r="H13" s="185">
        <f t="shared" si="6"/>
        <v>0</v>
      </c>
      <c r="I13" s="185">
        <f t="shared" si="6"/>
        <v>0</v>
      </c>
      <c r="J13" s="185">
        <f t="shared" si="6"/>
        <v>0</v>
      </c>
      <c r="K13" s="185">
        <f t="shared" si="6"/>
        <v>9.0112298000547791E-2</v>
      </c>
      <c r="L13" s="185">
        <f t="shared" si="6"/>
        <v>8.64410021036527E-2</v>
      </c>
      <c r="M13" s="185">
        <f t="shared" si="6"/>
        <v>9.236888626988804E-2</v>
      </c>
      <c r="N13" s="185">
        <f t="shared" si="6"/>
        <v>0.15267550319096712</v>
      </c>
      <c r="O13" s="184"/>
      <c r="P13" s="185">
        <f t="shared" si="3"/>
        <v>4.7744953637369941E-2</v>
      </c>
      <c r="Q13" s="185">
        <f t="shared" si="4"/>
        <v>0.17597087378640777</v>
      </c>
      <c r="R13" s="189">
        <f>R235/$R$238</f>
        <v>0.17597087378640777</v>
      </c>
      <c r="T13" s="83"/>
    </row>
    <row r="14" spans="1:44" x14ac:dyDescent="0.25">
      <c r="A14" s="186" t="s">
        <v>45</v>
      </c>
      <c r="B14" s="185">
        <f t="shared" ref="B14:N14" si="7">B6/B6</f>
        <v>1</v>
      </c>
      <c r="C14" s="185">
        <f t="shared" si="7"/>
        <v>1</v>
      </c>
      <c r="D14" s="185">
        <f t="shared" si="7"/>
        <v>1</v>
      </c>
      <c r="E14" s="185">
        <f t="shared" si="7"/>
        <v>1</v>
      </c>
      <c r="F14" s="185">
        <f t="shared" si="7"/>
        <v>1</v>
      </c>
      <c r="G14" s="185">
        <f t="shared" si="7"/>
        <v>1</v>
      </c>
      <c r="H14" s="185">
        <f t="shared" si="7"/>
        <v>1</v>
      </c>
      <c r="I14" s="185">
        <f t="shared" si="7"/>
        <v>1</v>
      </c>
      <c r="J14" s="185">
        <f t="shared" si="7"/>
        <v>1</v>
      </c>
      <c r="K14" s="185">
        <f t="shared" si="7"/>
        <v>1</v>
      </c>
      <c r="L14" s="185">
        <f t="shared" si="7"/>
        <v>1</v>
      </c>
      <c r="M14" s="185">
        <f t="shared" si="7"/>
        <v>1</v>
      </c>
      <c r="N14" s="185">
        <f t="shared" si="7"/>
        <v>1</v>
      </c>
      <c r="O14" s="184"/>
      <c r="P14" s="184"/>
      <c r="Q14" s="184"/>
      <c r="R14" s="193"/>
      <c r="S14" s="193"/>
      <c r="T14" s="83"/>
    </row>
    <row r="15" spans="1:44" x14ac:dyDescent="0.25">
      <c r="T15" s="83"/>
    </row>
    <row r="16" spans="1:44" x14ac:dyDescent="0.25">
      <c r="T16" s="83"/>
    </row>
    <row r="17" spans="1:45" x14ac:dyDescent="0.25">
      <c r="A17" s="191" t="s">
        <v>172</v>
      </c>
      <c r="B17" s="191" t="s">
        <v>81</v>
      </c>
      <c r="C17" s="191" t="s">
        <v>80</v>
      </c>
      <c r="D17" s="191" t="s">
        <v>79</v>
      </c>
      <c r="E17" s="191" t="s">
        <v>78</v>
      </c>
      <c r="F17" s="191" t="s">
        <v>77</v>
      </c>
      <c r="G17" s="191" t="s">
        <v>76</v>
      </c>
      <c r="H17" s="191" t="s">
        <v>75</v>
      </c>
      <c r="I17" s="191" t="s">
        <v>74</v>
      </c>
      <c r="J17" s="191" t="s">
        <v>73</v>
      </c>
      <c r="K17" s="191" t="s">
        <v>72</v>
      </c>
      <c r="L17" s="191" t="s">
        <v>71</v>
      </c>
      <c r="M17" s="191" t="s">
        <v>70</v>
      </c>
      <c r="N17" s="192" t="s">
        <v>69</v>
      </c>
      <c r="O17" s="191" t="s">
        <v>68</v>
      </c>
      <c r="P17" s="191" t="s">
        <v>67</v>
      </c>
      <c r="Q17" s="191" t="s">
        <v>66</v>
      </c>
      <c r="R17" s="83"/>
      <c r="T17" s="83"/>
    </row>
    <row r="18" spans="1:45" x14ac:dyDescent="0.25">
      <c r="A18" s="191" t="s">
        <v>158</v>
      </c>
      <c r="B18" s="190">
        <v>3224181</v>
      </c>
      <c r="C18" s="190">
        <v>2764177</v>
      </c>
      <c r="D18" s="190">
        <v>2094293</v>
      </c>
      <c r="E18" s="190">
        <v>3206459</v>
      </c>
      <c r="F18" s="190">
        <v>877000</v>
      </c>
      <c r="G18" s="190">
        <v>1906000</v>
      </c>
      <c r="H18" s="190">
        <v>2549000</v>
      </c>
      <c r="I18" s="190">
        <v>3968000</v>
      </c>
      <c r="J18" s="190">
        <v>1376000</v>
      </c>
      <c r="K18" s="190">
        <v>2094000</v>
      </c>
      <c r="L18" s="190">
        <v>2939000</v>
      </c>
      <c r="M18" s="190">
        <v>4170000</v>
      </c>
      <c r="N18" s="190">
        <v>1195000</v>
      </c>
      <c r="O18" s="190"/>
      <c r="P18" s="190">
        <f t="shared" ref="P18:P25" si="8">Q18-N18</f>
        <v>3435987.2456331262</v>
      </c>
      <c r="Q18" s="190">
        <f t="shared" ref="Q18:Q24" si="9">Q29*$Q$25</f>
        <v>4630987.2456331262</v>
      </c>
      <c r="T18" s="83"/>
    </row>
    <row r="19" spans="1:45" x14ac:dyDescent="0.25">
      <c r="A19" s="191" t="s">
        <v>157</v>
      </c>
      <c r="B19" s="190">
        <v>1167273</v>
      </c>
      <c r="C19" s="190">
        <v>1340440</v>
      </c>
      <c r="D19" s="190">
        <v>978005</v>
      </c>
      <c r="E19" s="190">
        <v>1187872</v>
      </c>
      <c r="F19" s="190">
        <v>367000</v>
      </c>
      <c r="G19" s="190">
        <v>741000</v>
      </c>
      <c r="H19" s="190">
        <v>1104000</v>
      </c>
      <c r="I19" s="190">
        <v>1465000</v>
      </c>
      <c r="J19" s="190">
        <v>357000</v>
      </c>
      <c r="K19" s="190">
        <v>696000</v>
      </c>
      <c r="L19" s="190">
        <v>1056000</v>
      </c>
      <c r="M19" s="190">
        <v>1399000</v>
      </c>
      <c r="N19" s="190">
        <v>351000</v>
      </c>
      <c r="O19" s="190"/>
      <c r="P19" s="190">
        <f t="shared" si="8"/>
        <v>1242269.1988737842</v>
      </c>
      <c r="Q19" s="190">
        <f t="shared" si="9"/>
        <v>1593269.1988737842</v>
      </c>
      <c r="R19" s="83"/>
      <c r="S19" s="83"/>
      <c r="T19" s="117"/>
    </row>
    <row r="20" spans="1:45" x14ac:dyDescent="0.25">
      <c r="A20" s="191" t="s">
        <v>156</v>
      </c>
      <c r="B20" s="190">
        <v>283510</v>
      </c>
      <c r="C20" s="190">
        <v>265768</v>
      </c>
      <c r="D20" s="190">
        <v>235536</v>
      </c>
      <c r="E20" s="190">
        <v>265735</v>
      </c>
      <c r="F20" s="190">
        <v>77000</v>
      </c>
      <c r="G20" s="190">
        <v>136000</v>
      </c>
      <c r="H20" s="190">
        <v>198000</v>
      </c>
      <c r="I20" s="190">
        <v>262000</v>
      </c>
      <c r="J20" s="190">
        <v>73000</v>
      </c>
      <c r="K20" s="190">
        <v>127000</v>
      </c>
      <c r="L20" s="190">
        <v>191000</v>
      </c>
      <c r="M20" s="190">
        <v>268000</v>
      </c>
      <c r="N20" s="190">
        <v>59000</v>
      </c>
      <c r="O20" s="190"/>
      <c r="P20" s="190">
        <f t="shared" si="8"/>
        <v>278205.82507340191</v>
      </c>
      <c r="Q20" s="190">
        <f t="shared" si="9"/>
        <v>337205.82507340191</v>
      </c>
      <c r="R20" s="83"/>
    </row>
    <row r="21" spans="1:45" x14ac:dyDescent="0.25">
      <c r="A21" s="191" t="s">
        <v>164</v>
      </c>
      <c r="B21" s="190">
        <v>859737</v>
      </c>
      <c r="C21" s="190">
        <v>1332778</v>
      </c>
      <c r="D21" s="190">
        <v>1601136</v>
      </c>
      <c r="E21" s="190">
        <v>1325518</v>
      </c>
      <c r="F21" s="190">
        <v>0</v>
      </c>
      <c r="G21" s="190">
        <v>412000</v>
      </c>
      <c r="H21" s="190">
        <v>415000</v>
      </c>
      <c r="I21" s="190">
        <v>1257000</v>
      </c>
      <c r="J21" s="190">
        <v>0</v>
      </c>
      <c r="K21" s="190">
        <v>653000</v>
      </c>
      <c r="L21" s="190">
        <v>465000</v>
      </c>
      <c r="M21" s="190">
        <v>851000</v>
      </c>
      <c r="N21" s="190">
        <v>313000</v>
      </c>
      <c r="O21" s="190"/>
      <c r="P21" s="190">
        <f t="shared" si="8"/>
        <v>1247495.0360129196</v>
      </c>
      <c r="Q21" s="190">
        <f t="shared" si="9"/>
        <v>1560495.0360129196</v>
      </c>
      <c r="R21" s="83"/>
      <c r="S21" s="83"/>
    </row>
    <row r="22" spans="1:45" x14ac:dyDescent="0.25">
      <c r="A22" s="191" t="s">
        <v>163</v>
      </c>
      <c r="B22" s="190">
        <v>101029</v>
      </c>
      <c r="C22" s="190">
        <v>119522</v>
      </c>
      <c r="D22" s="190">
        <v>124051</v>
      </c>
      <c r="E22" s="190">
        <v>192262</v>
      </c>
      <c r="F22" s="190">
        <v>0</v>
      </c>
      <c r="G22" s="190">
        <v>1000</v>
      </c>
      <c r="H22" s="190">
        <v>975000</v>
      </c>
      <c r="I22" s="190">
        <v>7000</v>
      </c>
      <c r="J22" s="190">
        <v>0</v>
      </c>
      <c r="K22" s="190">
        <v>3000</v>
      </c>
      <c r="L22" s="190">
        <v>8000</v>
      </c>
      <c r="M22" s="190">
        <v>14000</v>
      </c>
      <c r="N22" s="190">
        <v>24000</v>
      </c>
      <c r="O22" s="190"/>
      <c r="P22" s="190">
        <f t="shared" si="8"/>
        <v>100191.30235827887</v>
      </c>
      <c r="Q22" s="190">
        <f t="shared" si="9"/>
        <v>124191.30235827887</v>
      </c>
      <c r="AM22" s="193"/>
      <c r="AN22" s="193"/>
      <c r="AO22" s="193"/>
      <c r="AP22" s="193"/>
      <c r="AQ22" s="193"/>
      <c r="AR22" s="193"/>
      <c r="AS22" s="193"/>
    </row>
    <row r="23" spans="1:45" x14ac:dyDescent="0.25">
      <c r="A23" s="191" t="s">
        <v>162</v>
      </c>
      <c r="B23" s="190">
        <v>48618</v>
      </c>
      <c r="C23" s="190">
        <v>23007</v>
      </c>
      <c r="D23" s="190">
        <v>18814</v>
      </c>
      <c r="E23" s="190">
        <v>22566</v>
      </c>
      <c r="F23" s="190">
        <v>0</v>
      </c>
      <c r="G23" s="190">
        <v>14000</v>
      </c>
      <c r="H23" s="190">
        <v>23000</v>
      </c>
      <c r="I23" s="190">
        <v>28000</v>
      </c>
      <c r="J23" s="190">
        <v>0</v>
      </c>
      <c r="K23" s="190">
        <v>7000</v>
      </c>
      <c r="L23" s="190">
        <v>11000</v>
      </c>
      <c r="M23" s="190">
        <v>13000</v>
      </c>
      <c r="N23" s="190">
        <v>6000</v>
      </c>
      <c r="O23" s="190"/>
      <c r="P23" s="190">
        <f t="shared" si="8"/>
        <v>27171.24968282046</v>
      </c>
      <c r="Q23" s="190">
        <f t="shared" si="9"/>
        <v>33171.24968282046</v>
      </c>
      <c r="S23" s="83"/>
      <c r="AM23" s="193"/>
      <c r="AN23" s="193"/>
      <c r="AO23" s="193"/>
      <c r="AP23" s="193"/>
      <c r="AQ23" s="193"/>
      <c r="AR23" s="193"/>
      <c r="AS23" s="193"/>
    </row>
    <row r="24" spans="1:45" x14ac:dyDescent="0.25">
      <c r="A24" s="191" t="s">
        <v>118</v>
      </c>
      <c r="B24" s="190">
        <v>55711</v>
      </c>
      <c r="C24" s="190">
        <v>41528</v>
      </c>
      <c r="D24" s="190">
        <f>143199+49524</f>
        <v>192723</v>
      </c>
      <c r="E24" s="190">
        <v>0</v>
      </c>
      <c r="F24" s="190">
        <v>263000</v>
      </c>
      <c r="G24" s="190">
        <v>0</v>
      </c>
      <c r="H24" s="190">
        <v>488000</v>
      </c>
      <c r="I24" s="190">
        <v>0</v>
      </c>
      <c r="J24" s="190">
        <v>0</v>
      </c>
      <c r="K24" s="190">
        <v>0</v>
      </c>
      <c r="L24" s="190">
        <v>219000</v>
      </c>
      <c r="M24" s="190">
        <v>0</v>
      </c>
      <c r="N24" s="190">
        <v>0</v>
      </c>
      <c r="O24" s="190"/>
      <c r="P24" s="190">
        <f t="shared" si="8"/>
        <v>69472.436475505863</v>
      </c>
      <c r="Q24" s="190">
        <f t="shared" si="9"/>
        <v>69472.436475505863</v>
      </c>
      <c r="R24" s="81" t="s">
        <v>171</v>
      </c>
      <c r="S24" s="83"/>
      <c r="AM24" s="193"/>
      <c r="AN24" s="193"/>
      <c r="AO24" s="193"/>
      <c r="AP24" s="193"/>
      <c r="AQ24" s="193"/>
      <c r="AR24" s="193"/>
      <c r="AS24" s="193"/>
    </row>
    <row r="25" spans="1:45" x14ac:dyDescent="0.25">
      <c r="A25" s="191" t="s">
        <v>45</v>
      </c>
      <c r="B25" s="190">
        <f t="shared" ref="B25:N25" si="10">SUM(B18:B24)</f>
        <v>5740059</v>
      </c>
      <c r="C25" s="190">
        <f t="shared" si="10"/>
        <v>5887220</v>
      </c>
      <c r="D25" s="190">
        <f t="shared" si="10"/>
        <v>5244558</v>
      </c>
      <c r="E25" s="190">
        <f t="shared" si="10"/>
        <v>6200412</v>
      </c>
      <c r="F25" s="190">
        <f t="shared" si="10"/>
        <v>1584000</v>
      </c>
      <c r="G25" s="190">
        <f t="shared" si="10"/>
        <v>3210000</v>
      </c>
      <c r="H25" s="190">
        <f t="shared" si="10"/>
        <v>5752000</v>
      </c>
      <c r="I25" s="190">
        <f t="shared" si="10"/>
        <v>6987000</v>
      </c>
      <c r="J25" s="190">
        <f t="shared" si="10"/>
        <v>1806000</v>
      </c>
      <c r="K25" s="190">
        <f t="shared" si="10"/>
        <v>3580000</v>
      </c>
      <c r="L25" s="190">
        <f t="shared" si="10"/>
        <v>4889000</v>
      </c>
      <c r="M25" s="190">
        <f t="shared" si="10"/>
        <v>6715000</v>
      </c>
      <c r="N25" s="190">
        <f t="shared" si="10"/>
        <v>1948000</v>
      </c>
      <c r="O25" s="190"/>
      <c r="P25" s="190">
        <f t="shared" si="8"/>
        <v>5842310.1060695341</v>
      </c>
      <c r="Q25" s="190">
        <f>Q6*Q36</f>
        <v>7790310.1060695341</v>
      </c>
      <c r="R25" s="199">
        <f>U236/12*5</f>
        <v>83473954.166666672</v>
      </c>
      <c r="S25" s="83"/>
      <c r="AM25" s="193"/>
      <c r="AN25" s="193"/>
      <c r="AO25" s="193"/>
      <c r="AP25" s="193"/>
      <c r="AQ25" s="193"/>
      <c r="AR25" s="193"/>
      <c r="AS25" s="193"/>
    </row>
    <row r="26" spans="1:45" x14ac:dyDescent="0.25">
      <c r="AM26" s="193"/>
      <c r="AN26" s="193"/>
      <c r="AO26" s="193"/>
      <c r="AP26" s="193"/>
      <c r="AQ26" s="193"/>
      <c r="AR26" s="193"/>
      <c r="AS26" s="193"/>
    </row>
    <row r="27" spans="1:45" x14ac:dyDescent="0.25">
      <c r="AM27" s="193"/>
      <c r="AN27" s="193"/>
      <c r="AO27" s="193"/>
      <c r="AP27" s="193"/>
      <c r="AQ27" s="193"/>
      <c r="AR27" s="193"/>
      <c r="AS27" s="193"/>
    </row>
    <row r="28" spans="1:45" x14ac:dyDescent="0.25">
      <c r="A28" s="186" t="s">
        <v>170</v>
      </c>
      <c r="B28" s="186" t="s">
        <v>81</v>
      </c>
      <c r="C28" s="186" t="s">
        <v>80</v>
      </c>
      <c r="D28" s="186" t="s">
        <v>79</v>
      </c>
      <c r="E28" s="186" t="s">
        <v>78</v>
      </c>
      <c r="F28" s="186" t="s">
        <v>77</v>
      </c>
      <c r="G28" s="186" t="s">
        <v>76</v>
      </c>
      <c r="H28" s="186" t="s">
        <v>75</v>
      </c>
      <c r="I28" s="186" t="s">
        <v>74</v>
      </c>
      <c r="J28" s="186" t="s">
        <v>73</v>
      </c>
      <c r="K28" s="186" t="s">
        <v>72</v>
      </c>
      <c r="L28" s="186" t="s">
        <v>71</v>
      </c>
      <c r="M28" s="186" t="s">
        <v>70</v>
      </c>
      <c r="N28" s="186" t="s">
        <v>69</v>
      </c>
      <c r="O28" s="186" t="s">
        <v>68</v>
      </c>
      <c r="P28" s="186" t="s">
        <v>67</v>
      </c>
      <c r="Q28" s="186" t="s">
        <v>66</v>
      </c>
      <c r="AM28" s="193"/>
      <c r="AN28" s="193"/>
      <c r="AO28" s="193"/>
      <c r="AP28" s="193"/>
      <c r="AQ28" s="193"/>
      <c r="AR28" s="193"/>
      <c r="AS28" s="193"/>
    </row>
    <row r="29" spans="1:45" x14ac:dyDescent="0.25">
      <c r="A29" s="186" t="s">
        <v>158</v>
      </c>
      <c r="B29" s="185">
        <f t="shared" ref="B29:N29" si="11">B18/B25</f>
        <v>0.56169823341537084</v>
      </c>
      <c r="C29" s="185">
        <f t="shared" si="11"/>
        <v>0.46952160782168834</v>
      </c>
      <c r="D29" s="185">
        <f t="shared" si="11"/>
        <v>0.39932688321875742</v>
      </c>
      <c r="E29" s="185">
        <f t="shared" si="11"/>
        <v>0.51713644190095753</v>
      </c>
      <c r="F29" s="185">
        <f t="shared" si="11"/>
        <v>0.55366161616161613</v>
      </c>
      <c r="G29" s="185">
        <f t="shared" si="11"/>
        <v>0.5937694704049844</v>
      </c>
      <c r="H29" s="185">
        <f t="shared" si="11"/>
        <v>0.44315020862308763</v>
      </c>
      <c r="I29" s="185">
        <f t="shared" si="11"/>
        <v>0.56791183626735364</v>
      </c>
      <c r="J29" s="185">
        <f t="shared" si="11"/>
        <v>0.76190476190476186</v>
      </c>
      <c r="K29" s="185">
        <f t="shared" si="11"/>
        <v>0.58491620111731846</v>
      </c>
      <c r="L29" s="185">
        <f t="shared" si="11"/>
        <v>0.60114542851298836</v>
      </c>
      <c r="M29" s="185">
        <f t="shared" si="11"/>
        <v>0.62099776619508562</v>
      </c>
      <c r="N29" s="185">
        <f t="shared" si="11"/>
        <v>0.61344969199178645</v>
      </c>
      <c r="O29" s="184"/>
      <c r="P29" s="184"/>
      <c r="Q29" s="185">
        <f>AVERAGE(M29,I29)</f>
        <v>0.59445480123121963</v>
      </c>
      <c r="R29" s="193"/>
      <c r="S29" s="193"/>
      <c r="AM29" s="193"/>
      <c r="AN29" s="193"/>
      <c r="AO29" s="193"/>
      <c r="AP29" s="193"/>
      <c r="AQ29" s="193"/>
      <c r="AR29" s="193"/>
      <c r="AS29" s="193"/>
    </row>
    <row r="30" spans="1:45" x14ac:dyDescent="0.25">
      <c r="A30" s="186" t="s">
        <v>157</v>
      </c>
      <c r="B30" s="185">
        <f t="shared" ref="B30:N30" si="12">B19/B25</f>
        <v>0.20335557526499293</v>
      </c>
      <c r="C30" s="185">
        <f t="shared" si="12"/>
        <v>0.227686412262494</v>
      </c>
      <c r="D30" s="185">
        <f t="shared" si="12"/>
        <v>0.18647996647191242</v>
      </c>
      <c r="E30" s="185">
        <f t="shared" si="12"/>
        <v>0.19157952729592809</v>
      </c>
      <c r="F30" s="185">
        <f t="shared" si="12"/>
        <v>0.2316919191919192</v>
      </c>
      <c r="G30" s="185">
        <f t="shared" si="12"/>
        <v>0.2308411214953271</v>
      </c>
      <c r="H30" s="185">
        <f t="shared" si="12"/>
        <v>0.19193324061196107</v>
      </c>
      <c r="I30" s="185">
        <f t="shared" si="12"/>
        <v>0.20967511092028052</v>
      </c>
      <c r="J30" s="185">
        <f t="shared" si="12"/>
        <v>0.19767441860465115</v>
      </c>
      <c r="K30" s="185">
        <f t="shared" si="12"/>
        <v>0.19441340782122904</v>
      </c>
      <c r="L30" s="185">
        <f t="shared" si="12"/>
        <v>0.21599509102065861</v>
      </c>
      <c r="M30" s="185">
        <f t="shared" si="12"/>
        <v>0.20833953834698438</v>
      </c>
      <c r="N30" s="185">
        <f t="shared" si="12"/>
        <v>0.18018480492813141</v>
      </c>
      <c r="O30" s="184"/>
      <c r="P30" s="184"/>
      <c r="Q30" s="185">
        <f t="shared" ref="Q30:Q35" si="13">AVERAGE(M30,I30,B30:E30)</f>
        <v>0.2045193550937654</v>
      </c>
      <c r="R30" s="193"/>
      <c r="S30" s="193"/>
      <c r="T30" s="19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7"/>
      <c r="AI30" s="187"/>
      <c r="AJ30" s="188"/>
      <c r="AK30" s="197"/>
      <c r="AL30" s="196"/>
      <c r="AM30" s="193"/>
      <c r="AN30" s="193"/>
      <c r="AO30" s="193"/>
      <c r="AP30" s="193"/>
      <c r="AQ30" s="193"/>
      <c r="AR30" s="193"/>
      <c r="AS30" s="193"/>
    </row>
    <row r="31" spans="1:45" x14ac:dyDescent="0.25">
      <c r="A31" s="186" t="s">
        <v>156</v>
      </c>
      <c r="B31" s="185">
        <f t="shared" ref="B31:N31" si="14">B20/B25</f>
        <v>4.9391478380274488E-2</v>
      </c>
      <c r="C31" s="185">
        <f t="shared" si="14"/>
        <v>4.5143208509279421E-2</v>
      </c>
      <c r="D31" s="185">
        <f t="shared" si="14"/>
        <v>4.4910552996077074E-2</v>
      </c>
      <c r="E31" s="185">
        <f t="shared" si="14"/>
        <v>4.2857635911936177E-2</v>
      </c>
      <c r="F31" s="185">
        <f t="shared" si="14"/>
        <v>4.8611111111111112E-2</v>
      </c>
      <c r="G31" s="185">
        <f t="shared" si="14"/>
        <v>4.2367601246105918E-2</v>
      </c>
      <c r="H31" s="185">
        <f t="shared" si="14"/>
        <v>3.4422809457579973E-2</v>
      </c>
      <c r="I31" s="185">
        <f t="shared" si="14"/>
        <v>3.7498210963217406E-2</v>
      </c>
      <c r="J31" s="185">
        <f t="shared" si="14"/>
        <v>4.0420819490586936E-2</v>
      </c>
      <c r="K31" s="185">
        <f t="shared" si="14"/>
        <v>3.5474860335195528E-2</v>
      </c>
      <c r="L31" s="185">
        <f t="shared" si="14"/>
        <v>3.9067293925138066E-2</v>
      </c>
      <c r="M31" s="185">
        <f t="shared" si="14"/>
        <v>3.9910647803425167E-2</v>
      </c>
      <c r="N31" s="185">
        <f t="shared" si="14"/>
        <v>3.0287474332648872E-2</v>
      </c>
      <c r="O31" s="184"/>
      <c r="P31" s="184"/>
      <c r="Q31" s="185">
        <f t="shared" si="13"/>
        <v>4.3285289094034958E-2</v>
      </c>
      <c r="R31" s="193"/>
      <c r="S31" s="193"/>
      <c r="T31" s="19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7"/>
      <c r="AI31" s="187"/>
      <c r="AJ31" s="188"/>
      <c r="AK31" s="197"/>
      <c r="AL31" s="196"/>
      <c r="AM31" s="193"/>
      <c r="AN31" s="193"/>
      <c r="AO31" s="193"/>
      <c r="AP31" s="193"/>
      <c r="AQ31" s="193"/>
      <c r="AR31" s="193"/>
      <c r="AS31" s="193"/>
    </row>
    <row r="32" spans="1:45" x14ac:dyDescent="0.25">
      <c r="A32" s="186" t="s">
        <v>155</v>
      </c>
      <c r="B32" s="185">
        <f t="shared" ref="B32:N32" si="15">B21/B25</f>
        <v>0.14977842562245441</v>
      </c>
      <c r="C32" s="185">
        <f t="shared" si="15"/>
        <v>0.22638494909312035</v>
      </c>
      <c r="D32" s="185">
        <f t="shared" si="15"/>
        <v>0.30529474552478969</v>
      </c>
      <c r="E32" s="185">
        <f t="shared" si="15"/>
        <v>0.21377901984577799</v>
      </c>
      <c r="F32" s="185">
        <f t="shared" si="15"/>
        <v>0</v>
      </c>
      <c r="G32" s="185">
        <f t="shared" si="15"/>
        <v>0.12834890965732088</v>
      </c>
      <c r="H32" s="185">
        <f t="shared" si="15"/>
        <v>7.214881780250347E-2</v>
      </c>
      <c r="I32" s="185">
        <f t="shared" si="15"/>
        <v>0.17990553885787891</v>
      </c>
      <c r="J32" s="185">
        <f t="shared" si="15"/>
        <v>0</v>
      </c>
      <c r="K32" s="185">
        <f t="shared" si="15"/>
        <v>0.1824022346368715</v>
      </c>
      <c r="L32" s="185">
        <f t="shared" si="15"/>
        <v>9.5111474739210472E-2</v>
      </c>
      <c r="M32" s="185">
        <f t="shared" si="15"/>
        <v>0.12673119880863737</v>
      </c>
      <c r="N32" s="185">
        <f t="shared" si="15"/>
        <v>0.1606776180698152</v>
      </c>
      <c r="O32" s="184"/>
      <c r="P32" s="184"/>
      <c r="Q32" s="185">
        <f t="shared" si="13"/>
        <v>0.20031231295877647</v>
      </c>
      <c r="R32" s="193"/>
      <c r="S32" s="193"/>
      <c r="T32" s="19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7"/>
      <c r="AI32" s="187"/>
      <c r="AJ32" s="188"/>
      <c r="AK32" s="197"/>
      <c r="AL32" s="196"/>
      <c r="AM32" s="193"/>
      <c r="AN32" s="193"/>
      <c r="AO32" s="193"/>
      <c r="AP32" s="193"/>
      <c r="AQ32" s="193"/>
      <c r="AR32" s="193"/>
      <c r="AS32" s="193"/>
    </row>
    <row r="33" spans="1:45" x14ac:dyDescent="0.25">
      <c r="A33" s="186" t="s">
        <v>154</v>
      </c>
      <c r="B33" s="185">
        <f t="shared" ref="B33:N33" si="16">B22/B25</f>
        <v>1.7600690167121975E-2</v>
      </c>
      <c r="C33" s="185">
        <f t="shared" si="16"/>
        <v>2.0301942173046022E-2</v>
      </c>
      <c r="D33" s="185">
        <f t="shared" si="16"/>
        <v>2.3653280219229151E-2</v>
      </c>
      <c r="E33" s="185">
        <f t="shared" si="16"/>
        <v>3.1007939472409252E-2</v>
      </c>
      <c r="F33" s="185">
        <f t="shared" si="16"/>
        <v>0</v>
      </c>
      <c r="G33" s="185">
        <f t="shared" si="16"/>
        <v>3.1152647975077883E-4</v>
      </c>
      <c r="H33" s="185">
        <f t="shared" si="16"/>
        <v>0.16950625869262864</v>
      </c>
      <c r="I33" s="185">
        <f t="shared" si="16"/>
        <v>1.0018605982539E-3</v>
      </c>
      <c r="J33" s="185">
        <f t="shared" si="16"/>
        <v>0</v>
      </c>
      <c r="K33" s="185">
        <f t="shared" si="16"/>
        <v>8.3798882681564244E-4</v>
      </c>
      <c r="L33" s="185">
        <f t="shared" si="16"/>
        <v>1.6363264471262017E-3</v>
      </c>
      <c r="M33" s="185">
        <f t="shared" si="16"/>
        <v>2.0848845867460909E-3</v>
      </c>
      <c r="N33" s="185">
        <f t="shared" si="16"/>
        <v>1.2320328542094456E-2</v>
      </c>
      <c r="O33" s="184"/>
      <c r="P33" s="184"/>
      <c r="Q33" s="185">
        <f t="shared" si="13"/>
        <v>1.5941766202801064E-2</v>
      </c>
      <c r="R33" s="193"/>
      <c r="S33" s="193"/>
      <c r="T33" s="19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7"/>
      <c r="AI33" s="187"/>
      <c r="AJ33" s="188"/>
      <c r="AK33" s="197"/>
      <c r="AL33" s="196"/>
      <c r="AM33" s="193"/>
      <c r="AN33" s="193"/>
      <c r="AO33" s="193"/>
      <c r="AP33" s="193"/>
      <c r="AQ33" s="193"/>
      <c r="AR33" s="193"/>
      <c r="AS33" s="193"/>
    </row>
    <row r="34" spans="1:45" x14ac:dyDescent="0.25">
      <c r="A34" s="186" t="s">
        <v>153</v>
      </c>
      <c r="B34" s="185">
        <f t="shared" ref="B34:N34" si="17">B23/B25</f>
        <v>8.469947782766692E-3</v>
      </c>
      <c r="C34" s="185">
        <f t="shared" si="17"/>
        <v>3.9079565567449494E-3</v>
      </c>
      <c r="D34" s="185">
        <f t="shared" si="17"/>
        <v>3.5873375792583474E-3</v>
      </c>
      <c r="E34" s="185">
        <f t="shared" si="17"/>
        <v>3.6394355729909562E-3</v>
      </c>
      <c r="F34" s="185">
        <f t="shared" si="17"/>
        <v>0</v>
      </c>
      <c r="G34" s="185">
        <f t="shared" si="17"/>
        <v>4.3613707165109034E-3</v>
      </c>
      <c r="H34" s="185">
        <f t="shared" si="17"/>
        <v>3.9986091794158556E-3</v>
      </c>
      <c r="I34" s="185">
        <f t="shared" si="17"/>
        <v>4.0074423930156E-3</v>
      </c>
      <c r="J34" s="185">
        <f t="shared" si="17"/>
        <v>0</v>
      </c>
      <c r="K34" s="185">
        <f t="shared" si="17"/>
        <v>1.9553072625698325E-3</v>
      </c>
      <c r="L34" s="185">
        <f t="shared" si="17"/>
        <v>2.2499488647985274E-3</v>
      </c>
      <c r="M34" s="185">
        <f t="shared" si="17"/>
        <v>1.9359642591213701E-3</v>
      </c>
      <c r="N34" s="185">
        <f t="shared" si="17"/>
        <v>3.0800821355236141E-3</v>
      </c>
      <c r="O34" s="184"/>
      <c r="P34" s="184"/>
      <c r="Q34" s="185">
        <f t="shared" si="13"/>
        <v>4.2580140239829858E-3</v>
      </c>
      <c r="R34" s="193"/>
      <c r="S34" s="193"/>
      <c r="T34" s="19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7"/>
      <c r="AI34" s="187"/>
      <c r="AJ34" s="188"/>
      <c r="AK34" s="197"/>
      <c r="AL34" s="196"/>
      <c r="AM34" s="193"/>
      <c r="AN34" s="193"/>
      <c r="AO34" s="193"/>
      <c r="AP34" s="193"/>
      <c r="AQ34" s="193"/>
      <c r="AR34" s="193"/>
      <c r="AS34" s="193"/>
    </row>
    <row r="35" spans="1:45" x14ac:dyDescent="0.25">
      <c r="A35" s="186" t="s">
        <v>118</v>
      </c>
      <c r="B35" s="185">
        <f t="shared" ref="B35:N35" si="18">B24/B25</f>
        <v>9.7056493670187021E-3</v>
      </c>
      <c r="C35" s="185">
        <f t="shared" si="18"/>
        <v>7.0539235836269074E-3</v>
      </c>
      <c r="D35" s="185">
        <f t="shared" si="18"/>
        <v>3.6747233989975897E-2</v>
      </c>
      <c r="E35" s="185">
        <f t="shared" si="18"/>
        <v>0</v>
      </c>
      <c r="F35" s="185">
        <f t="shared" si="18"/>
        <v>0.16603535353535354</v>
      </c>
      <c r="G35" s="185">
        <f t="shared" si="18"/>
        <v>0</v>
      </c>
      <c r="H35" s="185">
        <f t="shared" si="18"/>
        <v>8.4840055632823361E-2</v>
      </c>
      <c r="I35" s="185">
        <f t="shared" si="18"/>
        <v>0</v>
      </c>
      <c r="J35" s="185">
        <f t="shared" si="18"/>
        <v>0</v>
      </c>
      <c r="K35" s="185">
        <f t="shared" si="18"/>
        <v>0</v>
      </c>
      <c r="L35" s="185">
        <f t="shared" si="18"/>
        <v>4.4794436490079768E-2</v>
      </c>
      <c r="M35" s="185">
        <f t="shared" si="18"/>
        <v>0</v>
      </c>
      <c r="N35" s="185">
        <f t="shared" si="18"/>
        <v>0</v>
      </c>
      <c r="O35" s="184"/>
      <c r="P35" s="184"/>
      <c r="Q35" s="185">
        <f t="shared" si="13"/>
        <v>8.9178011567702508E-3</v>
      </c>
      <c r="R35" s="183" t="s">
        <v>169</v>
      </c>
      <c r="T35" s="19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7"/>
      <c r="AI35" s="187"/>
      <c r="AJ35" s="188"/>
      <c r="AK35" s="197"/>
      <c r="AL35" s="196"/>
      <c r="AM35" s="193"/>
      <c r="AN35" s="193"/>
      <c r="AO35" s="193"/>
      <c r="AP35" s="193"/>
      <c r="AQ35" s="193"/>
      <c r="AR35" s="193"/>
      <c r="AS35" s="193"/>
    </row>
    <row r="36" spans="1:45" x14ac:dyDescent="0.25">
      <c r="A36" s="186" t="s">
        <v>168</v>
      </c>
      <c r="B36" s="185">
        <f t="shared" ref="B36:N36" si="19">B25/B6</f>
        <v>0.96277406910432739</v>
      </c>
      <c r="C36" s="185">
        <f t="shared" si="19"/>
        <v>1.0072232677502138</v>
      </c>
      <c r="D36" s="185">
        <f t="shared" si="19"/>
        <v>0.74190946385627388</v>
      </c>
      <c r="E36" s="185">
        <f t="shared" si="19"/>
        <v>0.84612609170305675</v>
      </c>
      <c r="F36" s="185">
        <f t="shared" si="19"/>
        <v>0.8548300053966541</v>
      </c>
      <c r="G36" s="185">
        <f t="shared" si="19"/>
        <v>0.83724569640062596</v>
      </c>
      <c r="H36" s="185">
        <f t="shared" si="19"/>
        <v>1.1487916916317156</v>
      </c>
      <c r="I36" s="185">
        <f t="shared" si="19"/>
        <v>0.88723809523809527</v>
      </c>
      <c r="J36" s="185">
        <f t="shared" si="19"/>
        <v>0.91675126903553295</v>
      </c>
      <c r="K36" s="185">
        <f t="shared" si="19"/>
        <v>0.98055327307586959</v>
      </c>
      <c r="L36" s="185">
        <f t="shared" si="19"/>
        <v>0.93497800726716385</v>
      </c>
      <c r="M36" s="185">
        <f t="shared" si="19"/>
        <v>0.98924572775486153</v>
      </c>
      <c r="N36" s="185">
        <f t="shared" si="19"/>
        <v>0.95630829651448213</v>
      </c>
      <c r="O36" s="184"/>
      <c r="P36" s="184"/>
      <c r="Q36" s="185">
        <f>M36</f>
        <v>0.98924572775486153</v>
      </c>
      <c r="R36" s="189">
        <f>S238/R238</f>
        <v>0.94029126213592229</v>
      </c>
      <c r="T36" s="195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</row>
    <row r="37" spans="1:45" x14ac:dyDescent="0.25">
      <c r="R37" s="117"/>
      <c r="S37" s="117"/>
      <c r="T37" s="117"/>
    </row>
    <row r="38" spans="1:45" x14ac:dyDescent="0.25">
      <c r="R38" s="117"/>
      <c r="S38" s="117"/>
      <c r="T38" s="117"/>
    </row>
    <row r="39" spans="1:45" x14ac:dyDescent="0.25">
      <c r="A39" s="191" t="s">
        <v>167</v>
      </c>
      <c r="B39" s="191" t="s">
        <v>81</v>
      </c>
      <c r="C39" s="191" t="s">
        <v>80</v>
      </c>
      <c r="D39" s="191" t="s">
        <v>79</v>
      </c>
      <c r="E39" s="191" t="s">
        <v>78</v>
      </c>
      <c r="F39" s="191" t="s">
        <v>77</v>
      </c>
      <c r="G39" s="191" t="s">
        <v>76</v>
      </c>
      <c r="H39" s="191" t="s">
        <v>75</v>
      </c>
      <c r="I39" s="191" t="s">
        <v>74</v>
      </c>
      <c r="J39" s="191" t="s">
        <v>73</v>
      </c>
      <c r="K39" s="191" t="s">
        <v>72</v>
      </c>
      <c r="L39" s="191" t="s">
        <v>71</v>
      </c>
      <c r="M39" s="191" t="s">
        <v>70</v>
      </c>
      <c r="N39" s="192" t="s">
        <v>69</v>
      </c>
      <c r="O39" s="191" t="s">
        <v>68</v>
      </c>
      <c r="P39" s="191" t="s">
        <v>67</v>
      </c>
      <c r="Q39" s="191" t="s">
        <v>66</v>
      </c>
      <c r="R39" s="83"/>
      <c r="S39" s="83"/>
    </row>
    <row r="40" spans="1:45" x14ac:dyDescent="0.25">
      <c r="A40" s="191" t="s">
        <v>158</v>
      </c>
      <c r="B40" s="190">
        <v>53555732</v>
      </c>
      <c r="C40" s="190">
        <v>47482620</v>
      </c>
      <c r="D40" s="190">
        <v>32380662</v>
      </c>
      <c r="E40" s="190">
        <v>51890940</v>
      </c>
      <c r="F40" s="190">
        <v>17613184</v>
      </c>
      <c r="G40" s="190">
        <v>36699558</v>
      </c>
      <c r="H40" s="190">
        <v>54473683</v>
      </c>
      <c r="I40" s="190">
        <v>84080176</v>
      </c>
      <c r="J40" s="190">
        <v>33983831</v>
      </c>
      <c r="K40" s="190">
        <v>55482044</v>
      </c>
      <c r="L40" s="190">
        <v>89880176</v>
      </c>
      <c r="M40" s="190">
        <v>137953523</v>
      </c>
      <c r="N40" s="190">
        <v>57256487</v>
      </c>
      <c r="O40" s="190"/>
      <c r="P40" s="190">
        <f t="shared" ref="P40:P45" si="20">P18*P62/1000000</f>
        <v>166503706.86933449</v>
      </c>
      <c r="Q40" s="190">
        <f t="shared" ref="Q40:Q47" si="21">P40+N40</f>
        <v>223760193.86933449</v>
      </c>
      <c r="R40" s="696"/>
      <c r="S40" s="696"/>
    </row>
    <row r="41" spans="1:45" x14ac:dyDescent="0.25">
      <c r="A41" s="191" t="s">
        <v>157</v>
      </c>
      <c r="B41" s="190">
        <v>22602643</v>
      </c>
      <c r="C41" s="190">
        <v>27194570</v>
      </c>
      <c r="D41" s="190">
        <v>18827006</v>
      </c>
      <c r="E41" s="190">
        <v>22967985</v>
      </c>
      <c r="F41" s="190">
        <v>9291970</v>
      </c>
      <c r="G41" s="190">
        <v>18660101</v>
      </c>
      <c r="H41" s="190">
        <v>28379218</v>
      </c>
      <c r="I41" s="190">
        <v>38611610</v>
      </c>
      <c r="J41" s="190">
        <v>10316829</v>
      </c>
      <c r="K41" s="190">
        <v>20834423</v>
      </c>
      <c r="L41" s="190">
        <v>36080878</v>
      </c>
      <c r="M41" s="190">
        <v>54085347</v>
      </c>
      <c r="N41" s="190">
        <v>18164822</v>
      </c>
      <c r="O41" s="190"/>
      <c r="P41" s="190">
        <f t="shared" si="20"/>
        <v>74027806.42321378</v>
      </c>
      <c r="Q41" s="190">
        <f t="shared" si="21"/>
        <v>92192628.42321378</v>
      </c>
      <c r="R41" s="696"/>
      <c r="S41" s="696"/>
    </row>
    <row r="42" spans="1:45" x14ac:dyDescent="0.25">
      <c r="A42" s="191" t="s">
        <v>156</v>
      </c>
      <c r="B42" s="190">
        <v>7797743</v>
      </c>
      <c r="C42" s="190">
        <v>7114594</v>
      </c>
      <c r="D42" s="190">
        <v>5927020</v>
      </c>
      <c r="E42" s="190">
        <v>6733832</v>
      </c>
      <c r="F42" s="190">
        <v>2355984</v>
      </c>
      <c r="G42" s="190">
        <v>4263015</v>
      </c>
      <c r="H42" s="190">
        <v>6415297</v>
      </c>
      <c r="I42" s="190">
        <v>8842438</v>
      </c>
      <c r="J42" s="190">
        <v>2798038</v>
      </c>
      <c r="K42" s="190">
        <v>5159141</v>
      </c>
      <c r="L42" s="190">
        <v>9326955</v>
      </c>
      <c r="M42" s="190">
        <v>16102055</v>
      </c>
      <c r="N42" s="190">
        <v>5812750</v>
      </c>
      <c r="O42" s="190"/>
      <c r="P42" s="190">
        <f t="shared" si="20"/>
        <v>33152905.17291243</v>
      </c>
      <c r="Q42" s="190">
        <f t="shared" si="21"/>
        <v>38965655.172912434</v>
      </c>
    </row>
    <row r="43" spans="1:45" x14ac:dyDescent="0.25">
      <c r="A43" s="191" t="s">
        <v>164</v>
      </c>
      <c r="B43" s="190">
        <v>10351909</v>
      </c>
      <c r="C43" s="190">
        <v>17281797</v>
      </c>
      <c r="D43" s="190">
        <v>17788388</v>
      </c>
      <c r="E43" s="190">
        <v>16286831</v>
      </c>
      <c r="F43" s="190">
        <v>0</v>
      </c>
      <c r="G43" s="190">
        <v>6930687</v>
      </c>
      <c r="H43" s="190">
        <v>8181058</v>
      </c>
      <c r="I43" s="190">
        <v>25523495</v>
      </c>
      <c r="J43" s="190">
        <v>0</v>
      </c>
      <c r="K43" s="190">
        <v>16255268</v>
      </c>
      <c r="L43" s="190">
        <v>14123218</v>
      </c>
      <c r="M43" s="190">
        <v>24649725</v>
      </c>
      <c r="N43" s="190">
        <v>12776562</v>
      </c>
      <c r="O43" s="190"/>
      <c r="P43" s="190">
        <f t="shared" si="20"/>
        <v>60378759.74302531</v>
      </c>
      <c r="Q43" s="190">
        <f t="shared" si="21"/>
        <v>73155321.743025303</v>
      </c>
      <c r="R43" s="193"/>
      <c r="S43" s="193"/>
    </row>
    <row r="44" spans="1:45" x14ac:dyDescent="0.25">
      <c r="A44" s="191" t="s">
        <v>163</v>
      </c>
      <c r="B44" s="190">
        <v>1452781</v>
      </c>
      <c r="C44" s="190">
        <v>1901766</v>
      </c>
      <c r="D44" s="190">
        <v>1650244</v>
      </c>
      <c r="E44" s="190">
        <v>2758724</v>
      </c>
      <c r="F44" s="190">
        <v>0</v>
      </c>
      <c r="G44" s="190">
        <v>15131</v>
      </c>
      <c r="H44" s="190">
        <v>19970</v>
      </c>
      <c r="I44" s="190">
        <v>181530</v>
      </c>
      <c r="J44" s="190">
        <v>0</v>
      </c>
      <c r="K44" s="190">
        <v>94279</v>
      </c>
      <c r="L44" s="190">
        <v>375890</v>
      </c>
      <c r="M44" s="190">
        <v>729891</v>
      </c>
      <c r="N44" s="190">
        <v>1333638</v>
      </c>
      <c r="O44" s="190"/>
      <c r="P44" s="190">
        <f t="shared" si="20"/>
        <v>6601345.0563130518</v>
      </c>
      <c r="Q44" s="190">
        <f t="shared" si="21"/>
        <v>7934983.0563130518</v>
      </c>
      <c r="R44" s="193"/>
      <c r="S44" s="696"/>
    </row>
    <row r="45" spans="1:45" x14ac:dyDescent="0.25">
      <c r="A45" s="191" t="s">
        <v>162</v>
      </c>
      <c r="B45" s="190">
        <v>723585</v>
      </c>
      <c r="C45" s="190">
        <v>401926</v>
      </c>
      <c r="D45" s="190">
        <v>359782</v>
      </c>
      <c r="E45" s="190">
        <v>445351</v>
      </c>
      <c r="F45" s="190">
        <v>0</v>
      </c>
      <c r="G45" s="190">
        <v>360017</v>
      </c>
      <c r="H45" s="190">
        <v>604518</v>
      </c>
      <c r="I45" s="190">
        <v>782590</v>
      </c>
      <c r="J45" s="190">
        <v>0</v>
      </c>
      <c r="K45" s="190">
        <v>275982</v>
      </c>
      <c r="L45" s="190">
        <v>482360</v>
      </c>
      <c r="M45" s="190">
        <v>580408</v>
      </c>
      <c r="N45" s="190">
        <v>394004</v>
      </c>
      <c r="O45" s="190"/>
      <c r="P45" s="190">
        <f t="shared" si="20"/>
        <v>2115605.4943237258</v>
      </c>
      <c r="Q45" s="190">
        <f t="shared" si="21"/>
        <v>2509609.4943237258</v>
      </c>
      <c r="R45" s="193"/>
      <c r="S45" s="696"/>
    </row>
    <row r="46" spans="1:45" x14ac:dyDescent="0.25">
      <c r="A46" s="191" t="s">
        <v>118</v>
      </c>
      <c r="B46" s="190">
        <v>794130</v>
      </c>
      <c r="C46" s="190">
        <v>621971</v>
      </c>
      <c r="D46" s="190">
        <f>385033+848932</f>
        <v>1233965</v>
      </c>
      <c r="E46" s="190">
        <v>0</v>
      </c>
      <c r="F46" s="190">
        <v>4005553</v>
      </c>
      <c r="G46" s="190">
        <v>0</v>
      </c>
      <c r="H46" s="190">
        <v>7503943</v>
      </c>
      <c r="I46" s="190">
        <v>0</v>
      </c>
      <c r="J46" s="190">
        <v>0</v>
      </c>
      <c r="K46" s="190">
        <v>0</v>
      </c>
      <c r="L46" s="190">
        <v>5591243</v>
      </c>
      <c r="M46" s="190">
        <v>0</v>
      </c>
      <c r="N46" s="190">
        <v>0</v>
      </c>
      <c r="O46" s="190"/>
      <c r="P46" s="190"/>
      <c r="Q46" s="190">
        <f t="shared" si="21"/>
        <v>0</v>
      </c>
    </row>
    <row r="47" spans="1:45" x14ac:dyDescent="0.25">
      <c r="A47" s="191" t="s">
        <v>45</v>
      </c>
      <c r="B47" s="190">
        <f t="shared" ref="B47:N47" si="22">SUM(B40:B46)</f>
        <v>97278523</v>
      </c>
      <c r="C47" s="190">
        <f t="shared" si="22"/>
        <v>101999244</v>
      </c>
      <c r="D47" s="190">
        <f t="shared" si="22"/>
        <v>78167067</v>
      </c>
      <c r="E47" s="190">
        <f t="shared" si="22"/>
        <v>101083663</v>
      </c>
      <c r="F47" s="190">
        <f t="shared" si="22"/>
        <v>33266691</v>
      </c>
      <c r="G47" s="190">
        <f t="shared" si="22"/>
        <v>66928509</v>
      </c>
      <c r="H47" s="190">
        <f t="shared" si="22"/>
        <v>105577687</v>
      </c>
      <c r="I47" s="190">
        <f t="shared" si="22"/>
        <v>158021839</v>
      </c>
      <c r="J47" s="190">
        <f t="shared" si="22"/>
        <v>47098698</v>
      </c>
      <c r="K47" s="190">
        <f t="shared" si="22"/>
        <v>98101137</v>
      </c>
      <c r="L47" s="190">
        <f t="shared" si="22"/>
        <v>155860720</v>
      </c>
      <c r="M47" s="190">
        <f t="shared" si="22"/>
        <v>234100949</v>
      </c>
      <c r="N47" s="190">
        <f t="shared" si="22"/>
        <v>95738263</v>
      </c>
      <c r="O47" s="190"/>
      <c r="P47" s="190">
        <f>SUM(P40:P46)</f>
        <v>342780128.75912279</v>
      </c>
      <c r="Q47" s="190">
        <f t="shared" si="21"/>
        <v>438518391.75912279</v>
      </c>
      <c r="R47" s="193"/>
    </row>
    <row r="48" spans="1:45" customFormat="1" ht="15" x14ac:dyDescent="0.25"/>
    <row r="49" spans="1:19" customFormat="1" ht="15" x14ac:dyDescent="0.25"/>
    <row r="50" spans="1:19" customFormat="1" x14ac:dyDescent="0.25">
      <c r="A50" s="186" t="s">
        <v>166</v>
      </c>
      <c r="B50" s="186" t="s">
        <v>81</v>
      </c>
      <c r="C50" s="186" t="s">
        <v>80</v>
      </c>
      <c r="D50" s="186" t="s">
        <v>79</v>
      </c>
      <c r="E50" s="186" t="s">
        <v>78</v>
      </c>
      <c r="F50" s="186" t="s">
        <v>77</v>
      </c>
      <c r="G50" s="186" t="s">
        <v>76</v>
      </c>
      <c r="H50" s="186" t="s">
        <v>75</v>
      </c>
      <c r="I50" s="186" t="s">
        <v>74</v>
      </c>
      <c r="J50" s="186" t="s">
        <v>73</v>
      </c>
      <c r="K50" s="186" t="s">
        <v>72</v>
      </c>
      <c r="L50" s="186" t="s">
        <v>71</v>
      </c>
      <c r="M50" s="186" t="s">
        <v>70</v>
      </c>
      <c r="N50" s="186" t="s">
        <v>69</v>
      </c>
      <c r="O50" s="186" t="s">
        <v>68</v>
      </c>
      <c r="P50" s="186" t="s">
        <v>67</v>
      </c>
      <c r="Q50" s="186" t="s">
        <v>66</v>
      </c>
    </row>
    <row r="51" spans="1:19" customFormat="1" x14ac:dyDescent="0.25">
      <c r="A51" s="186" t="s">
        <v>158</v>
      </c>
      <c r="B51" s="185">
        <f t="shared" ref="B51:N51" si="23">B40/B47</f>
        <v>0.55054014337779367</v>
      </c>
      <c r="C51" s="185">
        <f t="shared" si="23"/>
        <v>0.46551933267270096</v>
      </c>
      <c r="D51" s="185">
        <f t="shared" si="23"/>
        <v>0.41424941785266167</v>
      </c>
      <c r="E51" s="185">
        <f t="shared" si="23"/>
        <v>0.51334645441172821</v>
      </c>
      <c r="F51" s="185">
        <f t="shared" si="23"/>
        <v>0.52945404158171305</v>
      </c>
      <c r="G51" s="185">
        <f t="shared" si="23"/>
        <v>0.54833969183446174</v>
      </c>
      <c r="H51" s="185">
        <f t="shared" si="23"/>
        <v>0.51595829145224592</v>
      </c>
      <c r="I51" s="185">
        <f t="shared" si="23"/>
        <v>0.53207946782596294</v>
      </c>
      <c r="J51" s="185">
        <f t="shared" si="23"/>
        <v>0.72154502020416789</v>
      </c>
      <c r="K51" s="185">
        <f t="shared" si="23"/>
        <v>0.56555964280006255</v>
      </c>
      <c r="L51" s="185">
        <f t="shared" si="23"/>
        <v>0.57666983701858943</v>
      </c>
      <c r="M51" s="185">
        <f t="shared" si="23"/>
        <v>0.58929074653174518</v>
      </c>
      <c r="N51" s="185">
        <f t="shared" si="23"/>
        <v>0.59805228553185674</v>
      </c>
      <c r="O51" s="185"/>
      <c r="P51" s="185">
        <f t="shared" ref="P51:Q51" si="24">P40/P47</f>
        <v>0.48574492188938806</v>
      </c>
      <c r="Q51" s="185">
        <f t="shared" si="24"/>
        <v>0.51026410311256798</v>
      </c>
    </row>
    <row r="52" spans="1:19" customFormat="1" x14ac:dyDescent="0.25">
      <c r="A52" s="186" t="s">
        <v>157</v>
      </c>
      <c r="B52" s="185">
        <f t="shared" ref="B52:N52" si="25">B41/B47</f>
        <v>0.23234977570537332</v>
      </c>
      <c r="C52" s="185">
        <f t="shared" si="25"/>
        <v>0.2666154074632161</v>
      </c>
      <c r="D52" s="185">
        <f t="shared" si="25"/>
        <v>0.24085598606379846</v>
      </c>
      <c r="E52" s="185">
        <f t="shared" si="25"/>
        <v>0.2272175771865331</v>
      </c>
      <c r="F52" s="185">
        <f t="shared" si="25"/>
        <v>0.27931753116052332</v>
      </c>
      <c r="G52" s="185">
        <f t="shared" si="25"/>
        <v>0.2788064649699577</v>
      </c>
      <c r="H52" s="185">
        <f t="shared" si="25"/>
        <v>0.2687993912956248</v>
      </c>
      <c r="I52" s="185">
        <f t="shared" si="25"/>
        <v>0.2443435049506037</v>
      </c>
      <c r="J52" s="185">
        <f t="shared" si="25"/>
        <v>0.21904701059889173</v>
      </c>
      <c r="K52" s="185">
        <f t="shared" si="25"/>
        <v>0.21237697785296822</v>
      </c>
      <c r="L52" s="185">
        <f t="shared" si="25"/>
        <v>0.23149436240253476</v>
      </c>
      <c r="M52" s="185">
        <f t="shared" si="25"/>
        <v>0.2310342919626524</v>
      </c>
      <c r="N52" s="185">
        <f t="shared" si="25"/>
        <v>0.18973419227378294</v>
      </c>
      <c r="O52" s="185"/>
      <c r="P52" s="185">
        <f t="shared" ref="P52:Q52" si="26">P41/P47</f>
        <v>0.21596294595954929</v>
      </c>
      <c r="Q52" s="185">
        <f t="shared" si="26"/>
        <v>0.2102366289664197</v>
      </c>
    </row>
    <row r="53" spans="1:19" customFormat="1" x14ac:dyDescent="0.25">
      <c r="A53" s="186" t="s">
        <v>156</v>
      </c>
      <c r="B53" s="185">
        <f t="shared" ref="B53:N53" si="27">B42/B47</f>
        <v>8.015893703484786E-2</v>
      </c>
      <c r="C53" s="185">
        <f t="shared" si="27"/>
        <v>6.9751438549877878E-2</v>
      </c>
      <c r="D53" s="185">
        <f t="shared" si="27"/>
        <v>7.5825027437705958E-2</v>
      </c>
      <c r="E53" s="185">
        <f t="shared" si="27"/>
        <v>6.6616422477685636E-2</v>
      </c>
      <c r="F53" s="185">
        <f t="shared" si="27"/>
        <v>7.0821110521632591E-2</v>
      </c>
      <c r="G53" s="185">
        <f t="shared" si="27"/>
        <v>6.3695054076283092E-2</v>
      </c>
      <c r="H53" s="185">
        <f t="shared" si="27"/>
        <v>6.0763757781509269E-2</v>
      </c>
      <c r="I53" s="185">
        <f t="shared" si="27"/>
        <v>5.5957062998108764E-2</v>
      </c>
      <c r="J53" s="185">
        <f t="shared" si="27"/>
        <v>5.9407969196940434E-2</v>
      </c>
      <c r="K53" s="185">
        <f t="shared" si="27"/>
        <v>5.2590022478536613E-2</v>
      </c>
      <c r="L53" s="185">
        <f t="shared" si="27"/>
        <v>5.9841600885713858E-2</v>
      </c>
      <c r="M53" s="185">
        <f t="shared" si="27"/>
        <v>6.8782527660748605E-2</v>
      </c>
      <c r="N53" s="185">
        <f t="shared" si="27"/>
        <v>6.0715014225816905E-2</v>
      </c>
      <c r="O53" s="185"/>
      <c r="P53" s="185">
        <f t="shared" ref="P53:Q53" si="28">P42/P47</f>
        <v>9.6717698581091083E-2</v>
      </c>
      <c r="Q53" s="185">
        <f t="shared" si="28"/>
        <v>8.8857516366876083E-2</v>
      </c>
    </row>
    <row r="54" spans="1:19" customFormat="1" x14ac:dyDescent="0.25">
      <c r="A54" s="186" t="s">
        <v>155</v>
      </c>
      <c r="B54" s="185">
        <f t="shared" ref="B54:N54" si="29">B43/B47</f>
        <v>0.10641515393896349</v>
      </c>
      <c r="C54" s="185">
        <f t="shared" si="29"/>
        <v>0.16943063813296499</v>
      </c>
      <c r="D54" s="185">
        <f t="shared" si="29"/>
        <v>0.22756883023383748</v>
      </c>
      <c r="E54" s="185">
        <f t="shared" si="29"/>
        <v>0.16112228738683521</v>
      </c>
      <c r="F54" s="185">
        <f t="shared" si="29"/>
        <v>0</v>
      </c>
      <c r="G54" s="185">
        <f t="shared" si="29"/>
        <v>0.10355358431785773</v>
      </c>
      <c r="H54" s="185">
        <f t="shared" si="29"/>
        <v>7.7488513268906906E-2</v>
      </c>
      <c r="I54" s="185">
        <f t="shared" si="29"/>
        <v>0.16151878222351279</v>
      </c>
      <c r="J54" s="185">
        <f t="shared" si="29"/>
        <v>0</v>
      </c>
      <c r="K54" s="185">
        <f t="shared" si="29"/>
        <v>0.16569907849284152</v>
      </c>
      <c r="L54" s="185">
        <f t="shared" si="29"/>
        <v>9.0614351069339349E-2</v>
      </c>
      <c r="M54" s="185">
        <f t="shared" si="29"/>
        <v>0.10529528011439201</v>
      </c>
      <c r="N54" s="185">
        <f t="shared" si="29"/>
        <v>0.13345303747572693</v>
      </c>
      <c r="O54" s="185"/>
      <c r="P54" s="185">
        <f t="shared" ref="P54:Q54" si="30">P43/P47</f>
        <v>0.1761442822301244</v>
      </c>
      <c r="Q54" s="185">
        <f t="shared" si="30"/>
        <v>0.16682383935953446</v>
      </c>
    </row>
    <row r="55" spans="1:19" customFormat="1" x14ac:dyDescent="0.25">
      <c r="A55" s="186" t="s">
        <v>154</v>
      </c>
      <c r="B55" s="185">
        <f t="shared" ref="B55:N55" si="31">B44/B47</f>
        <v>1.4934241960067589E-2</v>
      </c>
      <c r="C55" s="185">
        <f t="shared" si="31"/>
        <v>1.8644902897515594E-2</v>
      </c>
      <c r="D55" s="185">
        <f t="shared" si="31"/>
        <v>2.1111755414847534E-2</v>
      </c>
      <c r="E55" s="185">
        <f t="shared" si="31"/>
        <v>2.7291492196914156E-2</v>
      </c>
      <c r="F55" s="185">
        <f t="shared" si="31"/>
        <v>0</v>
      </c>
      <c r="G55" s="185">
        <f t="shared" si="31"/>
        <v>2.2607705185842403E-4</v>
      </c>
      <c r="H55" s="185">
        <f t="shared" si="31"/>
        <v>1.8914981533929608E-4</v>
      </c>
      <c r="I55" s="185">
        <f t="shared" si="31"/>
        <v>1.1487652665528086E-3</v>
      </c>
      <c r="J55" s="185">
        <f t="shared" si="31"/>
        <v>0</v>
      </c>
      <c r="K55" s="185">
        <f t="shared" si="31"/>
        <v>9.610388103860611E-4</v>
      </c>
      <c r="L55" s="185">
        <f t="shared" si="31"/>
        <v>2.4117045013009051E-3</v>
      </c>
      <c r="M55" s="185">
        <f t="shared" si="31"/>
        <v>3.1178472497349848E-3</v>
      </c>
      <c r="N55" s="185">
        <f t="shared" si="31"/>
        <v>1.3930041743080298E-2</v>
      </c>
      <c r="O55" s="185"/>
      <c r="P55" s="185">
        <f t="shared" ref="P55:Q55" si="32">P44/P47</f>
        <v>1.9258248954541719E-2</v>
      </c>
      <c r="Q55" s="185">
        <f t="shared" si="32"/>
        <v>1.8094983484003381E-2</v>
      </c>
    </row>
    <row r="56" spans="1:19" customFormat="1" x14ac:dyDescent="0.25">
      <c r="A56" s="186" t="s">
        <v>153</v>
      </c>
      <c r="B56" s="185">
        <f t="shared" ref="B56:N56" si="33">B45/B47</f>
        <v>7.4382811095929161E-3</v>
      </c>
      <c r="C56" s="185">
        <f t="shared" si="33"/>
        <v>3.9404801863041263E-3</v>
      </c>
      <c r="D56" s="185">
        <f t="shared" si="33"/>
        <v>4.6027312243914695E-3</v>
      </c>
      <c r="E56" s="185">
        <f t="shared" si="33"/>
        <v>4.4057663403036752E-3</v>
      </c>
      <c r="F56" s="185">
        <f t="shared" si="33"/>
        <v>0</v>
      </c>
      <c r="G56" s="185">
        <f t="shared" si="33"/>
        <v>5.379127749581273E-3</v>
      </c>
      <c r="H56" s="185">
        <f t="shared" si="33"/>
        <v>5.7258121216464987E-3</v>
      </c>
      <c r="I56" s="185">
        <f t="shared" si="33"/>
        <v>4.952416735258979E-3</v>
      </c>
      <c r="J56" s="185">
        <f t="shared" si="33"/>
        <v>0</v>
      </c>
      <c r="K56" s="185">
        <f t="shared" si="33"/>
        <v>2.8132395652050394E-3</v>
      </c>
      <c r="L56" s="185">
        <f t="shared" si="33"/>
        <v>3.094814395827249E-3</v>
      </c>
      <c r="M56" s="185">
        <f t="shared" si="33"/>
        <v>2.4793064807268252E-3</v>
      </c>
      <c r="N56" s="185">
        <f t="shared" si="33"/>
        <v>4.1154287497361429E-3</v>
      </c>
      <c r="O56" s="185"/>
      <c r="P56" s="185">
        <f t="shared" ref="P56:Q56" si="34">P45/P47</f>
        <v>6.1719023853054108E-3</v>
      </c>
      <c r="Q56" s="185">
        <f t="shared" si="34"/>
        <v>5.7229287105984121E-3</v>
      </c>
    </row>
    <row r="57" spans="1:19" customFormat="1" x14ac:dyDescent="0.25">
      <c r="A57" s="186" t="s">
        <v>118</v>
      </c>
      <c r="B57" s="185">
        <f t="shared" ref="B57:N57" si="35">B46/B47</f>
        <v>8.1634668733611433E-3</v>
      </c>
      <c r="C57" s="185">
        <f t="shared" si="35"/>
        <v>6.0978000974203301E-3</v>
      </c>
      <c r="D57" s="185">
        <f t="shared" si="35"/>
        <v>1.5786251772757446E-2</v>
      </c>
      <c r="E57" s="185">
        <f t="shared" si="35"/>
        <v>0</v>
      </c>
      <c r="F57" s="185">
        <f t="shared" si="35"/>
        <v>0.12040731673613105</v>
      </c>
      <c r="G57" s="185">
        <f t="shared" si="35"/>
        <v>0</v>
      </c>
      <c r="H57" s="185">
        <f t="shared" si="35"/>
        <v>7.1075084264727265E-2</v>
      </c>
      <c r="I57" s="185">
        <f t="shared" si="35"/>
        <v>0</v>
      </c>
      <c r="J57" s="185">
        <f t="shared" si="35"/>
        <v>0</v>
      </c>
      <c r="K57" s="185">
        <f t="shared" si="35"/>
        <v>0</v>
      </c>
      <c r="L57" s="185">
        <f t="shared" si="35"/>
        <v>3.587332972669445E-2</v>
      </c>
      <c r="M57" s="185">
        <f t="shared" si="35"/>
        <v>0</v>
      </c>
      <c r="N57" s="185">
        <f t="shared" si="35"/>
        <v>0</v>
      </c>
      <c r="O57" s="185"/>
      <c r="P57" s="185">
        <f t="shared" ref="P57:Q57" si="36">P46/P47</f>
        <v>0</v>
      </c>
      <c r="Q57" s="185">
        <f t="shared" si="36"/>
        <v>0</v>
      </c>
    </row>
    <row r="58" spans="1:19" customFormat="1" x14ac:dyDescent="0.25">
      <c r="A58" s="186" t="s">
        <v>45</v>
      </c>
      <c r="B58" s="185">
        <f t="shared" ref="B58:N58" si="37">B47/B47</f>
        <v>1</v>
      </c>
      <c r="C58" s="185">
        <f t="shared" si="37"/>
        <v>1</v>
      </c>
      <c r="D58" s="185">
        <f t="shared" si="37"/>
        <v>1</v>
      </c>
      <c r="E58" s="185">
        <f t="shared" si="37"/>
        <v>1</v>
      </c>
      <c r="F58" s="185">
        <f t="shared" si="37"/>
        <v>1</v>
      </c>
      <c r="G58" s="185">
        <f t="shared" si="37"/>
        <v>1</v>
      </c>
      <c r="H58" s="185">
        <f t="shared" si="37"/>
        <v>1</v>
      </c>
      <c r="I58" s="185">
        <f t="shared" si="37"/>
        <v>1</v>
      </c>
      <c r="J58" s="185">
        <f t="shared" si="37"/>
        <v>1</v>
      </c>
      <c r="K58" s="185">
        <f t="shared" si="37"/>
        <v>1</v>
      </c>
      <c r="L58" s="185">
        <f t="shared" si="37"/>
        <v>1</v>
      </c>
      <c r="M58" s="185">
        <f t="shared" si="37"/>
        <v>1</v>
      </c>
      <c r="N58" s="185">
        <f t="shared" si="37"/>
        <v>1</v>
      </c>
      <c r="O58" s="185"/>
      <c r="P58" s="185">
        <f t="shared" ref="P58:Q58" si="38">P47/P47</f>
        <v>1</v>
      </c>
      <c r="Q58" s="185">
        <f t="shared" si="38"/>
        <v>1</v>
      </c>
    </row>
    <row r="59" spans="1:19" x14ac:dyDescent="0.25">
      <c r="R59" s="193"/>
    </row>
    <row r="60" spans="1:19" x14ac:dyDescent="0.25">
      <c r="R60" s="193"/>
    </row>
    <row r="61" spans="1:19" x14ac:dyDescent="0.25">
      <c r="A61" s="191" t="s">
        <v>165</v>
      </c>
      <c r="B61" s="191" t="s">
        <v>81</v>
      </c>
      <c r="C61" s="191" t="s">
        <v>80</v>
      </c>
      <c r="D61" s="191" t="s">
        <v>79</v>
      </c>
      <c r="E61" s="191" t="s">
        <v>78</v>
      </c>
      <c r="F61" s="191" t="s">
        <v>77</v>
      </c>
      <c r="G61" s="191" t="s">
        <v>76</v>
      </c>
      <c r="H61" s="191" t="s">
        <v>75</v>
      </c>
      <c r="I61" s="191" t="s">
        <v>74</v>
      </c>
      <c r="J61" s="191" t="s">
        <v>73</v>
      </c>
      <c r="K61" s="191" t="s">
        <v>72</v>
      </c>
      <c r="L61" s="191" t="s">
        <v>71</v>
      </c>
      <c r="M61" s="191" t="s">
        <v>70</v>
      </c>
      <c r="N61" s="192" t="s">
        <v>69</v>
      </c>
      <c r="O61" s="191" t="s">
        <v>68</v>
      </c>
      <c r="P61" s="191" t="s">
        <v>67</v>
      </c>
      <c r="Q61" s="191" t="s">
        <v>66</v>
      </c>
      <c r="R61" s="81" t="s">
        <v>479</v>
      </c>
    </row>
    <row r="62" spans="1:19" x14ac:dyDescent="0.25">
      <c r="A62" s="191" t="s">
        <v>158</v>
      </c>
      <c r="B62" s="190">
        <f t="shared" ref="B62:N62" si="39">B40*1000000/B18</f>
        <v>16610646.858845703</v>
      </c>
      <c r="C62" s="190">
        <f t="shared" si="39"/>
        <v>17177850.767154202</v>
      </c>
      <c r="D62" s="190">
        <f t="shared" si="39"/>
        <v>15461381.000652727</v>
      </c>
      <c r="E62" s="190">
        <f t="shared" si="39"/>
        <v>16183253.863529831</v>
      </c>
      <c r="F62" s="190">
        <f t="shared" si="39"/>
        <v>20083448.118586089</v>
      </c>
      <c r="G62" s="190">
        <f t="shared" si="39"/>
        <v>19254752.360965371</v>
      </c>
      <c r="H62" s="190">
        <f t="shared" si="39"/>
        <v>21370609.258532759</v>
      </c>
      <c r="I62" s="190">
        <f t="shared" si="39"/>
        <v>21189560.483870968</v>
      </c>
      <c r="J62" s="190">
        <f t="shared" si="39"/>
        <v>24697551.598837208</v>
      </c>
      <c r="K62" s="190">
        <f t="shared" si="39"/>
        <v>26495723.018147089</v>
      </c>
      <c r="L62" s="190">
        <f t="shared" si="39"/>
        <v>30581890.438924804</v>
      </c>
      <c r="M62" s="190">
        <f t="shared" si="39"/>
        <v>33082379.616306953</v>
      </c>
      <c r="N62" s="190">
        <f t="shared" si="39"/>
        <v>47913378.242677823</v>
      </c>
      <c r="O62" s="190"/>
      <c r="P62" s="190">
        <f>B251</f>
        <v>48458767.441860504</v>
      </c>
      <c r="Q62" s="190"/>
      <c r="R62" s="199">
        <f>P232/1000</f>
        <v>50781768.115999997</v>
      </c>
    </row>
    <row r="63" spans="1:19" x14ac:dyDescent="0.25">
      <c r="A63" s="191" t="s">
        <v>157</v>
      </c>
      <c r="B63" s="190">
        <f t="shared" ref="B63:N63" si="40">B41*1000000/B19</f>
        <v>19363630.444634631</v>
      </c>
      <c r="C63" s="190">
        <f t="shared" si="40"/>
        <v>20287793.560323477</v>
      </c>
      <c r="D63" s="190">
        <f t="shared" si="40"/>
        <v>19250418.965138216</v>
      </c>
      <c r="E63" s="190">
        <f t="shared" si="40"/>
        <v>19335403.982920717</v>
      </c>
      <c r="F63" s="190">
        <f t="shared" si="40"/>
        <v>25318719.346049048</v>
      </c>
      <c r="G63" s="190">
        <f t="shared" si="40"/>
        <v>25182322.537112013</v>
      </c>
      <c r="H63" s="190">
        <f t="shared" si="40"/>
        <v>25705813.405797102</v>
      </c>
      <c r="I63" s="190">
        <f t="shared" si="40"/>
        <v>26356047.781569965</v>
      </c>
      <c r="J63" s="190">
        <f t="shared" si="40"/>
        <v>28898680.672268908</v>
      </c>
      <c r="K63" s="190">
        <f t="shared" si="40"/>
        <v>29934515.804597702</v>
      </c>
      <c r="L63" s="190">
        <f t="shared" si="40"/>
        <v>34167498.106060609</v>
      </c>
      <c r="M63" s="190">
        <f t="shared" si="40"/>
        <v>38660005.003573984</v>
      </c>
      <c r="N63" s="190">
        <f t="shared" si="40"/>
        <v>51751629.629629627</v>
      </c>
      <c r="O63" s="190"/>
      <c r="P63" s="190">
        <f t="shared" ref="P63:P64" si="41">$P$65*P73</f>
        <v>59590792.792999998</v>
      </c>
      <c r="Q63" s="190"/>
      <c r="R63" s="199">
        <f>P233/1000</f>
        <v>59590792.792999998</v>
      </c>
    </row>
    <row r="64" spans="1:19" x14ac:dyDescent="0.25">
      <c r="A64" s="191" t="s">
        <v>156</v>
      </c>
      <c r="B64" s="190">
        <f t="shared" ref="B64:N64" si="42">B42*1000000/B20</f>
        <v>27504296.144756798</v>
      </c>
      <c r="C64" s="190">
        <f t="shared" si="42"/>
        <v>26769942.205231629</v>
      </c>
      <c r="D64" s="190">
        <f t="shared" si="42"/>
        <v>25163966.442497112</v>
      </c>
      <c r="E64" s="190">
        <f t="shared" si="42"/>
        <v>25340403.033096883</v>
      </c>
      <c r="F64" s="190">
        <f t="shared" si="42"/>
        <v>30597194.805194806</v>
      </c>
      <c r="G64" s="190">
        <f t="shared" si="42"/>
        <v>31345698.529411763</v>
      </c>
      <c r="H64" s="190">
        <f t="shared" si="42"/>
        <v>32400489.898989897</v>
      </c>
      <c r="I64" s="190">
        <f t="shared" si="42"/>
        <v>33749763.358778626</v>
      </c>
      <c r="J64" s="190">
        <f t="shared" si="42"/>
        <v>38329287.671232879</v>
      </c>
      <c r="K64" s="190">
        <f t="shared" si="42"/>
        <v>40623157.480314963</v>
      </c>
      <c r="L64" s="190">
        <f t="shared" si="42"/>
        <v>48832225.130890049</v>
      </c>
      <c r="M64" s="190">
        <f t="shared" si="42"/>
        <v>60082294.776119404</v>
      </c>
      <c r="N64" s="190">
        <f t="shared" si="42"/>
        <v>98521186.440677971</v>
      </c>
      <c r="O64" s="190"/>
      <c r="P64" s="190">
        <f t="shared" si="41"/>
        <v>119166826.087</v>
      </c>
      <c r="Q64" s="190"/>
      <c r="R64" s="199">
        <f>P234/1000</f>
        <v>119166826.087</v>
      </c>
      <c r="S64" s="117"/>
    </row>
    <row r="65" spans="1:36" x14ac:dyDescent="0.25">
      <c r="A65" s="191" t="s">
        <v>164</v>
      </c>
      <c r="B65" s="190">
        <f t="shared" ref="B65:E67" si="43">B43*1000000/B21</f>
        <v>12040785.728658881</v>
      </c>
      <c r="C65" s="190">
        <f t="shared" si="43"/>
        <v>12966748.400708895</v>
      </c>
      <c r="D65" s="190">
        <f t="shared" si="43"/>
        <v>11109854.503302654</v>
      </c>
      <c r="E65" s="190">
        <f t="shared" si="43"/>
        <v>12287144.346587522</v>
      </c>
      <c r="F65" s="190">
        <v>0</v>
      </c>
      <c r="G65" s="190">
        <f t="shared" ref="G65:I67" si="44">G43*1000000/G21</f>
        <v>16822055.825242717</v>
      </c>
      <c r="H65" s="190">
        <f t="shared" si="44"/>
        <v>19713392.771084338</v>
      </c>
      <c r="I65" s="190">
        <f t="shared" si="44"/>
        <v>20305087.509944312</v>
      </c>
      <c r="J65" s="190">
        <v>0</v>
      </c>
      <c r="K65" s="190">
        <f t="shared" ref="K65:N67" si="45">K43*1000000/K21</f>
        <v>24893212.863705974</v>
      </c>
      <c r="L65" s="190">
        <f t="shared" si="45"/>
        <v>30372511.827956989</v>
      </c>
      <c r="M65" s="190">
        <f t="shared" si="45"/>
        <v>28965599.294947121</v>
      </c>
      <c r="N65" s="190">
        <f t="shared" si="45"/>
        <v>40819686.900958464</v>
      </c>
      <c r="O65" s="190"/>
      <c r="P65" s="190">
        <f>B245</f>
        <v>48400000</v>
      </c>
      <c r="Q65" s="190"/>
      <c r="R65" s="117"/>
      <c r="S65" s="117"/>
    </row>
    <row r="66" spans="1:36" x14ac:dyDescent="0.25">
      <c r="A66" s="191" t="s">
        <v>163</v>
      </c>
      <c r="B66" s="190">
        <f t="shared" si="43"/>
        <v>14379841.431668134</v>
      </c>
      <c r="C66" s="190">
        <f t="shared" si="43"/>
        <v>15911430.53161761</v>
      </c>
      <c r="D66" s="190">
        <f t="shared" si="43"/>
        <v>13302947.981072301</v>
      </c>
      <c r="E66" s="190">
        <f t="shared" si="43"/>
        <v>14348774.068718728</v>
      </c>
      <c r="F66" s="190">
        <v>0</v>
      </c>
      <c r="G66" s="190">
        <f t="shared" si="44"/>
        <v>15131000</v>
      </c>
      <c r="H66" s="190">
        <f t="shared" si="44"/>
        <v>20482.051282051281</v>
      </c>
      <c r="I66" s="190">
        <f t="shared" si="44"/>
        <v>25932857.142857142</v>
      </c>
      <c r="J66" s="190">
        <v>0</v>
      </c>
      <c r="K66" s="190">
        <f t="shared" si="45"/>
        <v>31426333.333333332</v>
      </c>
      <c r="L66" s="190">
        <f t="shared" si="45"/>
        <v>46986250</v>
      </c>
      <c r="M66" s="190">
        <f t="shared" si="45"/>
        <v>52135071.428571425</v>
      </c>
      <c r="N66" s="190">
        <f t="shared" si="45"/>
        <v>55568250</v>
      </c>
      <c r="O66" s="190"/>
      <c r="P66" s="190">
        <f>$P$65*P76</f>
        <v>65887406.400876857</v>
      </c>
      <c r="Q66" s="190"/>
      <c r="R66" s="117"/>
      <c r="S66" s="117"/>
    </row>
    <row r="67" spans="1:36" x14ac:dyDescent="0.25">
      <c r="A67" s="191" t="s">
        <v>162</v>
      </c>
      <c r="B67" s="190">
        <f t="shared" si="43"/>
        <v>14883067.999506356</v>
      </c>
      <c r="C67" s="190">
        <f t="shared" si="43"/>
        <v>17469726.604946319</v>
      </c>
      <c r="D67" s="190">
        <f t="shared" si="43"/>
        <v>19123099.819283511</v>
      </c>
      <c r="E67" s="190">
        <f t="shared" si="43"/>
        <v>19735487.015864573</v>
      </c>
      <c r="F67" s="190">
        <v>0</v>
      </c>
      <c r="G67" s="190">
        <f t="shared" si="44"/>
        <v>25715500</v>
      </c>
      <c r="H67" s="190">
        <f t="shared" si="44"/>
        <v>26283391.304347824</v>
      </c>
      <c r="I67" s="190">
        <f t="shared" si="44"/>
        <v>27949642.857142858</v>
      </c>
      <c r="J67" s="190">
        <v>0</v>
      </c>
      <c r="K67" s="190">
        <f t="shared" si="45"/>
        <v>39426000</v>
      </c>
      <c r="L67" s="190">
        <f t="shared" si="45"/>
        <v>43850909.090909094</v>
      </c>
      <c r="M67" s="190">
        <f t="shared" si="45"/>
        <v>44646769.230769232</v>
      </c>
      <c r="N67" s="190">
        <f t="shared" si="45"/>
        <v>65667333.333333336</v>
      </c>
      <c r="O67" s="190"/>
      <c r="P67" s="190">
        <f>$P$65*P77</f>
        <v>77861913.5674631</v>
      </c>
      <c r="Q67" s="190"/>
      <c r="R67" s="117"/>
      <c r="S67" s="117"/>
    </row>
    <row r="68" spans="1:36" x14ac:dyDescent="0.25">
      <c r="A68" s="191" t="s">
        <v>118</v>
      </c>
      <c r="B68" s="190">
        <f>B46*1000000/B24</f>
        <v>14254456.032022402</v>
      </c>
      <c r="C68" s="190">
        <f>C46*1000000/C24</f>
        <v>14977147.948372183</v>
      </c>
      <c r="D68" s="190">
        <f>D46*1000000/D24</f>
        <v>6402790.5335637154</v>
      </c>
      <c r="E68" s="190">
        <v>0</v>
      </c>
      <c r="F68" s="190">
        <f>F46*1000000/F24</f>
        <v>15230239.543726236</v>
      </c>
      <c r="G68" s="190">
        <v>0</v>
      </c>
      <c r="H68" s="190">
        <f>H46*1000000/H24</f>
        <v>15376932.37704918</v>
      </c>
      <c r="I68" s="190">
        <v>0</v>
      </c>
      <c r="J68" s="190">
        <v>0</v>
      </c>
      <c r="K68" s="190">
        <v>0</v>
      </c>
      <c r="L68" s="190">
        <f>L46*1000000/L24</f>
        <v>25530789.954337899</v>
      </c>
      <c r="M68" s="190">
        <v>0</v>
      </c>
      <c r="N68" s="190">
        <v>0</v>
      </c>
      <c r="O68" s="190"/>
      <c r="P68" s="190">
        <f>$P$62*N78</f>
        <v>0</v>
      </c>
      <c r="Q68" s="190"/>
    </row>
    <row r="70" spans="1:36" x14ac:dyDescent="0.25"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7"/>
      <c r="AI70" s="187"/>
      <c r="AJ70" s="187"/>
    </row>
    <row r="71" spans="1:36" ht="28.5" x14ac:dyDescent="0.75">
      <c r="A71" s="186" t="s">
        <v>161</v>
      </c>
      <c r="B71" s="186" t="s">
        <v>81</v>
      </c>
      <c r="C71" s="186" t="s">
        <v>80</v>
      </c>
      <c r="D71" s="186" t="s">
        <v>79</v>
      </c>
      <c r="E71" s="186" t="s">
        <v>78</v>
      </c>
      <c r="F71" s="186" t="s">
        <v>77</v>
      </c>
      <c r="G71" s="186" t="s">
        <v>76</v>
      </c>
      <c r="H71" s="186" t="s">
        <v>75</v>
      </c>
      <c r="I71" s="186" t="s">
        <v>74</v>
      </c>
      <c r="J71" s="186" t="s">
        <v>73</v>
      </c>
      <c r="K71" s="186" t="s">
        <v>72</v>
      </c>
      <c r="L71" s="186" t="s">
        <v>71</v>
      </c>
      <c r="M71" s="186" t="s">
        <v>70</v>
      </c>
      <c r="N71" s="186" t="s">
        <v>69</v>
      </c>
      <c r="O71" s="186" t="s">
        <v>68</v>
      </c>
      <c r="P71" s="186" t="s">
        <v>67</v>
      </c>
      <c r="Q71" s="186" t="s">
        <v>66</v>
      </c>
      <c r="R71" s="81" t="s">
        <v>160</v>
      </c>
      <c r="S71" s="297"/>
      <c r="T71" s="297"/>
      <c r="U71" s="297"/>
      <c r="V71" s="297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7"/>
      <c r="AI71" s="187"/>
      <c r="AJ71" s="187"/>
    </row>
    <row r="72" spans="1:36" x14ac:dyDescent="0.25">
      <c r="A72" s="186" t="s">
        <v>158</v>
      </c>
      <c r="B72" s="185">
        <f>B62/B65</f>
        <v>1.379531804084003</v>
      </c>
      <c r="C72" s="185">
        <f t="shared" ref="C72:N72" si="46">C62/C65</f>
        <v>1.3247616315448123</v>
      </c>
      <c r="D72" s="185">
        <f t="shared" si="46"/>
        <v>1.3916816818848963</v>
      </c>
      <c r="E72" s="185">
        <f t="shared" si="46"/>
        <v>1.3170882840669456</v>
      </c>
      <c r="F72" s="185"/>
      <c r="G72" s="185">
        <f t="shared" si="46"/>
        <v>1.1446135098465324</v>
      </c>
      <c r="H72" s="185">
        <f t="shared" si="46"/>
        <v>1.084065513566961</v>
      </c>
      <c r="I72" s="185">
        <f t="shared" si="46"/>
        <v>1.0435591805991227</v>
      </c>
      <c r="J72" s="185"/>
      <c r="K72" s="185">
        <f t="shared" si="46"/>
        <v>1.0643753846968287</v>
      </c>
      <c r="L72" s="185">
        <f t="shared" si="46"/>
        <v>1.0068936876921417</v>
      </c>
      <c r="M72" s="185">
        <f t="shared" si="46"/>
        <v>1.1421265370496918</v>
      </c>
      <c r="N72" s="185">
        <f t="shared" si="46"/>
        <v>1.1737811306326507</v>
      </c>
      <c r="O72" s="184"/>
      <c r="P72" s="185">
        <f t="shared" ref="P72:Q74" si="47">Q72</f>
        <v>1.0492100850413222</v>
      </c>
      <c r="Q72" s="185">
        <f t="shared" si="47"/>
        <v>1.0492100850413222</v>
      </c>
      <c r="R72" s="189">
        <f>P232/1000/$B$245</f>
        <v>1.0492100850413222</v>
      </c>
      <c r="S72" s="683"/>
      <c r="T72" s="684"/>
      <c r="U72" s="684"/>
      <c r="V72" s="684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7"/>
      <c r="AI72" s="187"/>
      <c r="AJ72" s="187"/>
    </row>
    <row r="73" spans="1:36" x14ac:dyDescent="0.25">
      <c r="A73" s="186" t="s">
        <v>157</v>
      </c>
      <c r="B73" s="185">
        <f>B63/B65</f>
        <v>1.6081700049313459</v>
      </c>
      <c r="C73" s="185">
        <f t="shared" ref="C73:N73" si="48">C63/C65</f>
        <v>1.5646014662561307</v>
      </c>
      <c r="D73" s="185">
        <f t="shared" si="48"/>
        <v>1.7327336698617966</v>
      </c>
      <c r="E73" s="185">
        <f t="shared" si="48"/>
        <v>1.5736287812302532</v>
      </c>
      <c r="F73" s="185"/>
      <c r="G73" s="185">
        <f t="shared" si="48"/>
        <v>1.4969824615207916</v>
      </c>
      <c r="H73" s="185">
        <f t="shared" si="48"/>
        <v>1.303977133936197</v>
      </c>
      <c r="I73" s="185">
        <f t="shared" si="48"/>
        <v>1.2980021764822351</v>
      </c>
      <c r="J73" s="185"/>
      <c r="K73" s="185">
        <f t="shared" si="48"/>
        <v>1.2025171667672472</v>
      </c>
      <c r="L73" s="185">
        <f t="shared" si="48"/>
        <v>1.1249480549913047</v>
      </c>
      <c r="M73" s="185">
        <f t="shared" si="48"/>
        <v>1.3346868680296213</v>
      </c>
      <c r="N73" s="185">
        <f t="shared" si="48"/>
        <v>1.2678105482581365</v>
      </c>
      <c r="O73" s="184"/>
      <c r="P73" s="185">
        <f t="shared" si="47"/>
        <v>1.2312147271280991</v>
      </c>
      <c r="Q73" s="185">
        <f t="shared" si="47"/>
        <v>1.2312147271280991</v>
      </c>
      <c r="R73" s="189">
        <f t="shared" ref="R73:R74" si="49">P233/1000/$B$245</f>
        <v>1.2312147271280991</v>
      </c>
      <c r="S73" s="683"/>
      <c r="T73" s="684"/>
      <c r="U73" s="684"/>
      <c r="V73" s="684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7"/>
      <c r="AI73" s="187"/>
      <c r="AJ73" s="187"/>
    </row>
    <row r="74" spans="1:36" x14ac:dyDescent="0.25">
      <c r="A74" s="186" t="s">
        <v>156</v>
      </c>
      <c r="B74" s="185">
        <f>B64/B65</f>
        <v>2.284260908263855</v>
      </c>
      <c r="C74" s="185">
        <f t="shared" ref="C74:N74" si="50">C64/C65</f>
        <v>2.0645069510077105</v>
      </c>
      <c r="D74" s="185">
        <f t="shared" si="50"/>
        <v>2.2650131408126501</v>
      </c>
      <c r="E74" s="185">
        <f t="shared" si="50"/>
        <v>2.062350886285031</v>
      </c>
      <c r="F74" s="185"/>
      <c r="G74" s="185">
        <f t="shared" si="50"/>
        <v>1.863369070644461</v>
      </c>
      <c r="H74" s="185">
        <f t="shared" si="50"/>
        <v>1.6435775553822998</v>
      </c>
      <c r="I74" s="185">
        <f t="shared" si="50"/>
        <v>1.6621333615159182</v>
      </c>
      <c r="J74" s="185"/>
      <c r="K74" s="185">
        <f t="shared" si="50"/>
        <v>1.6318969231787301</v>
      </c>
      <c r="L74" s="185">
        <f t="shared" si="50"/>
        <v>1.6077769730569813</v>
      </c>
      <c r="M74" s="185">
        <f t="shared" si="50"/>
        <v>2.0742638246259384</v>
      </c>
      <c r="N74" s="185">
        <f t="shared" si="50"/>
        <v>2.4135703607850223</v>
      </c>
      <c r="O74" s="184"/>
      <c r="P74" s="185">
        <f t="shared" si="47"/>
        <v>2.4621245059297521</v>
      </c>
      <c r="Q74" s="185">
        <f t="shared" si="47"/>
        <v>2.4621245059297521</v>
      </c>
      <c r="R74" s="189">
        <f t="shared" si="49"/>
        <v>2.4621245059297521</v>
      </c>
      <c r="S74" s="683"/>
      <c r="T74" s="684"/>
      <c r="U74" s="684"/>
      <c r="V74" s="684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7"/>
      <c r="AI74" s="187"/>
      <c r="AJ74" s="187"/>
    </row>
    <row r="75" spans="1:36" x14ac:dyDescent="0.25">
      <c r="A75" s="186" t="s">
        <v>155</v>
      </c>
      <c r="B75" s="185">
        <f>B65/B65</f>
        <v>1</v>
      </c>
      <c r="C75" s="185">
        <f t="shared" ref="C75:N75" si="51">C65/C65</f>
        <v>1</v>
      </c>
      <c r="D75" s="185">
        <f t="shared" si="51"/>
        <v>1</v>
      </c>
      <c r="E75" s="185">
        <f t="shared" si="51"/>
        <v>1</v>
      </c>
      <c r="F75" s="185"/>
      <c r="G75" s="185">
        <f t="shared" si="51"/>
        <v>1</v>
      </c>
      <c r="H75" s="185">
        <f t="shared" si="51"/>
        <v>1</v>
      </c>
      <c r="I75" s="185">
        <f t="shared" si="51"/>
        <v>1</v>
      </c>
      <c r="J75" s="185"/>
      <c r="K75" s="185">
        <f t="shared" si="51"/>
        <v>1</v>
      </c>
      <c r="L75" s="185">
        <f t="shared" si="51"/>
        <v>1</v>
      </c>
      <c r="M75" s="185">
        <f t="shared" si="51"/>
        <v>1</v>
      </c>
      <c r="N75" s="185">
        <f t="shared" si="51"/>
        <v>1</v>
      </c>
      <c r="O75" s="184"/>
      <c r="P75" s="185">
        <f t="shared" ref="P75:P78" si="52">N75</f>
        <v>1</v>
      </c>
      <c r="Q75" s="185">
        <f>AVERAGE(K75:N75,G75:I75,B75:E75)</f>
        <v>1</v>
      </c>
      <c r="R75" s="196"/>
      <c r="S75" s="683"/>
      <c r="T75" s="684"/>
      <c r="U75" s="684"/>
      <c r="V75" s="684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7"/>
      <c r="AI75" s="187"/>
      <c r="AJ75" s="187"/>
    </row>
    <row r="76" spans="1:36" x14ac:dyDescent="0.25">
      <c r="A76" s="186" t="s">
        <v>154</v>
      </c>
      <c r="B76" s="185">
        <f>B66/B65</f>
        <v>1.1942610520376546</v>
      </c>
      <c r="C76" s="185">
        <f t="shared" ref="C76:N76" si="53">C66/C65</f>
        <v>1.2270948768272336</v>
      </c>
      <c r="D76" s="185">
        <f t="shared" si="53"/>
        <v>1.1974007379770546</v>
      </c>
      <c r="E76" s="185">
        <f t="shared" si="53"/>
        <v>1.1677875398854394</v>
      </c>
      <c r="F76" s="185"/>
      <c r="G76" s="185">
        <f t="shared" si="53"/>
        <v>0.89947389053927851</v>
      </c>
      <c r="H76" s="185">
        <f t="shared" si="53"/>
        <v>1.0389916905675625E-3</v>
      </c>
      <c r="I76" s="185">
        <f t="shared" si="53"/>
        <v>1.2771605702342657</v>
      </c>
      <c r="J76" s="185"/>
      <c r="K76" s="185">
        <f t="shared" si="53"/>
        <v>1.2624458524256053</v>
      </c>
      <c r="L76" s="185">
        <f t="shared" si="53"/>
        <v>1.5469991506185063</v>
      </c>
      <c r="M76" s="185">
        <f t="shared" si="53"/>
        <v>1.7998961767611721</v>
      </c>
      <c r="N76" s="185">
        <f t="shared" si="53"/>
        <v>1.3613100496048938</v>
      </c>
      <c r="O76" s="184"/>
      <c r="P76" s="185">
        <f t="shared" si="52"/>
        <v>1.3613100496048938</v>
      </c>
      <c r="Q76" s="185">
        <f>N76</f>
        <v>1.3613100496048938</v>
      </c>
    </row>
    <row r="77" spans="1:36" x14ac:dyDescent="0.25">
      <c r="A77" s="186" t="s">
        <v>153</v>
      </c>
      <c r="B77" s="185">
        <f>B67/B65</f>
        <v>1.236054551164582</v>
      </c>
      <c r="C77" s="185">
        <f t="shared" ref="C77:N77" si="54">C67/C65</f>
        <v>1.3472711943721563</v>
      </c>
      <c r="D77" s="185">
        <f t="shared" si="54"/>
        <v>1.7212736506674089</v>
      </c>
      <c r="E77" s="185">
        <f t="shared" si="54"/>
        <v>1.60618988913772</v>
      </c>
      <c r="F77" s="185"/>
      <c r="G77" s="185">
        <f t="shared" si="54"/>
        <v>1.5286776043991024</v>
      </c>
      <c r="H77" s="185">
        <f t="shared" si="54"/>
        <v>1.3332758906371702</v>
      </c>
      <c r="I77" s="185">
        <f t="shared" si="54"/>
        <v>1.3764847279507988</v>
      </c>
      <c r="J77" s="185"/>
      <c r="K77" s="185">
        <f t="shared" si="54"/>
        <v>1.5838052008739565</v>
      </c>
      <c r="L77" s="185">
        <f t="shared" si="54"/>
        <v>1.4437695946683489</v>
      </c>
      <c r="M77" s="185">
        <f t="shared" si="54"/>
        <v>1.5413721903747248</v>
      </c>
      <c r="N77" s="185">
        <f t="shared" si="54"/>
        <v>1.6087172224682458</v>
      </c>
      <c r="O77" s="184"/>
      <c r="P77" s="185">
        <f t="shared" si="52"/>
        <v>1.6087172224682458</v>
      </c>
      <c r="Q77" s="185">
        <f>N77</f>
        <v>1.6087172224682458</v>
      </c>
    </row>
    <row r="78" spans="1:36" customFormat="1" x14ac:dyDescent="0.25">
      <c r="A78" s="186" t="s">
        <v>118</v>
      </c>
      <c r="B78" s="185">
        <f>B68/B65</f>
        <v>1.1838476618759732</v>
      </c>
      <c r="C78" s="185">
        <f t="shared" ref="C78:N78" si="55">C68/C65</f>
        <v>1.1550426896193482</v>
      </c>
      <c r="D78" s="185">
        <f t="shared" si="55"/>
        <v>0.5763163263443587</v>
      </c>
      <c r="E78" s="185">
        <f t="shared" si="55"/>
        <v>0</v>
      </c>
      <c r="F78" s="185"/>
      <c r="G78" s="185">
        <f t="shared" si="55"/>
        <v>0</v>
      </c>
      <c r="H78" s="185">
        <f t="shared" si="55"/>
        <v>0.78002465408207711</v>
      </c>
      <c r="I78" s="185">
        <f t="shared" si="55"/>
        <v>0</v>
      </c>
      <c r="J78" s="185"/>
      <c r="K78" s="185">
        <f t="shared" si="55"/>
        <v>0</v>
      </c>
      <c r="L78" s="185">
        <f t="shared" si="55"/>
        <v>0.84058869081870169</v>
      </c>
      <c r="M78" s="185">
        <f t="shared" si="55"/>
        <v>0</v>
      </c>
      <c r="N78" s="185">
        <f t="shared" si="55"/>
        <v>0</v>
      </c>
      <c r="O78" s="184"/>
      <c r="P78" s="185">
        <f t="shared" si="52"/>
        <v>0</v>
      </c>
      <c r="Q78" s="184"/>
      <c r="R78" s="1"/>
      <c r="S78" s="1"/>
      <c r="T78" s="1"/>
      <c r="U78" s="1"/>
      <c r="V78" s="1"/>
    </row>
    <row r="79" spans="1:36" customFormat="1" ht="15" x14ac:dyDescent="0.25"/>
    <row r="80" spans="1:36" ht="23.25" thickBot="1" x14ac:dyDescent="0.3"/>
    <row r="81" spans="1:12" x14ac:dyDescent="0.25">
      <c r="A81" s="106" t="s">
        <v>152</v>
      </c>
      <c r="B81" s="105" t="s">
        <v>151</v>
      </c>
      <c r="C81" s="105" t="s">
        <v>150</v>
      </c>
      <c r="D81" s="105" t="s">
        <v>72</v>
      </c>
      <c r="E81" s="105" t="s">
        <v>71</v>
      </c>
      <c r="F81" s="105" t="s">
        <v>149</v>
      </c>
      <c r="G81" s="105" t="s">
        <v>69</v>
      </c>
      <c r="H81" s="105" t="s">
        <v>68</v>
      </c>
      <c r="I81" s="105" t="s">
        <v>67</v>
      </c>
      <c r="J81" s="104" t="s">
        <v>66</v>
      </c>
    </row>
    <row r="82" spans="1:12" x14ac:dyDescent="0.25">
      <c r="A82" s="103" t="s">
        <v>148</v>
      </c>
      <c r="B82" s="102">
        <v>46813398</v>
      </c>
      <c r="C82" s="102">
        <v>15901272</v>
      </c>
      <c r="D82" s="102">
        <v>36182429</v>
      </c>
      <c r="E82" s="102">
        <v>63437407</v>
      </c>
      <c r="F82" s="102">
        <v>83460576</v>
      </c>
      <c r="G82" s="102">
        <v>22075972</v>
      </c>
      <c r="H82" s="102"/>
      <c r="I82" s="102">
        <f>I144</f>
        <v>112194174.04274204</v>
      </c>
      <c r="J82" s="101">
        <f>I82+G82</f>
        <v>134270146.04274204</v>
      </c>
      <c r="L82" s="83"/>
    </row>
    <row r="83" spans="1:12" x14ac:dyDescent="0.25">
      <c r="A83" s="103" t="s">
        <v>147</v>
      </c>
      <c r="B83" s="102">
        <v>2395311</v>
      </c>
      <c r="C83" s="102">
        <v>816042</v>
      </c>
      <c r="D83" s="102">
        <v>1386494</v>
      </c>
      <c r="E83" s="102">
        <v>2132244</v>
      </c>
      <c r="F83" s="102">
        <v>3087044</v>
      </c>
      <c r="G83" s="102">
        <v>1229606</v>
      </c>
      <c r="H83" s="102"/>
      <c r="I83" s="102">
        <f>J83-G83</f>
        <v>2783551.2</v>
      </c>
      <c r="J83" s="101">
        <f>F83*1.3</f>
        <v>4013157.2</v>
      </c>
      <c r="L83" s="83"/>
    </row>
    <row r="84" spans="1:12" x14ac:dyDescent="0.25">
      <c r="A84" s="103" t="s">
        <v>146</v>
      </c>
      <c r="B84" s="102">
        <v>35650265</v>
      </c>
      <c r="C84" s="102">
        <v>10027089</v>
      </c>
      <c r="D84" s="102">
        <v>20225991</v>
      </c>
      <c r="E84" s="102">
        <v>34359835</v>
      </c>
      <c r="F84" s="102">
        <v>52643866</v>
      </c>
      <c r="G84" s="102">
        <v>21888398</v>
      </c>
      <c r="H84" s="102"/>
      <c r="I84" s="102">
        <f>J185</f>
        <v>46548627.800000012</v>
      </c>
      <c r="J84" s="101">
        <f>I84+G84</f>
        <v>68437025.800000012</v>
      </c>
      <c r="L84" s="83"/>
    </row>
    <row r="85" spans="1:12" x14ac:dyDescent="0.25">
      <c r="A85" s="103" t="s">
        <v>100</v>
      </c>
      <c r="B85" s="102">
        <v>84858974</v>
      </c>
      <c r="C85" s="102">
        <v>26744502</v>
      </c>
      <c r="D85" s="102">
        <v>57794914</v>
      </c>
      <c r="E85" s="102">
        <v>99929486</v>
      </c>
      <c r="F85" s="102">
        <v>139191486</v>
      </c>
      <c r="G85" s="102">
        <v>45193976</v>
      </c>
      <c r="H85" s="102"/>
      <c r="I85" s="102">
        <f>SUM(I82:I84)</f>
        <v>161526353.04274207</v>
      </c>
      <c r="J85" s="101">
        <f>SUM(J82:J84)</f>
        <v>206720329.04274204</v>
      </c>
      <c r="L85" s="83"/>
    </row>
    <row r="86" spans="1:12" x14ac:dyDescent="0.25">
      <c r="A86" s="103" t="s">
        <v>145</v>
      </c>
      <c r="B86" s="102">
        <v>-30372</v>
      </c>
      <c r="C86" s="102">
        <v>-686</v>
      </c>
      <c r="D86" s="102">
        <v>-17948</v>
      </c>
      <c r="E86" s="102">
        <v>-3782</v>
      </c>
      <c r="F86" s="102">
        <v>-47868</v>
      </c>
      <c r="G86" s="102">
        <v>-12668</v>
      </c>
      <c r="H86" s="102"/>
      <c r="I86" s="102"/>
      <c r="J86" s="101"/>
      <c r="L86" s="83"/>
    </row>
    <row r="87" spans="1:12" x14ac:dyDescent="0.25">
      <c r="A87" s="103" t="s">
        <v>144</v>
      </c>
      <c r="B87" s="102">
        <v>84828602</v>
      </c>
      <c r="C87" s="102">
        <v>26743817</v>
      </c>
      <c r="D87" s="102">
        <v>57776966</v>
      </c>
      <c r="E87" s="102">
        <v>99925704</v>
      </c>
      <c r="F87" s="102">
        <v>139143618</v>
      </c>
      <c r="G87" s="102">
        <v>45181308</v>
      </c>
      <c r="H87" s="102"/>
      <c r="I87" s="102"/>
      <c r="J87" s="101"/>
      <c r="L87" s="83"/>
    </row>
    <row r="88" spans="1:12" x14ac:dyDescent="0.25">
      <c r="A88" s="103" t="s">
        <v>143</v>
      </c>
      <c r="B88" s="102">
        <v>7993170</v>
      </c>
      <c r="C88" s="102"/>
      <c r="D88" s="102">
        <v>8432787</v>
      </c>
      <c r="E88" s="102">
        <v>6744757</v>
      </c>
      <c r="F88" s="102">
        <v>6711947</v>
      </c>
      <c r="G88" s="102">
        <v>17030565</v>
      </c>
      <c r="H88" s="102"/>
      <c r="I88" s="102"/>
      <c r="J88" s="101"/>
      <c r="L88" s="83"/>
    </row>
    <row r="89" spans="1:12" x14ac:dyDescent="0.25">
      <c r="A89" s="103" t="s">
        <v>142</v>
      </c>
      <c r="B89" s="102">
        <v>-6746072</v>
      </c>
      <c r="C89" s="102">
        <v>-1128330</v>
      </c>
      <c r="D89" s="102">
        <v>-12206961</v>
      </c>
      <c r="E89" s="102">
        <v>-19278698</v>
      </c>
      <c r="F89" s="102">
        <v>-17030565</v>
      </c>
      <c r="G89" s="102">
        <v>-17067092</v>
      </c>
      <c r="H89" s="102"/>
      <c r="I89" s="102"/>
      <c r="J89" s="101"/>
      <c r="L89" s="83"/>
    </row>
    <row r="90" spans="1:12" x14ac:dyDescent="0.25">
      <c r="A90" s="103" t="s">
        <v>141</v>
      </c>
      <c r="B90" s="102">
        <v>0</v>
      </c>
      <c r="C90" s="102">
        <v>0</v>
      </c>
      <c r="D90" s="102">
        <v>0</v>
      </c>
      <c r="E90" s="102">
        <v>0</v>
      </c>
      <c r="F90" s="102">
        <v>0</v>
      </c>
      <c r="G90" s="102">
        <v>0</v>
      </c>
      <c r="H90" s="102"/>
      <c r="I90" s="102"/>
      <c r="J90" s="101"/>
      <c r="L90" s="117"/>
    </row>
    <row r="91" spans="1:12" x14ac:dyDescent="0.25">
      <c r="A91" s="103" t="s">
        <v>140</v>
      </c>
      <c r="B91" s="102">
        <v>86075700</v>
      </c>
      <c r="C91" s="102">
        <v>25615487</v>
      </c>
      <c r="D91" s="102">
        <v>54002792</v>
      </c>
      <c r="E91" s="102">
        <v>87391763</v>
      </c>
      <c r="F91" s="102">
        <v>128825000</v>
      </c>
      <c r="G91" s="102">
        <v>45144781</v>
      </c>
      <c r="H91" s="102"/>
      <c r="I91" s="102"/>
      <c r="J91" s="101"/>
      <c r="L91" s="83"/>
    </row>
    <row r="92" spans="1:12" x14ac:dyDescent="0.25">
      <c r="A92" s="103" t="s">
        <v>139</v>
      </c>
      <c r="B92" s="102">
        <v>3011001</v>
      </c>
      <c r="C92" s="102">
        <v>3859358</v>
      </c>
      <c r="D92" s="102">
        <v>3859358</v>
      </c>
      <c r="E92" s="102">
        <v>3826548</v>
      </c>
      <c r="F92" s="102">
        <v>3859357</v>
      </c>
      <c r="G92" s="102">
        <v>8113242</v>
      </c>
      <c r="H92" s="102"/>
      <c r="I92" s="102"/>
      <c r="J92" s="101"/>
      <c r="L92" s="83"/>
    </row>
    <row r="93" spans="1:12" x14ac:dyDescent="0.25">
      <c r="A93" s="103" t="s">
        <v>138</v>
      </c>
      <c r="B93" s="102">
        <v>-3825233</v>
      </c>
      <c r="C93" s="102">
        <v>-5382074</v>
      </c>
      <c r="D93" s="102">
        <v>-5830540</v>
      </c>
      <c r="E93" s="102">
        <v>-5045977</v>
      </c>
      <c r="F93" s="102">
        <v>-8113242</v>
      </c>
      <c r="G93" s="102">
        <v>-10334457</v>
      </c>
      <c r="H93" s="102"/>
      <c r="I93" s="102"/>
      <c r="J93" s="101"/>
      <c r="L93" s="83"/>
    </row>
    <row r="94" spans="1:12" x14ac:dyDescent="0.25">
      <c r="A94" s="103" t="s">
        <v>137</v>
      </c>
      <c r="B94" s="102">
        <v>85261468</v>
      </c>
      <c r="C94" s="102">
        <v>24092771</v>
      </c>
      <c r="D94" s="102">
        <v>52031610</v>
      </c>
      <c r="E94" s="102">
        <v>86172334</v>
      </c>
      <c r="F94" s="102">
        <v>124571115</v>
      </c>
      <c r="G94" s="102">
        <v>42923566</v>
      </c>
      <c r="H94" s="102"/>
      <c r="I94" s="102"/>
      <c r="J94" s="101"/>
      <c r="L94" s="83"/>
    </row>
    <row r="95" spans="1:12" x14ac:dyDescent="0.25">
      <c r="A95" s="103" t="s">
        <v>136</v>
      </c>
      <c r="B95" s="102">
        <v>0</v>
      </c>
      <c r="C95" s="102">
        <v>-50804</v>
      </c>
      <c r="D95" s="102">
        <v>0</v>
      </c>
      <c r="E95" s="102">
        <v>0</v>
      </c>
      <c r="F95" s="102">
        <v>0</v>
      </c>
      <c r="G95" s="102">
        <v>0</v>
      </c>
      <c r="H95" s="102"/>
      <c r="I95" s="102"/>
      <c r="J95" s="101"/>
      <c r="L95" s="117"/>
    </row>
    <row r="96" spans="1:12" ht="23.25" thickBot="1" x14ac:dyDescent="0.3">
      <c r="A96" s="100" t="s">
        <v>135</v>
      </c>
      <c r="B96" s="99">
        <v>85261468</v>
      </c>
      <c r="C96" s="99">
        <v>24041967</v>
      </c>
      <c r="D96" s="99">
        <v>52031610</v>
      </c>
      <c r="E96" s="99">
        <v>86172334</v>
      </c>
      <c r="F96" s="99">
        <v>124571115</v>
      </c>
      <c r="G96" s="99">
        <v>42923566</v>
      </c>
      <c r="H96" s="99"/>
      <c r="I96" s="99">
        <f>I85*I97</f>
        <v>148362753.08770826</v>
      </c>
      <c r="J96" s="98">
        <f>J85*J97</f>
        <v>189873643.26774934</v>
      </c>
      <c r="L96" s="83"/>
    </row>
    <row r="97" spans="1:33" ht="23.25" thickBot="1" x14ac:dyDescent="0.3">
      <c r="B97" s="35">
        <f>B96/B85</f>
        <v>1.0047430929344019</v>
      </c>
      <c r="C97" s="35">
        <f t="shared" ref="C97:G97" si="56">C96/C85</f>
        <v>0.89894988510161822</v>
      </c>
      <c r="D97" s="35">
        <f t="shared" si="56"/>
        <v>0.9002800834689364</v>
      </c>
      <c r="E97" s="35">
        <f t="shared" si="56"/>
        <v>0.86233140436647493</v>
      </c>
      <c r="F97" s="35">
        <f t="shared" si="56"/>
        <v>0.89496217462611183</v>
      </c>
      <c r="G97" s="35">
        <f t="shared" si="56"/>
        <v>0.94976299496198346</v>
      </c>
      <c r="I97" s="714">
        <f>AVERAGE(B97:G97)</f>
        <v>0.91850493924325438</v>
      </c>
      <c r="J97" s="714">
        <f>I97</f>
        <v>0.91850493924325438</v>
      </c>
    </row>
    <row r="98" spans="1:33" ht="23.25" thickBot="1" x14ac:dyDescent="0.3">
      <c r="A98" s="142" t="s">
        <v>132</v>
      </c>
      <c r="B98" s="146" t="s">
        <v>74</v>
      </c>
      <c r="C98" s="146" t="s">
        <v>73</v>
      </c>
      <c r="D98" s="146" t="s">
        <v>72</v>
      </c>
      <c r="E98" s="146" t="s">
        <v>71</v>
      </c>
      <c r="F98" s="146" t="s">
        <v>70</v>
      </c>
      <c r="G98" s="146" t="s">
        <v>124</v>
      </c>
      <c r="H98" s="146" t="s">
        <v>68</v>
      </c>
      <c r="I98" s="146" t="s">
        <v>123</v>
      </c>
      <c r="J98" s="145" t="s">
        <v>66</v>
      </c>
    </row>
    <row r="99" spans="1:33" x14ac:dyDescent="0.25">
      <c r="A99" s="106" t="s">
        <v>122</v>
      </c>
      <c r="B99" s="144"/>
      <c r="C99" s="144"/>
      <c r="D99" s="144"/>
      <c r="E99" s="144"/>
      <c r="F99" s="144"/>
      <c r="G99" s="144"/>
      <c r="H99" s="144"/>
      <c r="I99" s="144"/>
      <c r="J99" s="143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</row>
    <row r="100" spans="1:33" x14ac:dyDescent="0.25">
      <c r="A100" s="103" t="s">
        <v>121</v>
      </c>
      <c r="B100" s="685"/>
      <c r="C100" s="685">
        <v>2025880</v>
      </c>
      <c r="D100" s="685">
        <v>3889000</v>
      </c>
      <c r="E100" s="685">
        <v>5683000</v>
      </c>
      <c r="F100" s="685">
        <v>7416000</v>
      </c>
      <c r="G100" s="685">
        <v>1881331</v>
      </c>
      <c r="H100" s="685"/>
      <c r="I100" s="685">
        <f>J100-G100</f>
        <v>6722234.1149086617</v>
      </c>
      <c r="J100" s="686">
        <f>B259</f>
        <v>8603565.1149086617</v>
      </c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</row>
    <row r="101" spans="1:33" x14ac:dyDescent="0.25">
      <c r="A101" s="103" t="s">
        <v>120</v>
      </c>
      <c r="B101" s="685"/>
      <c r="C101" s="685">
        <v>1042140</v>
      </c>
      <c r="D101" s="685">
        <v>2749000</v>
      </c>
      <c r="E101" s="685">
        <v>3519000</v>
      </c>
      <c r="F101" s="685">
        <v>5228000</v>
      </c>
      <c r="G101" s="685">
        <v>1148056</v>
      </c>
      <c r="H101" s="685"/>
      <c r="I101" s="685">
        <f>J101-G101</f>
        <v>4917132.5680612847</v>
      </c>
      <c r="J101" s="686">
        <f>B260</f>
        <v>6065188.5680612847</v>
      </c>
      <c r="V101" s="147"/>
      <c r="W101" s="147"/>
      <c r="X101" s="147"/>
      <c r="Y101" s="147"/>
      <c r="Z101" s="147"/>
      <c r="AA101" s="147"/>
      <c r="AB101" s="147"/>
      <c r="AC101" s="147"/>
      <c r="AD101" s="147"/>
      <c r="AE101" s="147"/>
      <c r="AF101" s="147"/>
      <c r="AG101" s="147"/>
    </row>
    <row r="102" spans="1:33" x14ac:dyDescent="0.25">
      <c r="A102" s="103" t="s">
        <v>119</v>
      </c>
      <c r="B102" s="685"/>
      <c r="C102" s="685">
        <v>83185</v>
      </c>
      <c r="D102" s="685">
        <v>153000</v>
      </c>
      <c r="E102" s="685">
        <v>222000</v>
      </c>
      <c r="F102" s="685">
        <v>276000</v>
      </c>
      <c r="G102" s="685">
        <v>29093</v>
      </c>
      <c r="H102" s="685"/>
      <c r="I102" s="685">
        <f>J102-G102</f>
        <v>256816.77813595143</v>
      </c>
      <c r="J102" s="686">
        <f>$J$111*J121</f>
        <v>285909.77813595143</v>
      </c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</row>
    <row r="103" spans="1:33" x14ac:dyDescent="0.25">
      <c r="A103" s="103" t="s">
        <v>116</v>
      </c>
      <c r="B103" s="685"/>
      <c r="C103" s="685">
        <v>6251</v>
      </c>
      <c r="D103" s="685">
        <v>15000</v>
      </c>
      <c r="E103" s="685">
        <v>7000</v>
      </c>
      <c r="F103" s="685">
        <v>9000</v>
      </c>
      <c r="G103" s="685">
        <v>7035</v>
      </c>
      <c r="H103" s="685"/>
      <c r="I103" s="685">
        <f>J103-G103</f>
        <v>14069.567497726872</v>
      </c>
      <c r="J103" s="686">
        <f>$J$111*J122</f>
        <v>21104.567497726872</v>
      </c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</row>
    <row r="104" spans="1:33" x14ac:dyDescent="0.25">
      <c r="A104" s="103" t="s">
        <v>118</v>
      </c>
      <c r="B104" s="685"/>
      <c r="C104" s="685">
        <v>0</v>
      </c>
      <c r="D104" s="685">
        <v>0</v>
      </c>
      <c r="E104" s="685">
        <v>0</v>
      </c>
      <c r="F104" s="685">
        <v>0</v>
      </c>
      <c r="G104" s="685">
        <v>0</v>
      </c>
      <c r="H104" s="685"/>
      <c r="I104" s="685">
        <f>J104-G104</f>
        <v>0</v>
      </c>
      <c r="J104" s="686">
        <f>J123*$J$111</f>
        <v>0</v>
      </c>
      <c r="V104" s="151"/>
      <c r="W104" s="151"/>
      <c r="X104" s="158"/>
      <c r="Y104" s="157"/>
      <c r="Z104" s="151"/>
      <c r="AA104" s="147"/>
      <c r="AB104" s="147"/>
      <c r="AC104" s="147"/>
      <c r="AD104" s="147"/>
      <c r="AE104" s="147"/>
      <c r="AF104" s="147"/>
      <c r="AG104" s="147"/>
    </row>
    <row r="105" spans="1:33" ht="23.25" thickBot="1" x14ac:dyDescent="0.3">
      <c r="A105" s="100" t="s">
        <v>130</v>
      </c>
      <c r="B105" s="687">
        <f t="shared" ref="B105:G105" si="57">SUM(B100:B104)</f>
        <v>0</v>
      </c>
      <c r="C105" s="687">
        <f t="shared" si="57"/>
        <v>3157456</v>
      </c>
      <c r="D105" s="687">
        <f t="shared" si="57"/>
        <v>6806000</v>
      </c>
      <c r="E105" s="687">
        <f t="shared" si="57"/>
        <v>9431000</v>
      </c>
      <c r="F105" s="687">
        <f t="shared" si="57"/>
        <v>12929000</v>
      </c>
      <c r="G105" s="687">
        <f t="shared" si="57"/>
        <v>3065515</v>
      </c>
      <c r="H105" s="687"/>
      <c r="I105" s="687">
        <f>SUM(I100:I104)</f>
        <v>11910253.028603625</v>
      </c>
      <c r="J105" s="688">
        <f>SUM(J100:J104)</f>
        <v>14975768.028603625</v>
      </c>
      <c r="V105" s="151"/>
      <c r="W105" s="151"/>
      <c r="X105" s="151"/>
      <c r="Y105" s="158"/>
      <c r="Z105" s="151"/>
      <c r="AA105" s="147"/>
      <c r="AB105" s="147"/>
      <c r="AC105" s="147"/>
      <c r="AD105" s="147"/>
      <c r="AE105" s="147"/>
      <c r="AF105" s="147"/>
      <c r="AG105" s="147"/>
    </row>
    <row r="106" spans="1:33" x14ac:dyDescent="0.25">
      <c r="A106" s="106" t="s">
        <v>117</v>
      </c>
      <c r="B106" s="689"/>
      <c r="C106" s="689"/>
      <c r="D106" s="689"/>
      <c r="E106" s="689"/>
      <c r="F106" s="689"/>
      <c r="G106" s="689"/>
      <c r="H106" s="689"/>
      <c r="I106" s="689"/>
      <c r="J106" s="690"/>
      <c r="V106" s="151"/>
      <c r="W106" s="151"/>
      <c r="X106" s="151"/>
      <c r="Y106" s="158"/>
      <c r="Z106" s="151"/>
      <c r="AA106" s="147"/>
      <c r="AB106" s="147"/>
      <c r="AC106" s="147"/>
      <c r="AD106" s="147"/>
      <c r="AE106" s="147"/>
      <c r="AF106" s="147"/>
      <c r="AG106" s="147"/>
    </row>
    <row r="107" spans="1:33" x14ac:dyDescent="0.25">
      <c r="A107" s="103" t="s">
        <v>116</v>
      </c>
      <c r="B107" s="685"/>
      <c r="C107" s="685">
        <v>15209</v>
      </c>
      <c r="D107" s="685">
        <v>28000</v>
      </c>
      <c r="E107" s="685">
        <v>40000</v>
      </c>
      <c r="F107" s="685">
        <v>56000</v>
      </c>
      <c r="G107" s="685">
        <v>8000</v>
      </c>
      <c r="H107" s="685"/>
      <c r="I107" s="685">
        <f>J107-G107</f>
        <v>47465.639947664204</v>
      </c>
      <c r="J107" s="686">
        <f>J111*J126</f>
        <v>55465.639947664204</v>
      </c>
      <c r="V107" s="151"/>
      <c r="W107" s="151"/>
      <c r="X107" s="151"/>
      <c r="Y107" s="158"/>
      <c r="Z107" s="151"/>
      <c r="AA107" s="147"/>
      <c r="AB107" s="147"/>
      <c r="AC107" s="147"/>
      <c r="AD107" s="147"/>
      <c r="AE107" s="147"/>
      <c r="AF107" s="147"/>
      <c r="AG107" s="147"/>
    </row>
    <row r="108" spans="1:33" x14ac:dyDescent="0.25">
      <c r="A108" s="154" t="s">
        <v>118</v>
      </c>
      <c r="B108" s="691"/>
      <c r="C108" s="691">
        <v>8523</v>
      </c>
      <c r="D108" s="691">
        <v>0</v>
      </c>
      <c r="E108" s="691">
        <v>0</v>
      </c>
      <c r="F108" s="691">
        <v>0</v>
      </c>
      <c r="G108" s="691">
        <v>0</v>
      </c>
      <c r="H108" s="691"/>
      <c r="I108" s="691"/>
      <c r="J108" s="692"/>
      <c r="V108" s="151"/>
      <c r="W108" s="151"/>
      <c r="X108" s="151"/>
      <c r="Y108" s="158"/>
      <c r="Z108" s="151"/>
      <c r="AA108" s="147"/>
      <c r="AB108" s="147"/>
      <c r="AC108" s="147"/>
      <c r="AD108" s="147"/>
      <c r="AE108" s="147"/>
      <c r="AF108" s="147"/>
      <c r="AG108" s="147"/>
    </row>
    <row r="109" spans="1:33" ht="23.25" thickBot="1" x14ac:dyDescent="0.3">
      <c r="A109" s="100" t="s">
        <v>129</v>
      </c>
      <c r="B109" s="687">
        <f t="shared" ref="B109:G109" si="58">SUM(B107:B108)</f>
        <v>0</v>
      </c>
      <c r="C109" s="687">
        <f t="shared" si="58"/>
        <v>23732</v>
      </c>
      <c r="D109" s="687">
        <f t="shared" si="58"/>
        <v>28000</v>
      </c>
      <c r="E109" s="687">
        <f t="shared" si="58"/>
        <v>40000</v>
      </c>
      <c r="F109" s="687">
        <f t="shared" si="58"/>
        <v>56000</v>
      </c>
      <c r="G109" s="687">
        <f t="shared" si="58"/>
        <v>8000</v>
      </c>
      <c r="H109" s="687"/>
      <c r="I109" s="687"/>
      <c r="J109" s="688">
        <f>SUM(J107:J108)</f>
        <v>55465.639947664204</v>
      </c>
      <c r="V109" s="151"/>
      <c r="W109" s="151"/>
      <c r="X109" s="151"/>
      <c r="Y109" s="158"/>
      <c r="Z109" s="151"/>
      <c r="AA109" s="147"/>
      <c r="AB109" s="147"/>
      <c r="AC109" s="147"/>
      <c r="AD109" s="147"/>
      <c r="AE109" s="147"/>
      <c r="AF109" s="147"/>
      <c r="AG109" s="147"/>
    </row>
    <row r="110" spans="1:33" ht="23.25" thickBot="1" x14ac:dyDescent="0.3">
      <c r="A110" s="150" t="s">
        <v>128</v>
      </c>
      <c r="B110" s="693"/>
      <c r="C110" s="693">
        <f>C109+C105</f>
        <v>3181188</v>
      </c>
      <c r="D110" s="693">
        <f>D109+D105</f>
        <v>6834000</v>
      </c>
      <c r="E110" s="693">
        <f>E109+E105</f>
        <v>9471000</v>
      </c>
      <c r="F110" s="693">
        <f>F109+F105</f>
        <v>12985000</v>
      </c>
      <c r="G110" s="693">
        <f>G109+G105</f>
        <v>3073515</v>
      </c>
      <c r="H110" s="693"/>
      <c r="I110" s="693">
        <f>I109+I105</f>
        <v>11910253.028603625</v>
      </c>
      <c r="J110" s="694">
        <f>J109+J105</f>
        <v>15031233.668551289</v>
      </c>
      <c r="V110" s="151"/>
      <c r="W110" s="151"/>
      <c r="X110" s="151"/>
      <c r="Y110" s="158"/>
      <c r="Z110" s="151"/>
      <c r="AA110" s="147"/>
      <c r="AB110" s="147"/>
      <c r="AC110" s="147"/>
      <c r="AD110" s="147"/>
      <c r="AE110" s="147"/>
      <c r="AF110" s="147"/>
      <c r="AG110" s="147"/>
    </row>
    <row r="111" spans="1:33" x14ac:dyDescent="0.25">
      <c r="A111" s="81" t="s">
        <v>134</v>
      </c>
      <c r="B111" s="81"/>
      <c r="C111" s="183">
        <f>J6</f>
        <v>1970000</v>
      </c>
      <c r="D111" s="183">
        <f>K6</f>
        <v>3651000</v>
      </c>
      <c r="E111" s="183">
        <f>L6</f>
        <v>5229000</v>
      </c>
      <c r="F111" s="183">
        <f>M6</f>
        <v>6788000</v>
      </c>
      <c r="G111" s="183">
        <f>N6</f>
        <v>2037000</v>
      </c>
      <c r="H111" s="81"/>
      <c r="I111" s="81"/>
      <c r="J111" s="182">
        <f>Q6</f>
        <v>7875000</v>
      </c>
      <c r="L111" s="147"/>
      <c r="M111" s="147"/>
      <c r="N111" s="158"/>
      <c r="O111" s="157"/>
      <c r="P111" s="151"/>
      <c r="Q111" s="158"/>
      <c r="R111" s="157"/>
      <c r="S111" s="157"/>
      <c r="T111" s="151"/>
      <c r="U111" s="158"/>
      <c r="V111" s="158"/>
      <c r="W111" s="151"/>
      <c r="X111" s="158"/>
      <c r="Y111" s="157"/>
      <c r="Z111" s="151"/>
      <c r="AA111" s="147"/>
      <c r="AB111" s="147"/>
      <c r="AC111" s="147"/>
      <c r="AD111" s="147"/>
      <c r="AE111" s="147"/>
      <c r="AF111" s="147"/>
      <c r="AG111" s="147"/>
    </row>
    <row r="112" spans="1:33" x14ac:dyDescent="0.25">
      <c r="A112" s="81" t="s">
        <v>28</v>
      </c>
      <c r="B112" s="81"/>
      <c r="C112" s="180">
        <f>C100/C111</f>
        <v>1.0283654822335024</v>
      </c>
      <c r="D112" s="180">
        <f>D100/D111</f>
        <v>1.0651876198301835</v>
      </c>
      <c r="E112" s="180">
        <f>E100/E111</f>
        <v>1.0868234844138458</v>
      </c>
      <c r="F112" s="180">
        <f>F100/F111</f>
        <v>1.0925162050677666</v>
      </c>
      <c r="G112" s="180">
        <f>G100/G111</f>
        <v>0.92357928325969563</v>
      </c>
      <c r="H112" s="81"/>
      <c r="I112" s="81"/>
      <c r="J112" s="181">
        <f>F112</f>
        <v>1.0925162050677666</v>
      </c>
      <c r="L112" s="147"/>
      <c r="M112" s="147"/>
      <c r="N112" s="158"/>
      <c r="O112" s="157"/>
      <c r="P112" s="151"/>
      <c r="Q112" s="158"/>
      <c r="R112" s="157"/>
      <c r="S112" s="157"/>
      <c r="T112" s="151"/>
      <c r="U112" s="158"/>
      <c r="V112" s="158"/>
      <c r="W112" s="151"/>
      <c r="X112" s="158"/>
      <c r="Y112" s="157"/>
      <c r="Z112" s="151"/>
      <c r="AA112" s="147"/>
      <c r="AB112" s="147"/>
      <c r="AC112" s="147"/>
      <c r="AD112" s="147"/>
      <c r="AE112" s="147"/>
      <c r="AF112" s="147"/>
      <c r="AG112" s="147"/>
    </row>
    <row r="113" spans="1:33" x14ac:dyDescent="0.25">
      <c r="A113" s="81" t="s">
        <v>27</v>
      </c>
      <c r="B113" s="81"/>
      <c r="C113" s="180">
        <f>C101/C111</f>
        <v>0.52900507614213199</v>
      </c>
      <c r="D113" s="180">
        <f>D101/D111</f>
        <v>0.75294439879485076</v>
      </c>
      <c r="E113" s="180">
        <f>E101/E111</f>
        <v>0.67297762478485368</v>
      </c>
      <c r="F113" s="180">
        <f>F101/F111</f>
        <v>0.77018267530936946</v>
      </c>
      <c r="G113" s="180">
        <f>G101/G111</f>
        <v>0.56360137457044679</v>
      </c>
      <c r="H113" s="81"/>
      <c r="I113" s="81"/>
      <c r="J113" s="181">
        <f>F113</f>
        <v>0.77018267530936946</v>
      </c>
      <c r="L113" s="147"/>
      <c r="M113" s="147"/>
      <c r="N113" s="158"/>
      <c r="O113" s="157"/>
      <c r="P113" s="151"/>
      <c r="Q113" s="158"/>
      <c r="R113" s="157"/>
      <c r="S113" s="157"/>
      <c r="T113" s="151"/>
      <c r="U113" s="158"/>
      <c r="V113" s="158"/>
      <c r="W113" s="151"/>
      <c r="X113" s="158"/>
      <c r="Y113" s="157"/>
      <c r="Z113" s="151"/>
      <c r="AA113" s="147"/>
      <c r="AB113" s="147"/>
      <c r="AC113" s="147"/>
      <c r="AD113" s="147"/>
      <c r="AE113" s="147"/>
      <c r="AF113" s="147"/>
      <c r="AG113" s="147"/>
    </row>
    <row r="114" spans="1:33" x14ac:dyDescent="0.25">
      <c r="A114" s="81" t="s">
        <v>133</v>
      </c>
      <c r="B114" s="81"/>
      <c r="C114" s="180">
        <f t="shared" ref="C114:J114" si="59">SUM(C112:C113)</f>
        <v>1.5573705583756343</v>
      </c>
      <c r="D114" s="180">
        <f t="shared" si="59"/>
        <v>1.8181320186250343</v>
      </c>
      <c r="E114" s="180">
        <f t="shared" si="59"/>
        <v>1.7598011091986994</v>
      </c>
      <c r="F114" s="180">
        <f t="shared" si="59"/>
        <v>1.862698880377136</v>
      </c>
      <c r="G114" s="180">
        <f t="shared" si="59"/>
        <v>1.4871806578301423</v>
      </c>
      <c r="H114" s="180">
        <f t="shared" si="59"/>
        <v>0</v>
      </c>
      <c r="I114" s="180">
        <f t="shared" si="59"/>
        <v>0</v>
      </c>
      <c r="J114" s="180">
        <f t="shared" si="59"/>
        <v>1.862698880377136</v>
      </c>
      <c r="L114" s="147"/>
      <c r="M114" s="147"/>
      <c r="N114" s="158"/>
      <c r="O114" s="157"/>
      <c r="P114" s="151"/>
      <c r="Q114" s="158"/>
      <c r="R114" s="157"/>
      <c r="S114" s="157"/>
      <c r="T114" s="151"/>
      <c r="U114" s="158"/>
      <c r="V114" s="158"/>
      <c r="W114" s="151"/>
      <c r="X114" s="158"/>
      <c r="Y114" s="157"/>
      <c r="Z114" s="151"/>
      <c r="AA114" s="147"/>
      <c r="AB114" s="147"/>
      <c r="AC114" s="147"/>
      <c r="AD114" s="147"/>
      <c r="AE114" s="147"/>
      <c r="AF114" s="147"/>
      <c r="AG114" s="147"/>
    </row>
    <row r="115" spans="1:33" customFormat="1" ht="15" x14ac:dyDescent="0.25"/>
    <row r="116" spans="1:33" customFormat="1" ht="15.75" thickBot="1" x14ac:dyDescent="0.3"/>
    <row r="117" spans="1:33" customFormat="1" ht="23.25" thickBot="1" x14ac:dyDescent="0.3">
      <c r="A117" s="179" t="s">
        <v>132</v>
      </c>
      <c r="B117" s="178" t="s">
        <v>74</v>
      </c>
      <c r="C117" s="178" t="s">
        <v>73</v>
      </c>
      <c r="D117" s="178" t="s">
        <v>72</v>
      </c>
      <c r="E117" s="178" t="s">
        <v>71</v>
      </c>
      <c r="F117" s="178" t="s">
        <v>70</v>
      </c>
      <c r="G117" s="178" t="s">
        <v>124</v>
      </c>
      <c r="H117" s="178" t="s">
        <v>68</v>
      </c>
      <c r="I117" s="178" t="s">
        <v>123</v>
      </c>
      <c r="J117" s="177" t="s">
        <v>66</v>
      </c>
    </row>
    <row r="118" spans="1:33" customFormat="1" x14ac:dyDescent="0.25">
      <c r="A118" s="175" t="s">
        <v>122</v>
      </c>
      <c r="B118" s="135"/>
      <c r="C118" s="135"/>
      <c r="D118" s="135"/>
      <c r="E118" s="135"/>
      <c r="F118" s="135"/>
      <c r="G118" s="135"/>
      <c r="H118" s="135"/>
      <c r="I118" s="135"/>
      <c r="J118" s="134"/>
    </row>
    <row r="119" spans="1:33" customFormat="1" x14ac:dyDescent="0.25">
      <c r="A119" s="171" t="s">
        <v>121</v>
      </c>
      <c r="B119" s="130"/>
      <c r="C119" s="170">
        <f>C100/C111</f>
        <v>1.0283654822335024</v>
      </c>
      <c r="D119" s="170">
        <f>D100/D111</f>
        <v>1.0651876198301835</v>
      </c>
      <c r="E119" s="170">
        <f>E100/E111</f>
        <v>1.0868234844138458</v>
      </c>
      <c r="F119" s="170">
        <f>F100/F111</f>
        <v>1.0925162050677666</v>
      </c>
      <c r="G119" s="170">
        <f>G100/G111</f>
        <v>0.92357928325969563</v>
      </c>
      <c r="H119" s="130"/>
      <c r="I119" s="130"/>
      <c r="J119" s="169">
        <f>AVERAGE(C119:G119)</f>
        <v>1.0392944149609988</v>
      </c>
    </row>
    <row r="120" spans="1:33" customFormat="1" x14ac:dyDescent="0.25">
      <c r="A120" s="171" t="s">
        <v>120</v>
      </c>
      <c r="B120" s="130"/>
      <c r="C120" s="170">
        <f>C101/C111</f>
        <v>0.52900507614213199</v>
      </c>
      <c r="D120" s="170">
        <f>D101/D111</f>
        <v>0.75294439879485076</v>
      </c>
      <c r="E120" s="170">
        <f>E101/E111</f>
        <v>0.67297762478485368</v>
      </c>
      <c r="F120" s="170">
        <f>F101/F111</f>
        <v>0.77018267530936946</v>
      </c>
      <c r="G120" s="170">
        <f>G101/G111</f>
        <v>0.56360137457044679</v>
      </c>
      <c r="H120" s="130"/>
      <c r="I120" s="130"/>
      <c r="J120" s="169">
        <f>AVERAGE(C120:G120)</f>
        <v>0.65774222992033049</v>
      </c>
    </row>
    <row r="121" spans="1:33" customFormat="1" x14ac:dyDescent="0.25">
      <c r="A121" s="171" t="s">
        <v>119</v>
      </c>
      <c r="B121" s="130"/>
      <c r="C121" s="170">
        <f>C102/C111</f>
        <v>4.2225888324873097E-2</v>
      </c>
      <c r="D121" s="170">
        <f>D102/D111</f>
        <v>4.1906327033689399E-2</v>
      </c>
      <c r="E121" s="170">
        <f>E102/E111</f>
        <v>4.2455536431440045E-2</v>
      </c>
      <c r="F121" s="170">
        <f>F102/F111</f>
        <v>4.0659988214496172E-2</v>
      </c>
      <c r="G121" s="170">
        <f>G102/G111</f>
        <v>1.4282277859597447E-2</v>
      </c>
      <c r="H121" s="130"/>
      <c r="I121" s="130"/>
      <c r="J121" s="169">
        <f>AVERAGE(C121:G121)</f>
        <v>3.6306003572819233E-2</v>
      </c>
    </row>
    <row r="122" spans="1:33" customFormat="1" x14ac:dyDescent="0.25">
      <c r="A122" s="171" t="s">
        <v>116</v>
      </c>
      <c r="B122" s="130"/>
      <c r="C122" s="170">
        <f>C103/C111</f>
        <v>3.1730964467005076E-3</v>
      </c>
      <c r="D122" s="170">
        <f>D103/D111</f>
        <v>4.1084634346754316E-3</v>
      </c>
      <c r="E122" s="170">
        <f>E103/E111</f>
        <v>1.3386880856760374E-3</v>
      </c>
      <c r="F122" s="170">
        <f>F103/F111</f>
        <v>1.3258691809074838E-3</v>
      </c>
      <c r="G122" s="170">
        <f>G103/G111</f>
        <v>3.4536082474226804E-3</v>
      </c>
      <c r="H122" s="130"/>
      <c r="I122" s="130"/>
      <c r="J122" s="169">
        <f>AVERAGE(C122:G122)</f>
        <v>2.6799450790764281E-3</v>
      </c>
    </row>
    <row r="123" spans="1:33" customFormat="1" x14ac:dyDescent="0.25">
      <c r="A123" s="171" t="s">
        <v>118</v>
      </c>
      <c r="B123" s="130"/>
      <c r="C123" s="170"/>
      <c r="D123" s="170"/>
      <c r="E123" s="170"/>
      <c r="F123" s="170"/>
      <c r="G123" s="170"/>
      <c r="H123" s="130"/>
      <c r="I123" s="130"/>
      <c r="J123" s="169">
        <v>0</v>
      </c>
    </row>
    <row r="124" spans="1:33" customFormat="1" ht="23.25" thickBot="1" x14ac:dyDescent="0.3">
      <c r="A124" s="164" t="s">
        <v>130</v>
      </c>
      <c r="B124" s="120">
        <f>SUM(B119:B123)</f>
        <v>0</v>
      </c>
      <c r="C124" s="176"/>
      <c r="D124" s="176"/>
      <c r="E124" s="176"/>
      <c r="F124" s="176"/>
      <c r="G124" s="176"/>
      <c r="H124" s="120"/>
      <c r="I124" s="120"/>
      <c r="J124" s="163"/>
    </row>
    <row r="125" spans="1:33" customFormat="1" ht="22.5" customHeight="1" x14ac:dyDescent="0.25">
      <c r="A125" s="175" t="s">
        <v>117</v>
      </c>
      <c r="B125" s="173"/>
      <c r="C125" s="174"/>
      <c r="D125" s="174"/>
      <c r="E125" s="174"/>
      <c r="F125" s="174"/>
      <c r="G125" s="174"/>
      <c r="H125" s="173"/>
      <c r="I125" s="173"/>
      <c r="J125" s="172"/>
    </row>
    <row r="126" spans="1:33" customFormat="1" x14ac:dyDescent="0.25">
      <c r="A126" s="171" t="s">
        <v>116</v>
      </c>
      <c r="B126" s="130"/>
      <c r="C126" s="170">
        <f>C107/C111</f>
        <v>7.7203045685279191E-3</v>
      </c>
      <c r="D126" s="170">
        <f>D107/D111</f>
        <v>7.6691317447274716E-3</v>
      </c>
      <c r="E126" s="170">
        <f>E107/E111</f>
        <v>7.6496462038630709E-3</v>
      </c>
      <c r="F126" s="170">
        <f>F107/F111</f>
        <v>8.249852681202121E-3</v>
      </c>
      <c r="G126" s="170">
        <f>G107/G111</f>
        <v>3.9273441335297005E-3</v>
      </c>
      <c r="H126" s="130"/>
      <c r="I126" s="130"/>
      <c r="J126" s="169">
        <f>AVERAGE(C126:G126)</f>
        <v>7.0432558663700573E-3</v>
      </c>
    </row>
    <row r="127" spans="1:33" customFormat="1" x14ac:dyDescent="0.25">
      <c r="A127" s="168" t="s">
        <v>118</v>
      </c>
      <c r="B127" s="166"/>
      <c r="C127" s="167">
        <f>C108/C111</f>
        <v>4.3263959390862942E-3</v>
      </c>
      <c r="D127" s="167">
        <f>D108/D111</f>
        <v>0</v>
      </c>
      <c r="E127" s="167">
        <f>E108/E111</f>
        <v>0</v>
      </c>
      <c r="F127" s="167">
        <f>F108/F111</f>
        <v>0</v>
      </c>
      <c r="G127" s="167">
        <f>G108/G111</f>
        <v>0</v>
      </c>
      <c r="H127" s="166"/>
      <c r="I127" s="166"/>
      <c r="J127" s="165"/>
    </row>
    <row r="128" spans="1:33" customFormat="1" ht="23.25" thickBot="1" x14ac:dyDescent="0.3">
      <c r="A128" s="164" t="s">
        <v>129</v>
      </c>
      <c r="B128" s="120">
        <f>SUM(B126:B127)</f>
        <v>0</v>
      </c>
      <c r="C128" s="120"/>
      <c r="D128" s="120"/>
      <c r="E128" s="120"/>
      <c r="F128" s="120"/>
      <c r="G128" s="120"/>
      <c r="H128" s="120"/>
      <c r="I128" s="120"/>
      <c r="J128" s="163"/>
    </row>
    <row r="129" spans="1:33" customFormat="1" ht="23.25" thickBot="1" x14ac:dyDescent="0.3">
      <c r="A129" s="162" t="s">
        <v>128</v>
      </c>
      <c r="B129" s="161"/>
      <c r="C129" s="161"/>
      <c r="D129" s="161"/>
      <c r="E129" s="161"/>
      <c r="F129" s="161"/>
      <c r="G129" s="161"/>
      <c r="H129" s="161"/>
      <c r="I129" s="161"/>
      <c r="J129" s="160"/>
    </row>
    <row r="130" spans="1:33" customFormat="1" ht="15" x14ac:dyDescent="0.25"/>
    <row r="131" spans="1:33" ht="23.25" thickBot="1" x14ac:dyDescent="0.3">
      <c r="K131" s="159"/>
      <c r="L131" s="147"/>
      <c r="M131" s="147"/>
      <c r="N131" s="158"/>
      <c r="O131" s="157"/>
      <c r="P131" s="151"/>
      <c r="Q131" s="158"/>
      <c r="R131" s="157"/>
      <c r="S131" s="157"/>
      <c r="T131" s="151"/>
      <c r="U131" s="158"/>
      <c r="V131" s="158"/>
      <c r="W131" s="151"/>
      <c r="X131" s="158"/>
      <c r="Y131" s="157"/>
      <c r="Z131" s="151"/>
      <c r="AA131" s="147"/>
      <c r="AB131" s="147"/>
      <c r="AC131" s="147"/>
      <c r="AD131" s="147"/>
      <c r="AE131" s="147"/>
      <c r="AF131" s="147"/>
      <c r="AG131" s="147"/>
    </row>
    <row r="132" spans="1:33" ht="23.25" thickBot="1" x14ac:dyDescent="0.3">
      <c r="A132" s="142" t="s">
        <v>131</v>
      </c>
      <c r="B132" s="146" t="s">
        <v>74</v>
      </c>
      <c r="C132" s="146" t="s">
        <v>73</v>
      </c>
      <c r="D132" s="146" t="s">
        <v>72</v>
      </c>
      <c r="E132" s="146" t="s">
        <v>71</v>
      </c>
      <c r="F132" s="146" t="s">
        <v>70</v>
      </c>
      <c r="G132" s="146" t="s">
        <v>124</v>
      </c>
      <c r="H132" s="146" t="s">
        <v>68</v>
      </c>
      <c r="I132" s="146" t="s">
        <v>123</v>
      </c>
      <c r="J132" s="145" t="s">
        <v>66</v>
      </c>
      <c r="L132" s="147"/>
      <c r="M132" s="147"/>
      <c r="N132" s="151"/>
      <c r="O132" s="157"/>
      <c r="P132" s="151"/>
      <c r="Q132" s="151"/>
      <c r="R132" s="157"/>
      <c r="S132" s="157"/>
      <c r="T132" s="151"/>
      <c r="U132" s="151"/>
      <c r="V132" s="151"/>
      <c r="W132" s="151"/>
      <c r="X132" s="151"/>
      <c r="Y132" s="158"/>
      <c r="Z132" s="151"/>
      <c r="AA132" s="147"/>
      <c r="AB132" s="147"/>
      <c r="AC132" s="147"/>
      <c r="AD132" s="147"/>
      <c r="AE132" s="147"/>
      <c r="AF132" s="147"/>
      <c r="AG132" s="147"/>
    </row>
    <row r="133" spans="1:33" x14ac:dyDescent="0.25">
      <c r="A133" s="106" t="s">
        <v>122</v>
      </c>
      <c r="B133" s="144"/>
      <c r="C133" s="144"/>
      <c r="D133" s="144"/>
      <c r="E133" s="144"/>
      <c r="F133" s="144"/>
      <c r="G133" s="144"/>
      <c r="H133" s="144"/>
      <c r="I133" s="144"/>
      <c r="J133" s="143"/>
      <c r="K133" s="159"/>
      <c r="L133" s="147"/>
      <c r="M133" s="147"/>
      <c r="N133" s="151"/>
      <c r="O133" s="157"/>
      <c r="P133" s="151"/>
      <c r="Q133" s="151"/>
      <c r="R133" s="157"/>
      <c r="S133" s="157"/>
      <c r="T133" s="151"/>
      <c r="U133" s="151"/>
      <c r="V133" s="151"/>
      <c r="W133" s="151"/>
      <c r="X133" s="151"/>
      <c r="Y133" s="158"/>
      <c r="Z133" s="151"/>
      <c r="AA133" s="147"/>
      <c r="AB133" s="147"/>
      <c r="AC133" s="147"/>
      <c r="AD133" s="147"/>
      <c r="AE133" s="147"/>
      <c r="AF133" s="147"/>
      <c r="AG133" s="147"/>
    </row>
    <row r="134" spans="1:33" x14ac:dyDescent="0.25">
      <c r="A134" s="103" t="s">
        <v>121</v>
      </c>
      <c r="B134" s="112"/>
      <c r="C134" s="112">
        <v>5535139</v>
      </c>
      <c r="D134" s="112">
        <v>11959158</v>
      </c>
      <c r="E134" s="112">
        <v>20440098</v>
      </c>
      <c r="F134" s="112">
        <v>28866644</v>
      </c>
      <c r="G134" s="112">
        <v>9453803</v>
      </c>
      <c r="H134" s="112"/>
      <c r="I134" s="112">
        <f>I100*I149/1000000</f>
        <v>42000518.749949321</v>
      </c>
      <c r="J134" s="111"/>
      <c r="L134" s="147"/>
      <c r="M134" s="147"/>
      <c r="N134" s="158"/>
      <c r="O134" s="157"/>
      <c r="P134" s="151"/>
      <c r="Q134" s="158"/>
      <c r="R134" s="157"/>
      <c r="S134" s="157"/>
      <c r="T134" s="151"/>
      <c r="U134" s="158"/>
      <c r="V134" s="151"/>
      <c r="W134" s="151"/>
      <c r="X134" s="158"/>
      <c r="Y134" s="157"/>
      <c r="Z134" s="151"/>
      <c r="AA134" s="147"/>
      <c r="AB134" s="147"/>
      <c r="AC134" s="147"/>
      <c r="AD134" s="147"/>
      <c r="AE134" s="147"/>
      <c r="AF134" s="147"/>
      <c r="AG134" s="147"/>
    </row>
    <row r="135" spans="1:33" x14ac:dyDescent="0.25">
      <c r="A135" s="103" t="s">
        <v>120</v>
      </c>
      <c r="B135" s="112"/>
      <c r="C135" s="112">
        <v>4874978</v>
      </c>
      <c r="D135" s="112">
        <v>14080266</v>
      </c>
      <c r="E135" s="112">
        <v>20246954</v>
      </c>
      <c r="F135" s="112">
        <v>32965057</v>
      </c>
      <c r="G135" s="112">
        <v>7683433</v>
      </c>
      <c r="H135" s="112"/>
      <c r="I135" s="112">
        <f>I101*I150/1000000</f>
        <v>44163226.160042427</v>
      </c>
      <c r="J135" s="111"/>
      <c r="L135" s="147"/>
      <c r="M135" s="147"/>
      <c r="N135" s="158"/>
      <c r="O135" s="157"/>
      <c r="P135" s="151"/>
      <c r="Q135" s="158"/>
      <c r="R135" s="157"/>
      <c r="S135" s="157"/>
      <c r="T135" s="151"/>
      <c r="U135" s="158"/>
      <c r="V135" s="151"/>
      <c r="W135" s="151"/>
      <c r="X135" s="158"/>
      <c r="Y135" s="157"/>
      <c r="Z135" s="151"/>
      <c r="AA135" s="147"/>
      <c r="AB135" s="147"/>
      <c r="AC135" s="147"/>
      <c r="AD135" s="147"/>
      <c r="AE135" s="147"/>
      <c r="AF135" s="147"/>
      <c r="AG135" s="147"/>
    </row>
    <row r="136" spans="1:33" x14ac:dyDescent="0.25">
      <c r="A136" s="103" t="s">
        <v>119</v>
      </c>
      <c r="B136" s="112"/>
      <c r="C136" s="112">
        <v>907011</v>
      </c>
      <c r="D136" s="112">
        <v>1748517</v>
      </c>
      <c r="E136" s="112">
        <v>2714292</v>
      </c>
      <c r="F136" s="112">
        <v>3607185</v>
      </c>
      <c r="G136" s="112">
        <v>627635</v>
      </c>
      <c r="H136" s="112"/>
      <c r="I136" s="112">
        <f>I102*I151/1000000</f>
        <v>6019539.4992638882</v>
      </c>
      <c r="J136" s="111"/>
      <c r="L136" s="147"/>
      <c r="M136" s="147"/>
      <c r="N136" s="158"/>
      <c r="O136" s="157"/>
      <c r="P136" s="151"/>
      <c r="Q136" s="158"/>
      <c r="R136" s="157"/>
      <c r="S136" s="157"/>
      <c r="T136" s="151"/>
      <c r="U136" s="158"/>
      <c r="V136" s="151"/>
      <c r="W136" s="151"/>
      <c r="X136" s="158"/>
      <c r="Y136" s="157"/>
      <c r="Z136" s="151"/>
      <c r="AA136" s="147"/>
      <c r="AB136" s="147"/>
      <c r="AC136" s="147"/>
      <c r="AD136" s="147"/>
      <c r="AE136" s="147"/>
      <c r="AF136" s="147"/>
      <c r="AG136" s="147"/>
    </row>
    <row r="137" spans="1:33" x14ac:dyDescent="0.25">
      <c r="A137" s="103" t="s">
        <v>116</v>
      </c>
      <c r="B137" s="112"/>
      <c r="C137" s="112">
        <v>415358</v>
      </c>
      <c r="D137" s="112">
        <v>1611228</v>
      </c>
      <c r="E137" s="112">
        <v>980409</v>
      </c>
      <c r="F137" s="112">
        <v>1068693</v>
      </c>
      <c r="G137" s="112">
        <v>1104825</v>
      </c>
      <c r="H137" s="112"/>
      <c r="I137" s="112">
        <f>I103*I152/1000000</f>
        <v>2812123.7818944715</v>
      </c>
      <c r="J137" s="111"/>
      <c r="L137" s="147"/>
      <c r="M137" s="147"/>
      <c r="N137" s="158"/>
      <c r="O137" s="157"/>
      <c r="P137" s="151"/>
      <c r="Q137" s="158"/>
      <c r="R137" s="157"/>
      <c r="S137" s="157"/>
      <c r="T137" s="151"/>
      <c r="U137" s="158"/>
      <c r="V137" s="151"/>
      <c r="W137" s="151"/>
      <c r="X137" s="158"/>
      <c r="Y137" s="157"/>
      <c r="Z137" s="151"/>
      <c r="AA137" s="147"/>
      <c r="AB137" s="147"/>
      <c r="AC137" s="147"/>
      <c r="AD137" s="147"/>
      <c r="AE137" s="147"/>
      <c r="AF137" s="147"/>
      <c r="AG137" s="147"/>
    </row>
    <row r="138" spans="1:33" x14ac:dyDescent="0.25">
      <c r="A138" s="103" t="s">
        <v>118</v>
      </c>
      <c r="B138" s="112"/>
      <c r="C138" s="112">
        <v>2831680</v>
      </c>
      <c r="D138" s="112">
        <v>4211719</v>
      </c>
      <c r="E138" s="112">
        <v>15212888</v>
      </c>
      <c r="F138" s="112">
        <v>11443340</v>
      </c>
      <c r="G138" s="112">
        <v>2205422</v>
      </c>
      <c r="H138" s="112"/>
      <c r="I138" s="112">
        <f>J138-G138</f>
        <v>9237918</v>
      </c>
      <c r="J138" s="111">
        <f>F138</f>
        <v>11443340</v>
      </c>
      <c r="L138" s="147"/>
      <c r="M138" s="147"/>
      <c r="N138" s="147"/>
      <c r="O138" s="147"/>
      <c r="P138" s="151"/>
      <c r="Q138" s="147"/>
      <c r="R138" s="147"/>
      <c r="S138" s="147"/>
      <c r="T138" s="151"/>
      <c r="U138" s="147"/>
      <c r="V138" s="147"/>
      <c r="W138" s="151"/>
      <c r="X138" s="147"/>
      <c r="Y138" s="147"/>
      <c r="Z138" s="151"/>
      <c r="AA138" s="147"/>
      <c r="AB138" s="147"/>
      <c r="AC138" s="147"/>
      <c r="AD138" s="147"/>
      <c r="AE138" s="147"/>
      <c r="AF138" s="147"/>
      <c r="AG138" s="147"/>
    </row>
    <row r="139" spans="1:33" ht="23.25" thickBot="1" x14ac:dyDescent="0.3">
      <c r="A139" s="100" t="s">
        <v>130</v>
      </c>
      <c r="B139" s="108"/>
      <c r="C139" s="108">
        <f>SUM(C134:C138)</f>
        <v>14564166</v>
      </c>
      <c r="D139" s="108">
        <f>SUM(D134:D138)</f>
        <v>33610888</v>
      </c>
      <c r="E139" s="108">
        <f>SUM(E134:E138)</f>
        <v>59594641</v>
      </c>
      <c r="F139" s="108">
        <f>SUM(F134:F138)</f>
        <v>77950919</v>
      </c>
      <c r="G139" s="108">
        <f>SUM(G134:G138)</f>
        <v>21075118</v>
      </c>
      <c r="H139" s="108"/>
      <c r="I139" s="108">
        <f>SUM(I134:I138)</f>
        <v>104233326.1911501</v>
      </c>
      <c r="J139" s="107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47"/>
      <c r="AE139" s="147"/>
      <c r="AF139" s="147"/>
      <c r="AG139" s="147"/>
    </row>
    <row r="140" spans="1:33" x14ac:dyDescent="0.25">
      <c r="A140" s="106" t="s">
        <v>117</v>
      </c>
      <c r="B140" s="156"/>
      <c r="C140" s="156"/>
      <c r="D140" s="156"/>
      <c r="E140" s="156"/>
      <c r="F140" s="156"/>
      <c r="G140" s="156"/>
      <c r="H140" s="156"/>
      <c r="I140" s="156"/>
      <c r="J140" s="155"/>
      <c r="L140" s="147"/>
      <c r="M140" s="147"/>
      <c r="N140" s="147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7"/>
      <c r="Z140" s="147"/>
      <c r="AA140" s="147"/>
      <c r="AB140" s="147"/>
      <c r="AC140" s="147"/>
      <c r="AD140" s="147"/>
      <c r="AE140" s="147"/>
      <c r="AF140" s="147"/>
      <c r="AG140" s="147"/>
    </row>
    <row r="141" spans="1:33" x14ac:dyDescent="0.25">
      <c r="A141" s="103" t="s">
        <v>116</v>
      </c>
      <c r="B141" s="112"/>
      <c r="C141" s="112">
        <v>1085598</v>
      </c>
      <c r="D141" s="112">
        <v>2120652</v>
      </c>
      <c r="E141" s="112">
        <v>3102310</v>
      </c>
      <c r="F141" s="112">
        <v>4554049</v>
      </c>
      <c r="G141" s="112">
        <v>1000854</v>
      </c>
      <c r="H141" s="112"/>
      <c r="I141" s="112">
        <f>I107*I155/1000000</f>
        <v>7005239.851591941</v>
      </c>
      <c r="J141" s="111"/>
      <c r="L141" s="147"/>
      <c r="M141" s="147"/>
      <c r="N141" s="147"/>
      <c r="O141" s="147"/>
      <c r="P141" s="147"/>
      <c r="Q141" s="147"/>
      <c r="R141" s="147"/>
      <c r="S141" s="147"/>
      <c r="T141" s="147"/>
      <c r="U141" s="147"/>
      <c r="V141" s="151"/>
      <c r="W141" s="147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147"/>
    </row>
    <row r="142" spans="1:33" x14ac:dyDescent="0.25">
      <c r="A142" s="154" t="s">
        <v>118</v>
      </c>
      <c r="B142" s="153"/>
      <c r="C142" s="153">
        <v>251608</v>
      </c>
      <c r="D142" s="153">
        <v>450889</v>
      </c>
      <c r="E142" s="153">
        <v>740456</v>
      </c>
      <c r="F142" s="153">
        <v>955608</v>
      </c>
      <c r="G142" s="153">
        <v>0</v>
      </c>
      <c r="H142" s="153"/>
      <c r="I142" s="153">
        <f>J142</f>
        <v>955608</v>
      </c>
      <c r="J142" s="152">
        <f>F142</f>
        <v>955608</v>
      </c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51"/>
      <c r="W142" s="147"/>
      <c r="X142" s="147"/>
      <c r="Y142" s="147"/>
      <c r="Z142" s="147"/>
      <c r="AA142" s="147"/>
      <c r="AB142" s="147"/>
      <c r="AC142" s="147"/>
      <c r="AD142" s="147"/>
      <c r="AE142" s="147"/>
      <c r="AF142" s="147"/>
      <c r="AG142" s="147"/>
    </row>
    <row r="143" spans="1:33" ht="23.25" thickBot="1" x14ac:dyDescent="0.3">
      <c r="A143" s="100" t="s">
        <v>129</v>
      </c>
      <c r="B143" s="108">
        <f t="shared" ref="B143:G143" si="60">SUM(B141:B142)</f>
        <v>0</v>
      </c>
      <c r="C143" s="108">
        <f t="shared" si="60"/>
        <v>1337206</v>
      </c>
      <c r="D143" s="108">
        <f t="shared" si="60"/>
        <v>2571541</v>
      </c>
      <c r="E143" s="108">
        <f t="shared" si="60"/>
        <v>3842766</v>
      </c>
      <c r="F143" s="108">
        <f t="shared" si="60"/>
        <v>5509657</v>
      </c>
      <c r="G143" s="108">
        <f t="shared" si="60"/>
        <v>1000854</v>
      </c>
      <c r="H143" s="108"/>
      <c r="I143" s="108">
        <f>SUM(I141:I142)</f>
        <v>7960847.851591941</v>
      </c>
      <c r="J143" s="107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51"/>
      <c r="W143" s="147"/>
      <c r="X143" s="147"/>
      <c r="Y143" s="147"/>
      <c r="Z143" s="147"/>
      <c r="AA143" s="147"/>
      <c r="AB143" s="147"/>
      <c r="AC143" s="147"/>
      <c r="AD143" s="147"/>
      <c r="AE143" s="147"/>
      <c r="AF143" s="147"/>
      <c r="AG143" s="147"/>
    </row>
    <row r="144" spans="1:33" ht="23.25" thickBot="1" x14ac:dyDescent="0.3">
      <c r="A144" s="150" t="s">
        <v>128</v>
      </c>
      <c r="B144" s="149">
        <f t="shared" ref="B144:G144" si="61">B139+B143</f>
        <v>0</v>
      </c>
      <c r="C144" s="149">
        <f t="shared" si="61"/>
        <v>15901372</v>
      </c>
      <c r="D144" s="149">
        <f t="shared" si="61"/>
        <v>36182429</v>
      </c>
      <c r="E144" s="149">
        <f t="shared" si="61"/>
        <v>63437407</v>
      </c>
      <c r="F144" s="149">
        <f t="shared" si="61"/>
        <v>83460576</v>
      </c>
      <c r="G144" s="149">
        <f t="shared" si="61"/>
        <v>22075972</v>
      </c>
      <c r="H144" s="149"/>
      <c r="I144" s="149">
        <f>I143+I139</f>
        <v>112194174.04274204</v>
      </c>
      <c r="J144" s="148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47"/>
      <c r="AE144" s="147"/>
      <c r="AF144" s="147"/>
      <c r="AG144" s="147"/>
    </row>
    <row r="146" spans="1:11" ht="23.25" thickBot="1" x14ac:dyDescent="0.3"/>
    <row r="147" spans="1:11" ht="23.25" thickBot="1" x14ac:dyDescent="0.3">
      <c r="A147" s="142" t="s">
        <v>125</v>
      </c>
      <c r="B147" s="146" t="s">
        <v>74</v>
      </c>
      <c r="C147" s="146" t="s">
        <v>73</v>
      </c>
      <c r="D147" s="146" t="s">
        <v>72</v>
      </c>
      <c r="E147" s="146" t="s">
        <v>71</v>
      </c>
      <c r="F147" s="146" t="s">
        <v>70</v>
      </c>
      <c r="G147" s="146" t="s">
        <v>124</v>
      </c>
      <c r="H147" s="146" t="s">
        <v>68</v>
      </c>
      <c r="I147" s="146" t="s">
        <v>123</v>
      </c>
      <c r="J147" s="145" t="s">
        <v>66</v>
      </c>
    </row>
    <row r="148" spans="1:11" x14ac:dyDescent="0.25">
      <c r="A148" s="106" t="s">
        <v>122</v>
      </c>
      <c r="B148" s="144"/>
      <c r="C148" s="144"/>
      <c r="D148" s="144"/>
      <c r="E148" s="144"/>
      <c r="F148" s="144"/>
      <c r="G148" s="144"/>
      <c r="H148" s="144"/>
      <c r="I148" s="144"/>
      <c r="J148" s="143"/>
      <c r="K148" s="1" t="s">
        <v>127</v>
      </c>
    </row>
    <row r="149" spans="1:11" x14ac:dyDescent="0.25">
      <c r="A149" s="103" t="s">
        <v>121</v>
      </c>
      <c r="B149" s="112"/>
      <c r="C149" s="112">
        <f t="shared" ref="C149:G152" si="62">C134*1000000/C100</f>
        <v>2732214.6425257172</v>
      </c>
      <c r="D149" s="112">
        <f t="shared" si="62"/>
        <v>3075124.1964515299</v>
      </c>
      <c r="E149" s="112">
        <f t="shared" si="62"/>
        <v>3596709.1325004399</v>
      </c>
      <c r="F149" s="112">
        <f t="shared" si="62"/>
        <v>3892481.6612729235</v>
      </c>
      <c r="G149" s="112">
        <f t="shared" si="62"/>
        <v>5025060.980763087</v>
      </c>
      <c r="H149" s="112"/>
      <c r="I149" s="112">
        <f>B248</f>
        <v>6248000</v>
      </c>
      <c r="J149" s="111"/>
      <c r="K149" s="1" t="s">
        <v>126</v>
      </c>
    </row>
    <row r="150" spans="1:11" x14ac:dyDescent="0.25">
      <c r="A150" s="103" t="s">
        <v>120</v>
      </c>
      <c r="B150" s="112"/>
      <c r="C150" s="112">
        <f t="shared" si="62"/>
        <v>4677853.2634770758</v>
      </c>
      <c r="D150" s="112">
        <f t="shared" si="62"/>
        <v>5121959.257911968</v>
      </c>
      <c r="E150" s="112">
        <f t="shared" si="62"/>
        <v>5753610.1165103726</v>
      </c>
      <c r="F150" s="112">
        <f t="shared" si="62"/>
        <v>6305481.4460596787</v>
      </c>
      <c r="G150" s="112">
        <f t="shared" si="62"/>
        <v>6692559.4221884646</v>
      </c>
      <c r="H150" s="112"/>
      <c r="I150" s="112">
        <f>B249</f>
        <v>8981500</v>
      </c>
      <c r="J150" s="111"/>
    </row>
    <row r="151" spans="1:11" x14ac:dyDescent="0.25">
      <c r="A151" s="103" t="s">
        <v>119</v>
      </c>
      <c r="B151" s="112"/>
      <c r="C151" s="112">
        <f t="shared" si="62"/>
        <v>10903540.301737092</v>
      </c>
      <c r="D151" s="112">
        <f t="shared" si="62"/>
        <v>11428215.68627451</v>
      </c>
      <c r="E151" s="112">
        <f t="shared" si="62"/>
        <v>12226540.540540541</v>
      </c>
      <c r="F151" s="112">
        <f t="shared" si="62"/>
        <v>13069510.869565217</v>
      </c>
      <c r="G151" s="112">
        <f t="shared" si="62"/>
        <v>21573402.536692675</v>
      </c>
      <c r="H151" s="112"/>
      <c r="I151" s="112">
        <f>$I$149*J163</f>
        <v>23439042.974354725</v>
      </c>
      <c r="J151" s="111"/>
    </row>
    <row r="152" spans="1:11" x14ac:dyDescent="0.25">
      <c r="A152" s="103" t="s">
        <v>116</v>
      </c>
      <c r="B152" s="112"/>
      <c r="C152" s="112">
        <f t="shared" si="62"/>
        <v>66446648.5362342</v>
      </c>
      <c r="D152" s="112">
        <f t="shared" si="62"/>
        <v>107415200</v>
      </c>
      <c r="E152" s="112">
        <f t="shared" si="62"/>
        <v>140058428.57142857</v>
      </c>
      <c r="F152" s="112">
        <f t="shared" si="62"/>
        <v>118743666.66666667</v>
      </c>
      <c r="G152" s="112">
        <f t="shared" si="62"/>
        <v>157046908.31556502</v>
      </c>
      <c r="H152" s="112"/>
      <c r="I152" s="112">
        <f>$I$149*J164</f>
        <v>199872795.11959469</v>
      </c>
      <c r="J152" s="111"/>
    </row>
    <row r="153" spans="1:11" ht="23.25" thickBot="1" x14ac:dyDescent="0.3">
      <c r="A153" s="103" t="s">
        <v>118</v>
      </c>
      <c r="B153" s="112"/>
      <c r="C153" s="112">
        <v>0</v>
      </c>
      <c r="D153" s="112">
        <v>0</v>
      </c>
      <c r="E153" s="112">
        <v>0</v>
      </c>
      <c r="F153" s="112">
        <v>0</v>
      </c>
      <c r="G153" s="112">
        <v>0</v>
      </c>
      <c r="H153" s="112"/>
      <c r="I153" s="112">
        <v>0</v>
      </c>
      <c r="J153" s="111"/>
    </row>
    <row r="154" spans="1:11" ht="23.25" thickBot="1" x14ac:dyDescent="0.3">
      <c r="A154" s="142" t="s">
        <v>117</v>
      </c>
      <c r="B154" s="141"/>
      <c r="C154" s="141"/>
      <c r="D154" s="141"/>
      <c r="E154" s="141"/>
      <c r="F154" s="141"/>
      <c r="G154" s="141"/>
      <c r="H154" s="141"/>
      <c r="I154" s="141"/>
      <c r="J154" s="140"/>
    </row>
    <row r="155" spans="1:11" x14ac:dyDescent="0.25">
      <c r="A155" s="106" t="s">
        <v>116</v>
      </c>
      <c r="B155" s="139"/>
      <c r="C155" s="139">
        <f>C141*1000000/C107</f>
        <v>71378657.373923331</v>
      </c>
      <c r="D155" s="139">
        <f>D141*1000000/D107</f>
        <v>75737571.428571433</v>
      </c>
      <c r="E155" s="139">
        <f>E141*1000000/E107</f>
        <v>77557750</v>
      </c>
      <c r="F155" s="139">
        <f>F141*1000000/F107</f>
        <v>81322303.571428567</v>
      </c>
      <c r="G155" s="139">
        <f>G141*1000000/G107</f>
        <v>125106750</v>
      </c>
      <c r="H155" s="139"/>
      <c r="I155" s="139">
        <f>I149*J167</f>
        <v>147585492.56506276</v>
      </c>
      <c r="J155" s="138"/>
    </row>
    <row r="156" spans="1:11" ht="23.25" thickBot="1" x14ac:dyDescent="0.3">
      <c r="A156" s="100" t="s">
        <v>115</v>
      </c>
      <c r="B156" s="108"/>
      <c r="C156" s="108">
        <f>C142*1000000/C108</f>
        <v>29521060.659392234</v>
      </c>
      <c r="D156" s="108">
        <v>0</v>
      </c>
      <c r="E156" s="108">
        <v>0</v>
      </c>
      <c r="F156" s="108">
        <v>0</v>
      </c>
      <c r="G156" s="108">
        <v>0</v>
      </c>
      <c r="H156" s="108"/>
      <c r="I156" s="108"/>
      <c r="J156" s="107"/>
    </row>
    <row r="158" spans="1:11" ht="23.25" thickBot="1" x14ac:dyDescent="0.3"/>
    <row r="159" spans="1:11" ht="23.25" thickBot="1" x14ac:dyDescent="0.3">
      <c r="A159" s="128" t="s">
        <v>125</v>
      </c>
      <c r="B159" s="137" t="s">
        <v>74</v>
      </c>
      <c r="C159" s="137" t="s">
        <v>73</v>
      </c>
      <c r="D159" s="137" t="s">
        <v>72</v>
      </c>
      <c r="E159" s="137" t="s">
        <v>71</v>
      </c>
      <c r="F159" s="137" t="s">
        <v>70</v>
      </c>
      <c r="G159" s="137" t="s">
        <v>124</v>
      </c>
      <c r="H159" s="137" t="s">
        <v>68</v>
      </c>
      <c r="I159" s="137" t="s">
        <v>123</v>
      </c>
      <c r="J159" s="136" t="s">
        <v>66</v>
      </c>
    </row>
    <row r="160" spans="1:11" x14ac:dyDescent="0.25">
      <c r="A160" s="125" t="s">
        <v>122</v>
      </c>
      <c r="B160" s="135"/>
      <c r="C160" s="135"/>
      <c r="D160" s="135"/>
      <c r="E160" s="135"/>
      <c r="F160" s="135"/>
      <c r="G160" s="135"/>
      <c r="H160" s="135"/>
      <c r="I160" s="135"/>
      <c r="J160" s="134"/>
    </row>
    <row r="161" spans="1:21" x14ac:dyDescent="0.25">
      <c r="A161" s="131" t="s">
        <v>121</v>
      </c>
      <c r="B161" s="130"/>
      <c r="C161" s="130"/>
      <c r="D161" s="130">
        <f t="shared" ref="D161:G162" si="63">O134*1000000/D119</f>
        <v>0</v>
      </c>
      <c r="E161" s="130">
        <f t="shared" si="63"/>
        <v>0</v>
      </c>
      <c r="F161" s="130">
        <f t="shared" si="63"/>
        <v>0</v>
      </c>
      <c r="G161" s="130">
        <f t="shared" si="63"/>
        <v>0</v>
      </c>
      <c r="H161" s="130"/>
      <c r="I161" s="130">
        <f>M248</f>
        <v>0</v>
      </c>
      <c r="J161" s="129"/>
    </row>
    <row r="162" spans="1:21" x14ac:dyDescent="0.25">
      <c r="A162" s="131" t="s">
        <v>120</v>
      </c>
      <c r="B162" s="130"/>
      <c r="C162" s="130">
        <f>N135*1000000/C120</f>
        <v>0</v>
      </c>
      <c r="D162" s="130">
        <f t="shared" si="63"/>
        <v>0</v>
      </c>
      <c r="E162" s="130">
        <f t="shared" si="63"/>
        <v>0</v>
      </c>
      <c r="F162" s="130">
        <f t="shared" si="63"/>
        <v>0</v>
      </c>
      <c r="G162" s="130">
        <f t="shared" si="63"/>
        <v>0</v>
      </c>
      <c r="H162" s="130"/>
      <c r="I162" s="130">
        <f>M249</f>
        <v>0</v>
      </c>
      <c r="J162" s="129"/>
    </row>
    <row r="163" spans="1:21" x14ac:dyDescent="0.25">
      <c r="A163" s="131" t="s">
        <v>119</v>
      </c>
      <c r="B163" s="130"/>
      <c r="C163" s="133">
        <f>C151/C149</f>
        <v>3.9907334262939269</v>
      </c>
      <c r="D163" s="133">
        <f>D151/D149</f>
        <v>3.7163428064017192</v>
      </c>
      <c r="E163" s="133">
        <f>E151/E149</f>
        <v>3.3993687257219554</v>
      </c>
      <c r="F163" s="133">
        <f>F151/F149</f>
        <v>3.3576294012111574</v>
      </c>
      <c r="G163" s="133">
        <f>G151/G149</f>
        <v>4.2931623355974917</v>
      </c>
      <c r="H163" s="130"/>
      <c r="I163" s="130"/>
      <c r="J163" s="132">
        <f>AVERAGE(C163:G163)</f>
        <v>3.7514473390452503</v>
      </c>
    </row>
    <row r="164" spans="1:21" x14ac:dyDescent="0.25">
      <c r="A164" s="131" t="s">
        <v>116</v>
      </c>
      <c r="B164" s="130"/>
      <c r="C164" s="133">
        <f>C152/C149</f>
        <v>24.319702962578923</v>
      </c>
      <c r="D164" s="133">
        <f>D152/D149</f>
        <v>34.930361552209611</v>
      </c>
      <c r="E164" s="133">
        <f>E152/E149</f>
        <v>38.940715918848753</v>
      </c>
      <c r="F164" s="133">
        <f>F152/F149</f>
        <v>30.505902660524029</v>
      </c>
      <c r="G164" s="133">
        <f>G152/G149</f>
        <v>31.252736815885658</v>
      </c>
      <c r="H164" s="130"/>
      <c r="I164" s="130"/>
      <c r="J164" s="132">
        <f>AVERAGE(C164:G164)</f>
        <v>31.989883982009395</v>
      </c>
    </row>
    <row r="165" spans="1:21" ht="23.25" thickBot="1" x14ac:dyDescent="0.3">
      <c r="A165" s="131" t="s">
        <v>118</v>
      </c>
      <c r="B165" s="130"/>
      <c r="C165" s="130">
        <v>0</v>
      </c>
      <c r="D165" s="130">
        <v>0</v>
      </c>
      <c r="E165" s="130">
        <v>0</v>
      </c>
      <c r="F165" s="130">
        <v>0</v>
      </c>
      <c r="G165" s="130">
        <v>0</v>
      </c>
      <c r="H165" s="130"/>
      <c r="I165" s="130"/>
      <c r="J165" s="129"/>
    </row>
    <row r="166" spans="1:21" ht="23.25" thickBot="1" x14ac:dyDescent="0.3">
      <c r="A166" s="128" t="s">
        <v>117</v>
      </c>
      <c r="B166" s="127"/>
      <c r="C166" s="127"/>
      <c r="D166" s="127"/>
      <c r="E166" s="127"/>
      <c r="F166" s="127"/>
      <c r="G166" s="127"/>
      <c r="H166" s="127"/>
      <c r="I166" s="127"/>
      <c r="J166" s="126"/>
    </row>
    <row r="167" spans="1:21" x14ac:dyDescent="0.25">
      <c r="A167" s="125" t="s">
        <v>116</v>
      </c>
      <c r="B167" s="123"/>
      <c r="C167" s="124">
        <f>C155/C149</f>
        <v>26.124835239130181</v>
      </c>
      <c r="D167" s="124">
        <f>D155/D149</f>
        <v>24.629109782286871</v>
      </c>
      <c r="E167" s="124">
        <f>E155/E149</f>
        <v>21.563531312325409</v>
      </c>
      <c r="F167" s="124">
        <f>F155/F149</f>
        <v>20.892148158466714</v>
      </c>
      <c r="G167" s="124">
        <f>G155/G149</f>
        <v>24.896563540011361</v>
      </c>
      <c r="H167" s="123"/>
      <c r="I167" s="123"/>
      <c r="J167" s="122">
        <f>AVERAGE(C167:G167)</f>
        <v>23.621237606444105</v>
      </c>
    </row>
    <row r="168" spans="1:21" ht="23.25" thickBot="1" x14ac:dyDescent="0.3">
      <c r="A168" s="121" t="s">
        <v>115</v>
      </c>
      <c r="B168" s="120"/>
      <c r="C168" s="120"/>
      <c r="D168" s="120"/>
      <c r="E168" s="120"/>
      <c r="F168" s="120"/>
      <c r="G168" s="120"/>
      <c r="H168" s="120"/>
      <c r="I168" s="120"/>
      <c r="J168" s="119"/>
    </row>
    <row r="173" spans="1:21" ht="23.25" thickBot="1" x14ac:dyDescent="0.3"/>
    <row r="174" spans="1:21" x14ac:dyDescent="0.25">
      <c r="A174" s="106" t="s">
        <v>114</v>
      </c>
      <c r="B174" s="105" t="s">
        <v>74</v>
      </c>
      <c r="C174" s="105" t="s">
        <v>73</v>
      </c>
      <c r="D174" s="105" t="s">
        <v>72</v>
      </c>
      <c r="E174" s="105" t="s">
        <v>71</v>
      </c>
      <c r="F174" s="105" t="s">
        <v>70</v>
      </c>
      <c r="G174" s="105" t="s">
        <v>69</v>
      </c>
      <c r="H174" s="105" t="s">
        <v>113</v>
      </c>
      <c r="I174" s="105" t="s">
        <v>68</v>
      </c>
      <c r="J174" s="105" t="s">
        <v>67</v>
      </c>
      <c r="K174" s="104" t="s">
        <v>66</v>
      </c>
    </row>
    <row r="175" spans="1:21" x14ac:dyDescent="0.25">
      <c r="A175" s="103" t="s">
        <v>110</v>
      </c>
      <c r="B175" s="113">
        <v>8189004</v>
      </c>
      <c r="C175" s="114">
        <v>2906964</v>
      </c>
      <c r="D175" s="113">
        <v>4860416</v>
      </c>
      <c r="E175" s="113">
        <v>7639177</v>
      </c>
      <c r="F175" s="113">
        <v>11416089</v>
      </c>
      <c r="G175" s="113">
        <v>4682103</v>
      </c>
      <c r="H175" s="113">
        <v>11302544</v>
      </c>
      <c r="I175" s="114"/>
      <c r="J175" s="118">
        <f t="shared" ref="J175:J185" si="64">K175-G175</f>
        <v>10158812.700000001</v>
      </c>
      <c r="K175" s="111">
        <f t="shared" ref="K175:K184" si="65">F175*1.3</f>
        <v>14840915.700000001</v>
      </c>
    </row>
    <row r="176" spans="1:21" x14ac:dyDescent="0.25">
      <c r="A176" s="103" t="s">
        <v>109</v>
      </c>
      <c r="B176" s="113">
        <v>3046435</v>
      </c>
      <c r="C176" s="114">
        <v>754802</v>
      </c>
      <c r="D176" s="113">
        <v>1512427</v>
      </c>
      <c r="E176" s="113">
        <v>2623599</v>
      </c>
      <c r="F176" s="113">
        <v>3989694</v>
      </c>
      <c r="G176" s="113">
        <v>1274472</v>
      </c>
      <c r="H176" s="113">
        <v>2449038</v>
      </c>
      <c r="I176" s="114"/>
      <c r="J176" s="118">
        <f t="shared" si="64"/>
        <v>3912130.2</v>
      </c>
      <c r="K176" s="111">
        <f t="shared" si="65"/>
        <v>5186602.2</v>
      </c>
      <c r="M176" s="83"/>
      <c r="O176" s="83"/>
      <c r="P176" s="83"/>
      <c r="R176" s="83"/>
      <c r="S176" s="83"/>
      <c r="T176" s="83"/>
      <c r="U176" s="83"/>
    </row>
    <row r="177" spans="1:21" x14ac:dyDescent="0.25">
      <c r="A177" s="103" t="s">
        <v>108</v>
      </c>
      <c r="B177" s="113">
        <v>10063166</v>
      </c>
      <c r="C177" s="114">
        <v>2685917</v>
      </c>
      <c r="D177" s="113">
        <v>4899771</v>
      </c>
      <c r="E177" s="113">
        <v>8585029</v>
      </c>
      <c r="F177" s="113">
        <v>13572030</v>
      </c>
      <c r="G177" s="113">
        <v>4246348</v>
      </c>
      <c r="H177" s="113">
        <v>14425743</v>
      </c>
      <c r="I177" s="114"/>
      <c r="J177" s="118">
        <f t="shared" si="64"/>
        <v>13397291</v>
      </c>
      <c r="K177" s="111">
        <f t="shared" si="65"/>
        <v>17643639</v>
      </c>
      <c r="M177" s="83"/>
      <c r="O177" s="83"/>
      <c r="P177" s="83"/>
      <c r="R177" s="83"/>
      <c r="S177" s="83"/>
      <c r="T177" s="83"/>
      <c r="U177" s="83"/>
    </row>
    <row r="178" spans="1:21" x14ac:dyDescent="0.25">
      <c r="A178" s="103" t="s">
        <v>107</v>
      </c>
      <c r="B178" s="113">
        <v>9818250</v>
      </c>
      <c r="C178" s="114">
        <v>1139616</v>
      </c>
      <c r="D178" s="113">
        <v>6305307</v>
      </c>
      <c r="E178" s="113">
        <v>5067714</v>
      </c>
      <c r="F178" s="113">
        <v>16934080</v>
      </c>
      <c r="G178" s="113">
        <v>8354864</v>
      </c>
      <c r="H178" s="113">
        <v>39503115</v>
      </c>
      <c r="I178" s="114"/>
      <c r="J178" s="118">
        <f t="shared" si="64"/>
        <v>13659440</v>
      </c>
      <c r="K178" s="111">
        <f t="shared" si="65"/>
        <v>22014304</v>
      </c>
      <c r="M178" s="83"/>
      <c r="O178" s="83"/>
      <c r="P178" s="83"/>
      <c r="R178" s="117"/>
      <c r="S178" s="117"/>
      <c r="T178" s="117"/>
      <c r="U178" s="117"/>
    </row>
    <row r="179" spans="1:21" x14ac:dyDescent="0.25">
      <c r="A179" s="103" t="s">
        <v>106</v>
      </c>
      <c r="B179" s="115">
        <v>0</v>
      </c>
      <c r="C179" s="114">
        <v>638804</v>
      </c>
      <c r="D179" s="115">
        <v>0</v>
      </c>
      <c r="E179" s="115">
        <v>0</v>
      </c>
      <c r="F179" s="115">
        <v>0</v>
      </c>
      <c r="G179" s="115">
        <v>0</v>
      </c>
      <c r="H179" s="115">
        <v>0</v>
      </c>
      <c r="I179" s="114"/>
      <c r="J179" s="118">
        <f t="shared" si="64"/>
        <v>0</v>
      </c>
      <c r="K179" s="111">
        <f t="shared" si="65"/>
        <v>0</v>
      </c>
      <c r="M179" s="83"/>
      <c r="O179" s="83"/>
      <c r="P179" s="83"/>
      <c r="R179" s="117"/>
      <c r="S179" s="117"/>
      <c r="T179" s="117"/>
      <c r="U179" s="117"/>
    </row>
    <row r="180" spans="1:21" x14ac:dyDescent="0.25">
      <c r="A180" s="103" t="s">
        <v>105</v>
      </c>
      <c r="B180" s="115">
        <v>0</v>
      </c>
      <c r="C180" s="114">
        <v>755147</v>
      </c>
      <c r="D180" s="115">
        <v>0</v>
      </c>
      <c r="E180" s="115">
        <v>0</v>
      </c>
      <c r="F180" s="115">
        <v>0</v>
      </c>
      <c r="G180" s="115">
        <v>0</v>
      </c>
      <c r="H180" s="115">
        <v>0</v>
      </c>
      <c r="I180" s="114"/>
      <c r="J180" s="118">
        <f t="shared" si="64"/>
        <v>0</v>
      </c>
      <c r="K180" s="111">
        <f t="shared" si="65"/>
        <v>0</v>
      </c>
      <c r="M180" s="117"/>
      <c r="O180" s="117"/>
      <c r="P180" s="117"/>
      <c r="R180" s="83"/>
      <c r="S180" s="83"/>
      <c r="T180" s="83"/>
      <c r="U180" s="83"/>
    </row>
    <row r="181" spans="1:21" x14ac:dyDescent="0.25">
      <c r="A181" s="103" t="s">
        <v>104</v>
      </c>
      <c r="B181" s="115">
        <v>0</v>
      </c>
      <c r="C181" s="114">
        <v>0</v>
      </c>
      <c r="D181" s="115">
        <v>0</v>
      </c>
      <c r="E181" s="115">
        <v>0</v>
      </c>
      <c r="F181" s="115">
        <v>0</v>
      </c>
      <c r="G181" s="115">
        <v>0</v>
      </c>
      <c r="H181" s="115">
        <v>0</v>
      </c>
      <c r="I181" s="114"/>
      <c r="J181" s="118">
        <f t="shared" si="64"/>
        <v>0</v>
      </c>
      <c r="K181" s="111">
        <f t="shared" si="65"/>
        <v>0</v>
      </c>
      <c r="M181" s="117"/>
      <c r="O181" s="117"/>
      <c r="P181" s="117"/>
      <c r="R181" s="83"/>
      <c r="S181" s="83"/>
      <c r="T181" s="83"/>
      <c r="U181" s="83"/>
    </row>
    <row r="182" spans="1:21" x14ac:dyDescent="0.25">
      <c r="A182" s="103" t="s">
        <v>103</v>
      </c>
      <c r="B182" s="115">
        <v>0</v>
      </c>
      <c r="C182" s="114">
        <v>0</v>
      </c>
      <c r="D182" s="115">
        <v>0</v>
      </c>
      <c r="E182" s="115">
        <v>0</v>
      </c>
      <c r="F182" s="115">
        <v>0</v>
      </c>
      <c r="G182" s="115">
        <v>0</v>
      </c>
      <c r="H182" s="115">
        <v>0</v>
      </c>
      <c r="I182" s="114"/>
      <c r="J182" s="118">
        <f t="shared" si="64"/>
        <v>0</v>
      </c>
      <c r="K182" s="111">
        <f t="shared" si="65"/>
        <v>0</v>
      </c>
      <c r="M182" s="117"/>
      <c r="O182" s="117"/>
      <c r="P182" s="117"/>
      <c r="R182" s="117"/>
      <c r="S182" s="117"/>
      <c r="T182" s="117"/>
      <c r="U182" s="117"/>
    </row>
    <row r="183" spans="1:21" x14ac:dyDescent="0.25">
      <c r="A183" s="103" t="s">
        <v>102</v>
      </c>
      <c r="B183" s="115">
        <v>0</v>
      </c>
      <c r="C183" s="114">
        <v>0</v>
      </c>
      <c r="D183" s="115">
        <v>0</v>
      </c>
      <c r="E183" s="115">
        <v>0</v>
      </c>
      <c r="F183" s="115">
        <v>0</v>
      </c>
      <c r="G183" s="115">
        <v>0</v>
      </c>
      <c r="H183" s="115">
        <v>0</v>
      </c>
      <c r="I183" s="114"/>
      <c r="J183" s="118">
        <f t="shared" si="64"/>
        <v>0</v>
      </c>
      <c r="K183" s="111">
        <f t="shared" si="65"/>
        <v>0</v>
      </c>
      <c r="M183" s="117"/>
      <c r="O183" s="117"/>
      <c r="P183" s="117"/>
      <c r="R183" s="117"/>
      <c r="S183" s="117"/>
      <c r="T183" s="117"/>
      <c r="U183" s="117"/>
    </row>
    <row r="184" spans="1:21" x14ac:dyDescent="0.25">
      <c r="A184" s="103" t="s">
        <v>101</v>
      </c>
      <c r="B184" s="113">
        <v>4533410</v>
      </c>
      <c r="C184" s="114">
        <v>1145839</v>
      </c>
      <c r="D184" s="113">
        <v>2648070</v>
      </c>
      <c r="E184" s="113">
        <v>10444316</v>
      </c>
      <c r="F184" s="113">
        <v>6731973</v>
      </c>
      <c r="G184" s="113">
        <v>3330611</v>
      </c>
      <c r="H184" s="113">
        <v>10602276</v>
      </c>
      <c r="I184" s="114"/>
      <c r="J184" s="118">
        <f t="shared" si="64"/>
        <v>5420953.9000000004</v>
      </c>
      <c r="K184" s="111">
        <f t="shared" si="65"/>
        <v>8751564.9000000004</v>
      </c>
      <c r="M184" s="117"/>
      <c r="O184" s="117"/>
      <c r="P184" s="117"/>
      <c r="R184" s="83"/>
      <c r="S184" s="83"/>
      <c r="T184" s="83"/>
      <c r="U184" s="83"/>
    </row>
    <row r="185" spans="1:21" ht="23.25" thickBot="1" x14ac:dyDescent="0.3">
      <c r="A185" s="100" t="s">
        <v>100</v>
      </c>
      <c r="B185" s="109">
        <v>35650265</v>
      </c>
      <c r="C185" s="110">
        <v>10027089</v>
      </c>
      <c r="D185" s="109">
        <v>20225991</v>
      </c>
      <c r="E185" s="109">
        <v>34359835</v>
      </c>
      <c r="F185" s="109">
        <v>52643866</v>
      </c>
      <c r="G185" s="109">
        <v>21888398</v>
      </c>
      <c r="H185" s="109">
        <v>78282716</v>
      </c>
      <c r="I185" s="110"/>
      <c r="J185" s="116">
        <f t="shared" si="64"/>
        <v>46548627.800000012</v>
      </c>
      <c r="K185" s="107">
        <f>SUM(K175:K184)</f>
        <v>68437025.800000012</v>
      </c>
      <c r="M185" s="83"/>
      <c r="O185" s="83"/>
      <c r="P185" s="83"/>
      <c r="R185" s="83"/>
      <c r="S185" s="83"/>
      <c r="T185" s="83"/>
      <c r="U185" s="83"/>
    </row>
    <row r="186" spans="1:21" ht="23.25" thickBot="1" x14ac:dyDescent="0.3">
      <c r="M186" s="83"/>
      <c r="O186" s="83"/>
      <c r="P186" s="83"/>
      <c r="R186" s="83"/>
      <c r="S186" s="83"/>
      <c r="T186" s="83"/>
      <c r="U186" s="83"/>
    </row>
    <row r="187" spans="1:21" x14ac:dyDescent="0.25">
      <c r="A187" s="106" t="s">
        <v>112</v>
      </c>
      <c r="B187" s="105" t="s">
        <v>74</v>
      </c>
      <c r="C187" s="105" t="s">
        <v>73</v>
      </c>
      <c r="D187" s="105" t="s">
        <v>72</v>
      </c>
      <c r="E187" s="105" t="s">
        <v>71</v>
      </c>
      <c r="F187" s="105" t="s">
        <v>70</v>
      </c>
      <c r="G187" s="105" t="s">
        <v>69</v>
      </c>
      <c r="H187" s="105" t="s">
        <v>111</v>
      </c>
      <c r="I187" s="105" t="s">
        <v>68</v>
      </c>
      <c r="J187" s="105" t="s">
        <v>67</v>
      </c>
      <c r="K187" s="104" t="s">
        <v>66</v>
      </c>
    </row>
    <row r="188" spans="1:21" x14ac:dyDescent="0.25">
      <c r="A188" s="103" t="s">
        <v>110</v>
      </c>
      <c r="B188" s="113">
        <v>2772454</v>
      </c>
      <c r="C188" s="114">
        <v>721835</v>
      </c>
      <c r="D188" s="113">
        <v>1149675</v>
      </c>
      <c r="E188" s="113">
        <v>1797825</v>
      </c>
      <c r="F188" s="113">
        <v>2689602</v>
      </c>
      <c r="G188" s="113">
        <v>1140600</v>
      </c>
      <c r="H188" s="113">
        <v>2644822</v>
      </c>
      <c r="I188" s="112"/>
      <c r="J188" s="112">
        <f t="shared" ref="J188:J197" si="66">K188-G188</f>
        <v>2355882.6</v>
      </c>
      <c r="K188" s="111">
        <f t="shared" ref="K188:K197" si="67">F188*1.3</f>
        <v>3496482.6</v>
      </c>
    </row>
    <row r="189" spans="1:21" x14ac:dyDescent="0.25">
      <c r="A189" s="103" t="s">
        <v>109</v>
      </c>
      <c r="B189" s="113">
        <v>257081</v>
      </c>
      <c r="C189" s="114">
        <v>45460</v>
      </c>
      <c r="D189" s="113">
        <v>94918</v>
      </c>
      <c r="E189" s="113">
        <v>140463</v>
      </c>
      <c r="F189" s="113">
        <v>198901</v>
      </c>
      <c r="G189" s="113">
        <v>60416</v>
      </c>
      <c r="H189" s="113">
        <v>136893</v>
      </c>
      <c r="I189" s="112"/>
      <c r="J189" s="112">
        <f t="shared" si="66"/>
        <v>198155.30000000002</v>
      </c>
      <c r="K189" s="111">
        <f t="shared" si="67"/>
        <v>258571.30000000002</v>
      </c>
    </row>
    <row r="190" spans="1:21" x14ac:dyDescent="0.25">
      <c r="A190" s="103" t="s">
        <v>108</v>
      </c>
      <c r="B190" s="115">
        <v>0</v>
      </c>
      <c r="C190" s="114">
        <v>0</v>
      </c>
      <c r="D190" s="115">
        <v>0</v>
      </c>
      <c r="E190" s="115">
        <v>0</v>
      </c>
      <c r="F190" s="113">
        <v>133522</v>
      </c>
      <c r="G190" s="115">
        <v>0</v>
      </c>
      <c r="H190" s="115">
        <v>0</v>
      </c>
      <c r="I190" s="112"/>
      <c r="J190" s="112">
        <f t="shared" si="66"/>
        <v>173578.6</v>
      </c>
      <c r="K190" s="111">
        <f t="shared" si="67"/>
        <v>173578.6</v>
      </c>
    </row>
    <row r="191" spans="1:21" x14ac:dyDescent="0.25">
      <c r="A191" s="103" t="s">
        <v>107</v>
      </c>
      <c r="B191" s="115">
        <v>0</v>
      </c>
      <c r="C191" s="114">
        <v>0</v>
      </c>
      <c r="D191" s="115">
        <v>0</v>
      </c>
      <c r="E191" s="115">
        <v>0</v>
      </c>
      <c r="F191" s="115">
        <v>0</v>
      </c>
      <c r="G191" s="115">
        <v>0</v>
      </c>
      <c r="H191" s="115">
        <v>0</v>
      </c>
      <c r="I191" s="112"/>
      <c r="J191" s="112">
        <f t="shared" si="66"/>
        <v>0</v>
      </c>
      <c r="K191" s="111">
        <f t="shared" si="67"/>
        <v>0</v>
      </c>
    </row>
    <row r="192" spans="1:21" x14ac:dyDescent="0.25">
      <c r="A192" s="103" t="s">
        <v>106</v>
      </c>
      <c r="B192" s="113">
        <v>349971</v>
      </c>
      <c r="C192" s="114">
        <v>8793</v>
      </c>
      <c r="D192" s="113">
        <v>174359</v>
      </c>
      <c r="E192" s="113">
        <v>263016</v>
      </c>
      <c r="F192" s="113">
        <v>556662</v>
      </c>
      <c r="G192" s="113">
        <v>34376</v>
      </c>
      <c r="H192" s="113">
        <v>490625</v>
      </c>
      <c r="I192" s="112"/>
      <c r="J192" s="112">
        <f t="shared" si="66"/>
        <v>689284.6</v>
      </c>
      <c r="K192" s="111">
        <f t="shared" si="67"/>
        <v>723660.6</v>
      </c>
      <c r="R192" s="83"/>
      <c r="T192" s="696"/>
    </row>
    <row r="193" spans="1:25" x14ac:dyDescent="0.25">
      <c r="A193" s="103" t="s">
        <v>105</v>
      </c>
      <c r="B193" s="113">
        <v>404338</v>
      </c>
      <c r="C193" s="114">
        <v>38441</v>
      </c>
      <c r="D193" s="113">
        <v>124214</v>
      </c>
      <c r="E193" s="113">
        <v>208739</v>
      </c>
      <c r="F193" s="113">
        <v>326483</v>
      </c>
      <c r="G193" s="115">
        <v>0</v>
      </c>
      <c r="H193" s="113">
        <v>628000</v>
      </c>
      <c r="I193" s="112"/>
      <c r="J193" s="112">
        <f t="shared" si="66"/>
        <v>424427.9</v>
      </c>
      <c r="K193" s="111">
        <f t="shared" si="67"/>
        <v>424427.9</v>
      </c>
      <c r="S193" s="35"/>
      <c r="T193" s="696"/>
    </row>
    <row r="194" spans="1:25" x14ac:dyDescent="0.25">
      <c r="A194" s="103" t="s">
        <v>104</v>
      </c>
      <c r="B194" s="115">
        <v>0</v>
      </c>
      <c r="C194" s="114">
        <v>0</v>
      </c>
      <c r="D194" s="115">
        <v>0</v>
      </c>
      <c r="E194" s="115">
        <v>0</v>
      </c>
      <c r="F194" s="115">
        <v>0</v>
      </c>
      <c r="G194" s="115">
        <v>0</v>
      </c>
      <c r="H194" s="115">
        <v>0</v>
      </c>
      <c r="I194" s="112"/>
      <c r="J194" s="112">
        <f t="shared" si="66"/>
        <v>0</v>
      </c>
      <c r="K194" s="111">
        <f t="shared" si="67"/>
        <v>0</v>
      </c>
    </row>
    <row r="195" spans="1:25" x14ac:dyDescent="0.25">
      <c r="A195" s="103" t="s">
        <v>103</v>
      </c>
      <c r="B195" s="115">
        <v>0</v>
      </c>
      <c r="C195" s="114">
        <v>0</v>
      </c>
      <c r="D195" s="115">
        <v>0</v>
      </c>
      <c r="E195" s="115">
        <v>0</v>
      </c>
      <c r="F195" s="115">
        <v>0</v>
      </c>
      <c r="G195" s="115">
        <v>0</v>
      </c>
      <c r="H195" s="115">
        <v>0</v>
      </c>
      <c r="I195" s="112"/>
      <c r="J195" s="112">
        <f t="shared" si="66"/>
        <v>0</v>
      </c>
      <c r="K195" s="111">
        <f t="shared" si="67"/>
        <v>0</v>
      </c>
    </row>
    <row r="196" spans="1:25" x14ac:dyDescent="0.25">
      <c r="A196" s="103" t="s">
        <v>102</v>
      </c>
      <c r="B196" s="113">
        <v>923887</v>
      </c>
      <c r="C196" s="114">
        <v>299001</v>
      </c>
      <c r="D196" s="113">
        <v>533599</v>
      </c>
      <c r="E196" s="113">
        <v>616792</v>
      </c>
      <c r="F196" s="113">
        <v>811892</v>
      </c>
      <c r="G196" s="113">
        <v>364859</v>
      </c>
      <c r="H196" s="113">
        <v>905141</v>
      </c>
      <c r="I196" s="112"/>
      <c r="J196" s="112">
        <f t="shared" si="66"/>
        <v>690600.60000000009</v>
      </c>
      <c r="K196" s="111">
        <f t="shared" si="67"/>
        <v>1055459.6000000001</v>
      </c>
    </row>
    <row r="197" spans="1:25" x14ac:dyDescent="0.25">
      <c r="A197" s="103" t="s">
        <v>101</v>
      </c>
      <c r="B197" s="113">
        <v>2162282</v>
      </c>
      <c r="C197" s="114">
        <v>465477</v>
      </c>
      <c r="D197" s="113">
        <v>1227650</v>
      </c>
      <c r="E197" s="113">
        <v>2040991</v>
      </c>
      <c r="F197" s="113">
        <v>2975475</v>
      </c>
      <c r="G197" s="113">
        <v>695608</v>
      </c>
      <c r="H197" s="113">
        <v>2779706</v>
      </c>
      <c r="I197" s="112"/>
      <c r="J197" s="112">
        <f t="shared" si="66"/>
        <v>3172509.5</v>
      </c>
      <c r="K197" s="111">
        <f t="shared" si="67"/>
        <v>3868117.5</v>
      </c>
    </row>
    <row r="198" spans="1:25" ht="23.25" thickBot="1" x14ac:dyDescent="0.3">
      <c r="A198" s="100" t="s">
        <v>100</v>
      </c>
      <c r="B198" s="109">
        <v>6870013</v>
      </c>
      <c r="C198" s="110">
        <v>1579007</v>
      </c>
      <c r="D198" s="109">
        <v>3304415</v>
      </c>
      <c r="E198" s="109">
        <v>5067826</v>
      </c>
      <c r="F198" s="109">
        <v>7692537</v>
      </c>
      <c r="G198" s="109">
        <v>2295859</v>
      </c>
      <c r="H198" s="109">
        <v>7585187</v>
      </c>
      <c r="I198" s="108"/>
      <c r="J198" s="108">
        <f>SUM(J188:J197)</f>
        <v>7704439.0999999996</v>
      </c>
      <c r="K198" s="107">
        <f>SUM(K188:K197)</f>
        <v>10000298.1</v>
      </c>
    </row>
    <row r="200" spans="1:25" ht="23.25" thickBot="1" x14ac:dyDescent="0.3"/>
    <row r="201" spans="1:25" ht="23.25" thickBot="1" x14ac:dyDescent="0.3">
      <c r="A201" s="106" t="s">
        <v>99</v>
      </c>
      <c r="B201" s="105" t="s">
        <v>81</v>
      </c>
      <c r="C201" s="105" t="s">
        <v>80</v>
      </c>
      <c r="D201" s="105" t="s">
        <v>79</v>
      </c>
      <c r="E201" s="105" t="s">
        <v>78</v>
      </c>
      <c r="F201" s="105" t="s">
        <v>77</v>
      </c>
      <c r="G201" s="105" t="s">
        <v>76</v>
      </c>
      <c r="H201" s="105" t="s">
        <v>75</v>
      </c>
      <c r="I201" s="105" t="s">
        <v>74</v>
      </c>
      <c r="J201" s="105" t="s">
        <v>73</v>
      </c>
      <c r="K201" s="105" t="s">
        <v>72</v>
      </c>
      <c r="L201" s="105" t="s">
        <v>71</v>
      </c>
      <c r="M201" s="105" t="s">
        <v>70</v>
      </c>
      <c r="N201" s="105" t="s">
        <v>69</v>
      </c>
      <c r="O201" s="105" t="s">
        <v>68</v>
      </c>
      <c r="P201" s="105" t="s">
        <v>67</v>
      </c>
      <c r="Q201" s="104" t="s">
        <v>66</v>
      </c>
      <c r="V201" s="1" t="s">
        <v>489</v>
      </c>
    </row>
    <row r="202" spans="1:25" x14ac:dyDescent="0.25">
      <c r="A202" s="103" t="s">
        <v>98</v>
      </c>
      <c r="B202" s="102">
        <v>97278523</v>
      </c>
      <c r="C202" s="102">
        <v>101999244</v>
      </c>
      <c r="D202" s="102">
        <v>78166967</v>
      </c>
      <c r="E202" s="102">
        <v>101083653</v>
      </c>
      <c r="F202" s="102">
        <v>33266691</v>
      </c>
      <c r="G202" s="102">
        <v>66928509</v>
      </c>
      <c r="H202" s="102">
        <v>110847637</v>
      </c>
      <c r="I202" s="102">
        <v>158021839</v>
      </c>
      <c r="J202" s="102">
        <v>47098698</v>
      </c>
      <c r="K202" s="102">
        <v>98101137</v>
      </c>
      <c r="L202" s="102">
        <v>161518697</v>
      </c>
      <c r="M202" s="102">
        <v>234100949</v>
      </c>
      <c r="N202" s="102">
        <v>95738263</v>
      </c>
      <c r="O202" s="102"/>
      <c r="P202" s="102">
        <f>P47</f>
        <v>342780128.75912279</v>
      </c>
      <c r="Q202" s="101">
        <f>P202+N202</f>
        <v>438518391.75912279</v>
      </c>
      <c r="S202" s="125" t="s">
        <v>481</v>
      </c>
      <c r="T202" s="135" t="s">
        <v>483</v>
      </c>
      <c r="U202" s="135" t="s">
        <v>485</v>
      </c>
      <c r="V202" s="135" t="s">
        <v>487</v>
      </c>
      <c r="W202" s="135" t="s">
        <v>486</v>
      </c>
      <c r="X202" s="134" t="s">
        <v>484</v>
      </c>
    </row>
    <row r="203" spans="1:25" x14ac:dyDescent="0.25">
      <c r="A203" s="103" t="s">
        <v>97</v>
      </c>
      <c r="B203" s="102">
        <v>-56201638</v>
      </c>
      <c r="C203" s="102">
        <v>-69696950</v>
      </c>
      <c r="D203" s="102">
        <v>-56476516</v>
      </c>
      <c r="E203" s="102">
        <v>-66160253</v>
      </c>
      <c r="F203" s="102">
        <v>-17130396</v>
      </c>
      <c r="G203" s="102">
        <v>-35622625</v>
      </c>
      <c r="H203" s="102">
        <v>-58037696</v>
      </c>
      <c r="I203" s="102">
        <v>-85261468</v>
      </c>
      <c r="J203" s="102">
        <v>-24041967</v>
      </c>
      <c r="K203" s="102">
        <v>-52031610</v>
      </c>
      <c r="L203" s="102">
        <v>-86172334</v>
      </c>
      <c r="M203" s="102">
        <v>-124571115</v>
      </c>
      <c r="N203" s="102">
        <v>-42923566</v>
      </c>
      <c r="O203" s="102"/>
      <c r="P203" s="102">
        <f>-I96</f>
        <v>-148362753.08770826</v>
      </c>
      <c r="Q203" s="101">
        <f>P203+N203</f>
        <v>-191286319.08770826</v>
      </c>
      <c r="S203" s="131" t="s">
        <v>482</v>
      </c>
      <c r="T203" s="133">
        <v>0.40870000000000001</v>
      </c>
      <c r="U203" s="133">
        <v>0.75</v>
      </c>
      <c r="V203" s="697">
        <v>906</v>
      </c>
      <c r="W203" s="698">
        <f>V203*40300000/1000</f>
        <v>36511800</v>
      </c>
      <c r="X203" s="699">
        <f t="shared" ref="X203:X208" si="68">W203*U203*T203</f>
        <v>11191779.495000001</v>
      </c>
    </row>
    <row r="204" spans="1:25" x14ac:dyDescent="0.25">
      <c r="A204" s="103" t="s">
        <v>96</v>
      </c>
      <c r="B204" s="102">
        <v>41076885</v>
      </c>
      <c r="C204" s="102">
        <v>32302294</v>
      </c>
      <c r="D204" s="102">
        <v>21690451</v>
      </c>
      <c r="E204" s="102">
        <v>34923400</v>
      </c>
      <c r="F204" s="102">
        <v>16136295</v>
      </c>
      <c r="G204" s="102">
        <v>31305884</v>
      </c>
      <c r="H204" s="102">
        <v>52809941</v>
      </c>
      <c r="I204" s="102">
        <v>72760371</v>
      </c>
      <c r="J204" s="102">
        <v>23056731</v>
      </c>
      <c r="K204" s="102">
        <v>46069527</v>
      </c>
      <c r="L204" s="102">
        <v>75346363</v>
      </c>
      <c r="M204" s="102">
        <v>109529834</v>
      </c>
      <c r="N204" s="102">
        <v>52814697</v>
      </c>
      <c r="O204" s="102"/>
      <c r="P204" s="102">
        <f>SUM(P202:P203)</f>
        <v>194417375.67141452</v>
      </c>
      <c r="Q204" s="101">
        <f>SUM(Q202:Q203)</f>
        <v>247232072.67141452</v>
      </c>
      <c r="S204" s="131" t="s">
        <v>343</v>
      </c>
      <c r="T204" s="133">
        <v>0.96150000000000002</v>
      </c>
      <c r="U204" s="133">
        <v>0.7</v>
      </c>
      <c r="V204" s="698">
        <v>1014</v>
      </c>
      <c r="W204" s="698">
        <f>V204*15000000/1000</f>
        <v>15210000</v>
      </c>
      <c r="X204" s="699">
        <f t="shared" si="68"/>
        <v>10237090.5</v>
      </c>
    </row>
    <row r="205" spans="1:25" x14ac:dyDescent="0.25">
      <c r="A205" s="103" t="s">
        <v>95</v>
      </c>
      <c r="B205" s="102">
        <v>-5021132</v>
      </c>
      <c r="C205" s="102">
        <v>-5849147</v>
      </c>
      <c r="D205" s="102">
        <v>-6255342</v>
      </c>
      <c r="E205" s="102">
        <v>-6693722</v>
      </c>
      <c r="F205" s="102">
        <v>-2002911</v>
      </c>
      <c r="G205" s="102">
        <v>-3214046</v>
      </c>
      <c r="H205" s="102">
        <v>-4729774</v>
      </c>
      <c r="I205" s="102">
        <v>-6870013</v>
      </c>
      <c r="J205" s="102">
        <v>-1579007</v>
      </c>
      <c r="K205" s="102">
        <v>-3304414</v>
      </c>
      <c r="L205" s="102">
        <v>-5067825</v>
      </c>
      <c r="M205" s="102">
        <v>-7692537</v>
      </c>
      <c r="N205" s="102">
        <v>-2295860</v>
      </c>
      <c r="O205" s="102"/>
      <c r="P205" s="102">
        <f>-J198</f>
        <v>-7704439.0999999996</v>
      </c>
      <c r="Q205" s="101">
        <f>-K198</f>
        <v>-10000298.1</v>
      </c>
      <c r="S205" s="131" t="s">
        <v>488</v>
      </c>
      <c r="T205" s="133">
        <v>0.1007</v>
      </c>
      <c r="U205" s="133">
        <v>0.88</v>
      </c>
      <c r="V205" s="698">
        <v>1378</v>
      </c>
      <c r="W205" s="698">
        <f>36000000*V205/1000</f>
        <v>49608000</v>
      </c>
      <c r="X205" s="699">
        <f t="shared" si="68"/>
        <v>4396062.5279999999</v>
      </c>
    </row>
    <row r="206" spans="1:25" x14ac:dyDescent="0.25">
      <c r="A206" s="103" t="s">
        <v>94</v>
      </c>
      <c r="B206" s="102">
        <v>3456013</v>
      </c>
      <c r="C206" s="102">
        <v>732135</v>
      </c>
      <c r="D206" s="102">
        <v>106199</v>
      </c>
      <c r="E206" s="102">
        <v>1036591</v>
      </c>
      <c r="F206" s="102">
        <v>105796</v>
      </c>
      <c r="G206" s="102">
        <v>855212</v>
      </c>
      <c r="H206" s="102">
        <v>1064440</v>
      </c>
      <c r="I206" s="102">
        <v>1490107</v>
      </c>
      <c r="J206" s="102">
        <v>431632</v>
      </c>
      <c r="K206" s="102">
        <v>6275524</v>
      </c>
      <c r="L206" s="102">
        <v>7040860</v>
      </c>
      <c r="M206" s="102">
        <v>17845680</v>
      </c>
      <c r="N206" s="102">
        <v>1377393</v>
      </c>
      <c r="O206" s="102"/>
      <c r="P206" s="102">
        <f>Q206-N206</f>
        <v>0</v>
      </c>
      <c r="Q206" s="101">
        <f>N206</f>
        <v>1377393</v>
      </c>
      <c r="S206" s="131" t="s">
        <v>490</v>
      </c>
      <c r="T206" s="133">
        <v>8.2699999999999996E-2</v>
      </c>
      <c r="U206" s="133">
        <v>0.84</v>
      </c>
      <c r="V206" s="698">
        <v>1185</v>
      </c>
      <c r="W206" s="698">
        <f>44000000*V206/1000</f>
        <v>52140000</v>
      </c>
      <c r="X206" s="699">
        <f t="shared" si="68"/>
        <v>3622061.52</v>
      </c>
    </row>
    <row r="207" spans="1:25" x14ac:dyDescent="0.25">
      <c r="A207" s="103" t="s">
        <v>93</v>
      </c>
      <c r="B207" s="102">
        <v>-1565119</v>
      </c>
      <c r="C207" s="102">
        <v>-5117012</v>
      </c>
      <c r="D207" s="102">
        <v>0</v>
      </c>
      <c r="E207" s="102">
        <v>-511390</v>
      </c>
      <c r="F207" s="102">
        <v>-303593</v>
      </c>
      <c r="G207" s="102">
        <v>-92141</v>
      </c>
      <c r="H207" s="102">
        <v>-124824</v>
      </c>
      <c r="I207" s="102">
        <v>-86923</v>
      </c>
      <c r="J207" s="102">
        <v>-106888</v>
      </c>
      <c r="K207" s="102">
        <v>-321058</v>
      </c>
      <c r="L207" s="102">
        <v>-348696</v>
      </c>
      <c r="M207" s="102">
        <v>-344455</v>
      </c>
      <c r="N207" s="102">
        <v>-3165351</v>
      </c>
      <c r="O207" s="102"/>
      <c r="P207" s="102">
        <f>Q207-N207</f>
        <v>-3165351</v>
      </c>
      <c r="Q207" s="101">
        <f>N207*2</f>
        <v>-6330702</v>
      </c>
      <c r="S207" s="131" t="s">
        <v>491</v>
      </c>
      <c r="T207" s="133">
        <v>0.35220000000000001</v>
      </c>
      <c r="U207" s="133">
        <v>0.6</v>
      </c>
      <c r="V207" s="698">
        <v>936</v>
      </c>
      <c r="W207" s="698">
        <f>2600000*V207/1000</f>
        <v>2433600</v>
      </c>
      <c r="X207" s="699">
        <f t="shared" si="68"/>
        <v>514268.35200000001</v>
      </c>
    </row>
    <row r="208" spans="1:25" x14ac:dyDescent="0.25">
      <c r="A208" s="103" t="s">
        <v>92</v>
      </c>
      <c r="B208" s="102">
        <v>39511766</v>
      </c>
      <c r="C208" s="102">
        <v>27185282</v>
      </c>
      <c r="D208" s="102">
        <v>15541308</v>
      </c>
      <c r="E208" s="102">
        <v>28754879</v>
      </c>
      <c r="F208" s="102">
        <v>13935587</v>
      </c>
      <c r="G208" s="102">
        <v>28854909</v>
      </c>
      <c r="H208" s="102">
        <v>49019783</v>
      </c>
      <c r="I208" s="102">
        <v>67293542</v>
      </c>
      <c r="J208" s="102">
        <v>21802468</v>
      </c>
      <c r="K208" s="102">
        <v>48719579</v>
      </c>
      <c r="L208" s="102">
        <v>76970702</v>
      </c>
      <c r="M208" s="102">
        <v>119338522</v>
      </c>
      <c r="N208" s="102">
        <v>48730879</v>
      </c>
      <c r="O208" s="102"/>
      <c r="P208" s="102">
        <f>SUM(P204:P207)</f>
        <v>183547585.57141453</v>
      </c>
      <c r="Q208" s="101">
        <f>SUM(Q204:Q207)</f>
        <v>232278465.57141453</v>
      </c>
      <c r="S208" s="700" t="s">
        <v>348</v>
      </c>
      <c r="T208" s="133">
        <v>0.52569999999999995</v>
      </c>
      <c r="U208" s="133">
        <v>0.48</v>
      </c>
      <c r="V208" s="698">
        <v>2000</v>
      </c>
      <c r="W208" s="698">
        <f>858000*V208/1000</f>
        <v>1716000</v>
      </c>
      <c r="X208" s="699">
        <f t="shared" si="68"/>
        <v>433008.57599999994</v>
      </c>
      <c r="Y208" s="696"/>
    </row>
    <row r="209" spans="1:25" ht="23.25" thickBot="1" x14ac:dyDescent="0.3">
      <c r="A209" s="103" t="s">
        <v>91</v>
      </c>
      <c r="B209" s="102">
        <v>-6319767</v>
      </c>
      <c r="C209" s="102">
        <v>-7910993</v>
      </c>
      <c r="D209" s="102">
        <v>-8921334</v>
      </c>
      <c r="E209" s="102">
        <v>-8923398</v>
      </c>
      <c r="F209" s="102">
        <v>-2559305</v>
      </c>
      <c r="G209" s="102">
        <v>-5449716</v>
      </c>
      <c r="H209" s="102">
        <v>-7922163</v>
      </c>
      <c r="I209" s="102">
        <v>-11052537</v>
      </c>
      <c r="J209" s="102">
        <v>-2558109</v>
      </c>
      <c r="K209" s="102">
        <v>-5287148</v>
      </c>
      <c r="L209" s="102">
        <v>-7765627</v>
      </c>
      <c r="M209" s="102">
        <v>-10253754</v>
      </c>
      <c r="N209" s="102">
        <v>-3759534</v>
      </c>
      <c r="O209" s="102"/>
      <c r="P209" s="102">
        <f>Q209-N209</f>
        <v>-10840466</v>
      </c>
      <c r="Q209" s="1096">
        <v>-14600000</v>
      </c>
      <c r="R209" s="1097" t="s">
        <v>90</v>
      </c>
      <c r="S209" s="701" t="s">
        <v>133</v>
      </c>
      <c r="T209" s="702"/>
      <c r="U209" s="702"/>
      <c r="V209" s="703"/>
      <c r="W209" s="703"/>
      <c r="X209" s="704">
        <f>SUM(X203:X208)</f>
        <v>30394270.971000005</v>
      </c>
      <c r="Y209" s="696"/>
    </row>
    <row r="210" spans="1:25" x14ac:dyDescent="0.25">
      <c r="A210" s="103" t="s">
        <v>89</v>
      </c>
      <c r="B210" s="102">
        <v>2072243</v>
      </c>
      <c r="C210" s="102">
        <v>7562256</v>
      </c>
      <c r="D210" s="102">
        <v>2141446</v>
      </c>
      <c r="E210" s="102">
        <v>2751515</v>
      </c>
      <c r="F210" s="102">
        <v>0</v>
      </c>
      <c r="G210" s="102">
        <v>2532966</v>
      </c>
      <c r="H210" s="102">
        <v>2719991</v>
      </c>
      <c r="I210" s="102">
        <v>9073784</v>
      </c>
      <c r="J210" s="102">
        <v>0</v>
      </c>
      <c r="K210" s="102">
        <v>327950</v>
      </c>
      <c r="L210" s="102">
        <v>823405</v>
      </c>
      <c r="M210" s="102">
        <v>17017685</v>
      </c>
      <c r="N210" s="102">
        <v>267783</v>
      </c>
      <c r="O210" s="102"/>
      <c r="P210" s="102">
        <f>Q210-N210</f>
        <v>16749902</v>
      </c>
      <c r="Q210" s="1098">
        <f>M210</f>
        <v>17017685</v>
      </c>
      <c r="R210" s="1099">
        <f>X209</f>
        <v>30394270.971000005</v>
      </c>
    </row>
    <row r="211" spans="1:25" x14ac:dyDescent="0.25">
      <c r="A211" s="103" t="s">
        <v>88</v>
      </c>
      <c r="B211" s="102">
        <v>0</v>
      </c>
      <c r="C211" s="102">
        <v>0</v>
      </c>
      <c r="D211" s="102">
        <v>0</v>
      </c>
      <c r="E211" s="102">
        <v>333565</v>
      </c>
      <c r="F211" s="102">
        <v>-353107</v>
      </c>
      <c r="G211" s="102">
        <v>443170</v>
      </c>
      <c r="H211" s="102">
        <v>-519777</v>
      </c>
      <c r="I211" s="102">
        <v>749234</v>
      </c>
      <c r="J211" s="102">
        <v>89297</v>
      </c>
      <c r="K211" s="102">
        <v>2589078</v>
      </c>
      <c r="L211" s="102">
        <v>2622619</v>
      </c>
      <c r="M211" s="102">
        <v>9267649</v>
      </c>
      <c r="N211" s="102">
        <v>-192359</v>
      </c>
      <c r="O211" s="102"/>
      <c r="P211" s="102">
        <f>Q211+N211</f>
        <v>-192359</v>
      </c>
      <c r="Q211" s="101">
        <v>0</v>
      </c>
    </row>
    <row r="212" spans="1:25" x14ac:dyDescent="0.25">
      <c r="A212" s="103" t="s">
        <v>87</v>
      </c>
      <c r="B212" s="102">
        <v>35264242</v>
      </c>
      <c r="C212" s="102">
        <v>26836545</v>
      </c>
      <c r="D212" s="102">
        <v>8761420</v>
      </c>
      <c r="E212" s="102">
        <v>22916561</v>
      </c>
      <c r="F212" s="102">
        <v>11023175</v>
      </c>
      <c r="G212" s="102">
        <v>26381329</v>
      </c>
      <c r="H212" s="102">
        <v>43297834</v>
      </c>
      <c r="I212" s="102">
        <v>66064023</v>
      </c>
      <c r="J212" s="102">
        <v>19333656</v>
      </c>
      <c r="K212" s="102">
        <v>46349459</v>
      </c>
      <c r="L212" s="102">
        <v>72651099</v>
      </c>
      <c r="M212" s="102">
        <v>135370102</v>
      </c>
      <c r="N212" s="102">
        <v>45046769</v>
      </c>
      <c r="O212" s="102"/>
      <c r="P212" s="102">
        <f>SUM(P208:P211)</f>
        <v>189264662.57141453</v>
      </c>
      <c r="Q212" s="101">
        <f>SUM(Q208:Q211)</f>
        <v>234696150.57141453</v>
      </c>
    </row>
    <row r="213" spans="1:25" x14ac:dyDescent="0.25">
      <c r="A213" s="103" t="s">
        <v>83</v>
      </c>
      <c r="B213" s="102">
        <v>-4376767</v>
      </c>
      <c r="C213" s="102">
        <v>-3075814</v>
      </c>
      <c r="D213" s="102">
        <v>-829704</v>
      </c>
      <c r="E213" s="102">
        <v>-2146221</v>
      </c>
      <c r="F213" s="102">
        <v>-1984172</v>
      </c>
      <c r="G213" s="102">
        <v>-3426349</v>
      </c>
      <c r="H213" s="102">
        <v>-6494675</v>
      </c>
      <c r="I213" s="102">
        <v>-5747241</v>
      </c>
      <c r="J213" s="102">
        <v>-2900048</v>
      </c>
      <c r="K213" s="102">
        <v>-1763389</v>
      </c>
      <c r="L213" s="102">
        <v>-2722526</v>
      </c>
      <c r="M213" s="102">
        <v>-13064930</v>
      </c>
      <c r="N213" s="102">
        <v>-7393015</v>
      </c>
      <c r="O213" s="102"/>
      <c r="P213" s="102">
        <f>P212*Q217</f>
        <v>-19260438.509799384</v>
      </c>
      <c r="Q213" s="101">
        <f>Q212*Q217</f>
        <v>-23883754.712328825</v>
      </c>
    </row>
    <row r="214" spans="1:25" x14ac:dyDescent="0.25">
      <c r="A214" s="103" t="s">
        <v>86</v>
      </c>
      <c r="B214" s="102">
        <v>30887475</v>
      </c>
      <c r="C214" s="102">
        <v>23760731</v>
      </c>
      <c r="D214" s="102">
        <v>7931716</v>
      </c>
      <c r="E214" s="102">
        <v>20770340</v>
      </c>
      <c r="F214" s="102">
        <v>9039003</v>
      </c>
      <c r="G214" s="102">
        <v>22954980</v>
      </c>
      <c r="H214" s="102">
        <v>36803159</v>
      </c>
      <c r="I214" s="102">
        <v>60316782</v>
      </c>
      <c r="J214" s="102">
        <v>16433608</v>
      </c>
      <c r="K214" s="102">
        <v>44586070</v>
      </c>
      <c r="L214" s="102">
        <v>69928573</v>
      </c>
      <c r="M214" s="102">
        <v>122305172</v>
      </c>
      <c r="N214" s="102">
        <v>37653754</v>
      </c>
      <c r="O214" s="102"/>
      <c r="P214" s="102">
        <f>SUM(P212:P213)</f>
        <v>170004224.06161514</v>
      </c>
      <c r="Q214" s="101">
        <f>SUM(Q212:Q213)</f>
        <v>210812395.85908571</v>
      </c>
    </row>
    <row r="215" spans="1:25" x14ac:dyDescent="0.25">
      <c r="A215" s="103" t="s">
        <v>85</v>
      </c>
      <c r="B215" s="102">
        <v>858</v>
      </c>
      <c r="C215" s="102">
        <v>475</v>
      </c>
      <c r="D215" s="102">
        <v>159</v>
      </c>
      <c r="E215" s="102">
        <v>277</v>
      </c>
      <c r="F215" s="102">
        <v>121</v>
      </c>
      <c r="G215" s="102">
        <v>306</v>
      </c>
      <c r="H215" s="102">
        <v>491</v>
      </c>
      <c r="I215" s="102">
        <v>804</v>
      </c>
      <c r="J215" s="102">
        <v>126</v>
      </c>
      <c r="K215" s="102">
        <v>594</v>
      </c>
      <c r="L215" s="102">
        <v>932</v>
      </c>
      <c r="M215" s="102">
        <v>941</v>
      </c>
      <c r="N215" s="102">
        <v>290</v>
      </c>
      <c r="O215" s="102"/>
      <c r="P215" s="102">
        <f>P214*1000/P216</f>
        <v>1307.7248004739627</v>
      </c>
      <c r="Q215" s="101">
        <f>Q214*1000/Q216</f>
        <v>1621.6338143006594</v>
      </c>
    </row>
    <row r="216" spans="1:25" ht="23.25" thickBot="1" x14ac:dyDescent="0.3">
      <c r="A216" s="100" t="s">
        <v>84</v>
      </c>
      <c r="B216" s="99">
        <v>36000000</v>
      </c>
      <c r="C216" s="99">
        <v>50000000</v>
      </c>
      <c r="D216" s="99">
        <v>50000000</v>
      </c>
      <c r="E216" s="99">
        <v>75000000</v>
      </c>
      <c r="F216" s="99">
        <v>75000000</v>
      </c>
      <c r="G216" s="99">
        <v>75000000</v>
      </c>
      <c r="H216" s="99">
        <v>75000000</v>
      </c>
      <c r="I216" s="99">
        <v>75000000</v>
      </c>
      <c r="J216" s="99">
        <v>75000000</v>
      </c>
      <c r="K216" s="99">
        <v>75000000</v>
      </c>
      <c r="L216" s="99">
        <v>75000000</v>
      </c>
      <c r="M216" s="99">
        <v>130000000</v>
      </c>
      <c r="N216" s="99">
        <v>130000000</v>
      </c>
      <c r="O216" s="99"/>
      <c r="P216" s="99">
        <v>130000000</v>
      </c>
      <c r="Q216" s="98">
        <v>130000000</v>
      </c>
    </row>
    <row r="217" spans="1:25" x14ac:dyDescent="0.25">
      <c r="A217" s="1" t="s">
        <v>83</v>
      </c>
      <c r="B217" s="97">
        <f t="shared" ref="B217:N217" si="69">B213/B212</f>
        <v>-0.12411345747910872</v>
      </c>
      <c r="C217" s="97">
        <f t="shared" si="69"/>
        <v>-0.11461289074282849</v>
      </c>
      <c r="D217" s="97">
        <f t="shared" si="69"/>
        <v>-9.4699717625681676E-2</v>
      </c>
      <c r="E217" s="97">
        <f t="shared" si="69"/>
        <v>-9.3653711828751263E-2</v>
      </c>
      <c r="F217" s="97">
        <f t="shared" si="69"/>
        <v>-0.18000004535898231</v>
      </c>
      <c r="G217" s="97">
        <f t="shared" si="69"/>
        <v>-0.12987780107666297</v>
      </c>
      <c r="H217" s="97">
        <f t="shared" si="69"/>
        <v>-0.14999999769041564</v>
      </c>
      <c r="I217" s="97">
        <f t="shared" si="69"/>
        <v>-8.6995019967221796E-2</v>
      </c>
      <c r="J217" s="97">
        <f t="shared" si="69"/>
        <v>-0.14999997931069012</v>
      </c>
      <c r="K217" s="97">
        <f t="shared" si="69"/>
        <v>-3.8045514188202283E-2</v>
      </c>
      <c r="L217" s="97">
        <f t="shared" si="69"/>
        <v>-3.7473982327507531E-2</v>
      </c>
      <c r="M217" s="97">
        <f t="shared" si="69"/>
        <v>-9.6512670131547948E-2</v>
      </c>
      <c r="N217" s="97">
        <f t="shared" si="69"/>
        <v>-0.16411865188377883</v>
      </c>
      <c r="Q217" s="96">
        <f>AVERAGE(M217,I217,E217,B217:D217)</f>
        <v>-0.10176457796252332</v>
      </c>
    </row>
    <row r="218" spans="1:25" ht="40.5" x14ac:dyDescent="1.05">
      <c r="A218" s="95" t="s">
        <v>82</v>
      </c>
      <c r="B218" s="94" t="s">
        <v>81</v>
      </c>
      <c r="C218" s="94" t="s">
        <v>80</v>
      </c>
      <c r="D218" s="94" t="s">
        <v>79</v>
      </c>
      <c r="E218" s="94" t="s">
        <v>78</v>
      </c>
      <c r="F218" s="94" t="s">
        <v>77</v>
      </c>
      <c r="G218" s="94" t="s">
        <v>76</v>
      </c>
      <c r="H218" s="94" t="s">
        <v>75</v>
      </c>
      <c r="I218" s="94" t="s">
        <v>74</v>
      </c>
      <c r="J218" s="94" t="s">
        <v>73</v>
      </c>
      <c r="K218" s="94" t="s">
        <v>72</v>
      </c>
      <c r="L218" s="94" t="s">
        <v>71</v>
      </c>
      <c r="M218" s="94" t="s">
        <v>70</v>
      </c>
      <c r="N218" s="94" t="s">
        <v>69</v>
      </c>
      <c r="O218" s="94" t="s">
        <v>68</v>
      </c>
      <c r="P218" s="94" t="s">
        <v>67</v>
      </c>
      <c r="Q218" s="94" t="s">
        <v>66</v>
      </c>
    </row>
    <row r="219" spans="1:25" x14ac:dyDescent="0.6">
      <c r="A219" s="93" t="s">
        <v>65</v>
      </c>
      <c r="B219" s="92">
        <f t="shared" ref="B219:N219" si="70">B204/B202</f>
        <v>0.42226057441270975</v>
      </c>
      <c r="C219" s="92">
        <f t="shared" si="70"/>
        <v>0.31669150410565788</v>
      </c>
      <c r="D219" s="92">
        <f t="shared" si="70"/>
        <v>0.27748871207961801</v>
      </c>
      <c r="E219" s="92">
        <f t="shared" si="70"/>
        <v>0.34549008631494549</v>
      </c>
      <c r="F219" s="92">
        <f t="shared" si="70"/>
        <v>0.48505861313347937</v>
      </c>
      <c r="G219" s="92">
        <f t="shared" si="70"/>
        <v>0.46775110439110484</v>
      </c>
      <c r="H219" s="92">
        <f t="shared" si="70"/>
        <v>0.4764191860941519</v>
      </c>
      <c r="I219" s="92">
        <f t="shared" si="70"/>
        <v>0.46044503380320739</v>
      </c>
      <c r="J219" s="92">
        <f t="shared" si="70"/>
        <v>0.48954072997941472</v>
      </c>
      <c r="K219" s="92">
        <f t="shared" si="70"/>
        <v>0.46961256932220879</v>
      </c>
      <c r="L219" s="92">
        <f t="shared" si="70"/>
        <v>0.46648694175634664</v>
      </c>
      <c r="M219" s="92">
        <f t="shared" si="70"/>
        <v>0.46787436987280218</v>
      </c>
      <c r="N219" s="92">
        <f t="shared" si="70"/>
        <v>0.55165714673557431</v>
      </c>
      <c r="O219" s="92"/>
      <c r="P219" s="92">
        <f>P204/P202</f>
        <v>0.56717808110759771</v>
      </c>
      <c r="Q219" s="92">
        <f>Q204/Q202</f>
        <v>0.56378951788005871</v>
      </c>
    </row>
    <row r="220" spans="1:25" x14ac:dyDescent="0.6">
      <c r="A220" s="91" t="s">
        <v>64</v>
      </c>
      <c r="B220" s="90">
        <f t="shared" ref="B220:N220" si="71">B208/B202</f>
        <v>0.40617152462316886</v>
      </c>
      <c r="C220" s="90">
        <f t="shared" si="71"/>
        <v>0.26652434796477509</v>
      </c>
      <c r="D220" s="90">
        <f t="shared" si="71"/>
        <v>0.19882193970760054</v>
      </c>
      <c r="E220" s="90">
        <f t="shared" si="71"/>
        <v>0.28446616388111734</v>
      </c>
      <c r="F220" s="90">
        <f t="shared" si="71"/>
        <v>0.41890511442812273</v>
      </c>
      <c r="G220" s="90">
        <f t="shared" si="71"/>
        <v>0.43113031249508338</v>
      </c>
      <c r="H220" s="90">
        <f t="shared" si="71"/>
        <v>0.44222668454357761</v>
      </c>
      <c r="I220" s="90">
        <f t="shared" si="71"/>
        <v>0.42584963208787868</v>
      </c>
      <c r="J220" s="90">
        <f t="shared" si="71"/>
        <v>0.4629102061377578</v>
      </c>
      <c r="K220" s="90">
        <f t="shared" si="71"/>
        <v>0.49662603808557287</v>
      </c>
      <c r="L220" s="90">
        <f t="shared" si="71"/>
        <v>0.47654360411290342</v>
      </c>
      <c r="M220" s="90">
        <f t="shared" si="71"/>
        <v>0.50977376430883248</v>
      </c>
      <c r="N220" s="90">
        <f t="shared" si="71"/>
        <v>0.50900107723909715</v>
      </c>
      <c r="O220" s="90"/>
      <c r="P220" s="90">
        <f>P208/P202</f>
        <v>0.53546740365570145</v>
      </c>
      <c r="Q220" s="90">
        <f>Q208/Q202</f>
        <v>0.52968922156178255</v>
      </c>
    </row>
    <row r="221" spans="1:25" x14ac:dyDescent="0.6">
      <c r="A221" s="89" t="s">
        <v>63</v>
      </c>
      <c r="B221" s="88">
        <f t="shared" ref="B221:N221" si="72">B214/B202</f>
        <v>0.3175158714118223</v>
      </c>
      <c r="C221" s="88">
        <f t="shared" si="72"/>
        <v>0.2329500697083598</v>
      </c>
      <c r="D221" s="88">
        <f t="shared" si="72"/>
        <v>0.10147145660647164</v>
      </c>
      <c r="E221" s="88">
        <f t="shared" si="72"/>
        <v>0.20547674508755634</v>
      </c>
      <c r="F221" s="88">
        <f t="shared" si="72"/>
        <v>0.27171331828584933</v>
      </c>
      <c r="G221" s="88">
        <f t="shared" si="72"/>
        <v>0.34297760913813274</v>
      </c>
      <c r="H221" s="88">
        <f t="shared" si="72"/>
        <v>0.33201572894151998</v>
      </c>
      <c r="I221" s="88">
        <f t="shared" si="72"/>
        <v>0.38169902579098575</v>
      </c>
      <c r="J221" s="88">
        <f t="shared" si="72"/>
        <v>0.34891851999815365</v>
      </c>
      <c r="K221" s="88">
        <f t="shared" si="72"/>
        <v>0.45449085875528639</v>
      </c>
      <c r="L221" s="88">
        <f t="shared" si="72"/>
        <v>0.43294413773038298</v>
      </c>
      <c r="M221" s="88">
        <f t="shared" si="72"/>
        <v>0.5224462887589576</v>
      </c>
      <c r="N221" s="88">
        <f t="shared" si="72"/>
        <v>0.39329890495297581</v>
      </c>
      <c r="O221" s="88"/>
      <c r="P221" s="88">
        <f>P214/P202</f>
        <v>0.4959570575955991</v>
      </c>
      <c r="Q221" s="88">
        <f>Q214/Q202</f>
        <v>0.48073786600696217</v>
      </c>
    </row>
    <row r="223" spans="1:25" x14ac:dyDescent="0.25">
      <c r="A223" s="81"/>
      <c r="B223" s="81" t="s">
        <v>81</v>
      </c>
      <c r="C223" s="81" t="s">
        <v>80</v>
      </c>
      <c r="D223" s="81" t="s">
        <v>79</v>
      </c>
      <c r="E223" s="81" t="s">
        <v>78</v>
      </c>
      <c r="F223" s="81" t="s">
        <v>74</v>
      </c>
      <c r="G223" s="81" t="s">
        <v>70</v>
      </c>
      <c r="H223" s="81" t="s">
        <v>69</v>
      </c>
      <c r="I223" s="81" t="s">
        <v>66</v>
      </c>
    </row>
    <row r="224" spans="1:25" ht="25.5" x14ac:dyDescent="0.7">
      <c r="A224" s="637" t="s">
        <v>441</v>
      </c>
      <c r="B224" s="639">
        <f>B202*1000/B216</f>
        <v>2702.1811944444444</v>
      </c>
      <c r="C224" s="639">
        <f t="shared" ref="C224:E224" si="73">C202*1000/C216</f>
        <v>2039.98488</v>
      </c>
      <c r="D224" s="639">
        <f t="shared" si="73"/>
        <v>1563.33934</v>
      </c>
      <c r="E224" s="639">
        <f t="shared" si="73"/>
        <v>1347.7820400000001</v>
      </c>
      <c r="F224" s="639">
        <f>I202*1000/I216</f>
        <v>2106.9578533333333</v>
      </c>
      <c r="G224" s="639">
        <f>M202*1000/M216</f>
        <v>1800.7765307692307</v>
      </c>
      <c r="H224" s="639">
        <f>N202*1000/N216</f>
        <v>736.44817692307697</v>
      </c>
      <c r="I224" s="639">
        <f>Q202*1000/Q216</f>
        <v>3373.2183981470985</v>
      </c>
    </row>
    <row r="225" spans="1:21" ht="25.5" x14ac:dyDescent="0.7">
      <c r="A225" s="638" t="s">
        <v>442</v>
      </c>
      <c r="B225" s="647">
        <f>B325*1000/B216</f>
        <v>1990.6896944444445</v>
      </c>
      <c r="C225" s="647">
        <f>C325*1000/C216</f>
        <v>1683.3112000000001</v>
      </c>
      <c r="D225" s="647">
        <f>D325*1000/D216</f>
        <v>1791.94552</v>
      </c>
      <c r="E225" s="647">
        <f>E325*1000/E216</f>
        <v>1421.5682133333332</v>
      </c>
      <c r="F225" s="647">
        <f>F325*1000/I216</f>
        <v>2125.7919733333333</v>
      </c>
      <c r="G225" s="647">
        <f>G325*1000/M216</f>
        <v>2022.9966923076922</v>
      </c>
      <c r="H225" s="647">
        <f>H325*1000/N216</f>
        <v>2312.6409615384614</v>
      </c>
      <c r="I225" s="647"/>
    </row>
    <row r="228" spans="1:21" x14ac:dyDescent="0.25">
      <c r="B228" s="1" t="s">
        <v>62</v>
      </c>
      <c r="C228" s="1" t="s">
        <v>61</v>
      </c>
    </row>
    <row r="229" spans="1:21" x14ac:dyDescent="0.6">
      <c r="A229" s="87" t="s">
        <v>60</v>
      </c>
      <c r="B229" s="87">
        <v>6</v>
      </c>
      <c r="C229" s="87">
        <v>6</v>
      </c>
    </row>
    <row r="230" spans="1:21" x14ac:dyDescent="0.25">
      <c r="A230" s="85" t="s">
        <v>59</v>
      </c>
      <c r="B230" s="85"/>
      <c r="C230" s="85" t="s">
        <v>57</v>
      </c>
      <c r="D230" s="85"/>
      <c r="E230" s="85"/>
      <c r="F230" s="85"/>
      <c r="G230" s="85" t="s">
        <v>58</v>
      </c>
      <c r="H230" s="85"/>
      <c r="I230" s="85"/>
      <c r="J230" s="85" t="s">
        <v>467</v>
      </c>
      <c r="K230" s="85"/>
      <c r="L230" s="85"/>
      <c r="M230" s="85"/>
      <c r="N230" s="85" t="s">
        <v>468</v>
      </c>
      <c r="O230" s="85"/>
      <c r="P230" s="85"/>
      <c r="Q230" s="85"/>
      <c r="R230" s="85" t="s">
        <v>469</v>
      </c>
      <c r="S230" s="85"/>
      <c r="T230" s="85"/>
      <c r="U230" s="85"/>
    </row>
    <row r="231" spans="1:21" x14ac:dyDescent="0.25">
      <c r="A231" s="85" t="s">
        <v>51</v>
      </c>
      <c r="B231" s="85" t="s">
        <v>56</v>
      </c>
      <c r="C231" s="85" t="s">
        <v>55</v>
      </c>
      <c r="D231" s="85" t="s">
        <v>54</v>
      </c>
      <c r="E231" s="85" t="s">
        <v>53</v>
      </c>
      <c r="F231" s="85" t="s">
        <v>52</v>
      </c>
      <c r="G231" s="85" t="s">
        <v>55</v>
      </c>
      <c r="H231" s="85" t="s">
        <v>54</v>
      </c>
      <c r="I231" s="85" t="s">
        <v>52</v>
      </c>
      <c r="J231" s="85" t="s">
        <v>55</v>
      </c>
      <c r="K231" s="85" t="s">
        <v>54</v>
      </c>
      <c r="L231" s="85" t="s">
        <v>53</v>
      </c>
      <c r="M231" s="85" t="s">
        <v>52</v>
      </c>
      <c r="N231" s="85" t="s">
        <v>55</v>
      </c>
      <c r="O231" s="85" t="s">
        <v>54</v>
      </c>
      <c r="P231" s="85" t="s">
        <v>53</v>
      </c>
      <c r="Q231" s="85" t="s">
        <v>52</v>
      </c>
      <c r="R231" s="85" t="s">
        <v>55</v>
      </c>
      <c r="S231" s="85" t="s">
        <v>54</v>
      </c>
      <c r="T231" s="85" t="s">
        <v>53</v>
      </c>
      <c r="U231" s="85" t="s">
        <v>52</v>
      </c>
    </row>
    <row r="232" spans="1:21" x14ac:dyDescent="0.25">
      <c r="A232" s="85" t="s">
        <v>50</v>
      </c>
      <c r="B232" s="85" t="s">
        <v>47</v>
      </c>
      <c r="C232" s="84">
        <v>2067</v>
      </c>
      <c r="D232" s="84">
        <v>2017</v>
      </c>
      <c r="E232" s="84">
        <v>50084891423</v>
      </c>
      <c r="F232" s="84">
        <v>101021226</v>
      </c>
      <c r="G232" s="86">
        <v>-1</v>
      </c>
      <c r="H232" s="86">
        <v>0</v>
      </c>
      <c r="I232" s="86">
        <v>0</v>
      </c>
      <c r="J232" s="84">
        <v>2066</v>
      </c>
      <c r="K232" s="84">
        <v>2017</v>
      </c>
      <c r="L232" s="84">
        <v>50084891423</v>
      </c>
      <c r="M232" s="84">
        <v>101021226</v>
      </c>
      <c r="N232" s="86">
        <v>434</v>
      </c>
      <c r="O232" s="86">
        <v>414</v>
      </c>
      <c r="P232" s="84">
        <v>50781768116</v>
      </c>
      <c r="Q232" s="84">
        <v>21023652</v>
      </c>
      <c r="R232" s="84">
        <v>2500</v>
      </c>
      <c r="S232" s="84">
        <v>2431</v>
      </c>
      <c r="T232" s="84">
        <v>50203569724</v>
      </c>
      <c r="U232" s="84">
        <v>122044878</v>
      </c>
    </row>
    <row r="233" spans="1:21" x14ac:dyDescent="0.25">
      <c r="A233" s="85" t="s">
        <v>49</v>
      </c>
      <c r="B233" s="85" t="s">
        <v>47</v>
      </c>
      <c r="C233" s="86">
        <v>629</v>
      </c>
      <c r="D233" s="86">
        <v>615</v>
      </c>
      <c r="E233" s="84">
        <v>54472276423</v>
      </c>
      <c r="F233" s="84">
        <v>33500450</v>
      </c>
      <c r="G233" s="86">
        <v>2</v>
      </c>
      <c r="H233" s="86">
        <v>0</v>
      </c>
      <c r="I233" s="86">
        <v>0</v>
      </c>
      <c r="J233" s="86">
        <v>631</v>
      </c>
      <c r="K233" s="86">
        <v>615</v>
      </c>
      <c r="L233" s="84">
        <v>54472276423</v>
      </c>
      <c r="M233" s="84">
        <v>33500450</v>
      </c>
      <c r="N233" s="86">
        <v>121</v>
      </c>
      <c r="O233" s="86">
        <v>111</v>
      </c>
      <c r="P233" s="84">
        <v>59590792793</v>
      </c>
      <c r="Q233" s="84">
        <v>6614578</v>
      </c>
      <c r="R233" s="86">
        <v>752</v>
      </c>
      <c r="S233" s="86">
        <v>726</v>
      </c>
      <c r="T233" s="84">
        <v>55254859504</v>
      </c>
      <c r="U233" s="84">
        <v>40115028</v>
      </c>
    </row>
    <row r="234" spans="1:21" x14ac:dyDescent="0.25">
      <c r="A234" s="85" t="s">
        <v>48</v>
      </c>
      <c r="B234" s="85" t="s">
        <v>47</v>
      </c>
      <c r="C234" s="86">
        <v>120</v>
      </c>
      <c r="D234" s="86">
        <v>112</v>
      </c>
      <c r="E234" s="84">
        <v>103894714286</v>
      </c>
      <c r="F234" s="84">
        <v>11636208</v>
      </c>
      <c r="G234" s="86">
        <v>1</v>
      </c>
      <c r="H234" s="86">
        <v>0</v>
      </c>
      <c r="I234" s="86">
        <v>0</v>
      </c>
      <c r="J234" s="86">
        <v>121</v>
      </c>
      <c r="K234" s="86">
        <v>112</v>
      </c>
      <c r="L234" s="84">
        <v>103894714286</v>
      </c>
      <c r="M234" s="84">
        <v>11636208</v>
      </c>
      <c r="N234" s="86">
        <v>22</v>
      </c>
      <c r="O234" s="86">
        <v>23</v>
      </c>
      <c r="P234" s="84">
        <v>119166826087</v>
      </c>
      <c r="Q234" s="84">
        <v>2740837</v>
      </c>
      <c r="R234" s="86">
        <v>143</v>
      </c>
      <c r="S234" s="86">
        <v>135</v>
      </c>
      <c r="T234" s="84">
        <v>106496629630</v>
      </c>
      <c r="U234" s="84">
        <v>14377045</v>
      </c>
    </row>
    <row r="235" spans="1:21" x14ac:dyDescent="0.25">
      <c r="A235" s="85" t="s">
        <v>46</v>
      </c>
      <c r="B235" s="85" t="s">
        <v>47</v>
      </c>
      <c r="C235" s="86">
        <v>579</v>
      </c>
      <c r="D235" s="86">
        <v>436</v>
      </c>
      <c r="E235" s="84">
        <v>40668917431</v>
      </c>
      <c r="F235" s="84">
        <v>17731648</v>
      </c>
      <c r="G235" s="86">
        <v>0</v>
      </c>
      <c r="H235" s="86">
        <v>0</v>
      </c>
      <c r="I235" s="86">
        <v>0</v>
      </c>
      <c r="J235" s="86">
        <v>579</v>
      </c>
      <c r="K235" s="86">
        <v>436</v>
      </c>
      <c r="L235" s="84">
        <v>40668917431</v>
      </c>
      <c r="M235" s="84">
        <v>17731648</v>
      </c>
      <c r="N235" s="86">
        <v>146</v>
      </c>
      <c r="O235" s="86">
        <v>146</v>
      </c>
      <c r="P235" s="84">
        <v>41567746575</v>
      </c>
      <c r="Q235" s="84">
        <v>6068891</v>
      </c>
      <c r="R235" s="86">
        <v>725</v>
      </c>
      <c r="S235" s="86">
        <v>582</v>
      </c>
      <c r="T235" s="84">
        <v>40894396907</v>
      </c>
      <c r="U235" s="84">
        <v>23800539</v>
      </c>
    </row>
    <row r="236" spans="1:21" x14ac:dyDescent="0.25">
      <c r="A236" s="85" t="s">
        <v>45</v>
      </c>
      <c r="B236" s="85"/>
      <c r="C236" s="85"/>
      <c r="D236" s="85"/>
      <c r="E236" s="85"/>
      <c r="F236" s="84">
        <v>163889532</v>
      </c>
      <c r="G236" s="85"/>
      <c r="H236" s="85"/>
      <c r="I236" s="86">
        <v>0</v>
      </c>
      <c r="J236" s="85"/>
      <c r="K236" s="85"/>
      <c r="L236" s="85"/>
      <c r="M236" s="84">
        <v>163889532</v>
      </c>
      <c r="N236" s="85"/>
      <c r="O236" s="85"/>
      <c r="P236" s="85"/>
      <c r="Q236" s="84">
        <v>36447958</v>
      </c>
      <c r="R236" s="85"/>
      <c r="S236" s="85"/>
      <c r="T236" s="85"/>
      <c r="U236" s="84">
        <v>200337490</v>
      </c>
    </row>
    <row r="237" spans="1:21" x14ac:dyDescent="0.25">
      <c r="C237" s="83"/>
      <c r="N237" s="1">
        <f>SUM(N232:N236)*1000</f>
        <v>723000</v>
      </c>
      <c r="R237" s="83">
        <f>SUM(R232:R236)*1000</f>
        <v>4120000</v>
      </c>
      <c r="S237" s="83">
        <f>SUM(S232:S236)*1000</f>
        <v>3874000</v>
      </c>
    </row>
    <row r="238" spans="1:21" x14ac:dyDescent="0.25">
      <c r="R238" s="83">
        <f>SUM(R232:R235)</f>
        <v>4120</v>
      </c>
      <c r="S238" s="83">
        <f>SUM(S232:S235)</f>
        <v>3874</v>
      </c>
    </row>
    <row r="239" spans="1:21" ht="22.5" customHeight="1" x14ac:dyDescent="0.25">
      <c r="A239" s="1036" t="s">
        <v>44</v>
      </c>
    </row>
    <row r="240" spans="1:21" ht="22.5" customHeight="1" x14ac:dyDescent="0.25">
      <c r="A240" s="1036"/>
    </row>
    <row r="241" spans="1:11" ht="22.5" customHeight="1" x14ac:dyDescent="0.25">
      <c r="A241" s="1036"/>
    </row>
    <row r="242" spans="1:11" ht="23.25" customHeight="1" thickBot="1" x14ac:dyDescent="0.65">
      <c r="A242" s="1093"/>
      <c r="B242" s="82"/>
      <c r="C242" s="81" t="s">
        <v>43</v>
      </c>
      <c r="D242" s="81" t="s">
        <v>42</v>
      </c>
      <c r="E242" s="81" t="s">
        <v>41</v>
      </c>
      <c r="F242" s="81" t="s">
        <v>40</v>
      </c>
      <c r="G242" s="81" t="s">
        <v>39</v>
      </c>
      <c r="H242" s="81" t="s">
        <v>38</v>
      </c>
      <c r="I242" s="81" t="s">
        <v>37</v>
      </c>
      <c r="J242" s="81" t="s">
        <v>34</v>
      </c>
      <c r="K242" s="81" t="s">
        <v>35</v>
      </c>
    </row>
    <row r="243" spans="1:11" ht="24" thickTop="1" thickBot="1" x14ac:dyDescent="0.3">
      <c r="A243" s="80" t="s">
        <v>33</v>
      </c>
      <c r="B243" s="79">
        <f>H243</f>
        <v>7875000</v>
      </c>
      <c r="C243" s="78"/>
      <c r="D243" s="78">
        <f>AVERAGE(M6,I6,D6:E6)</f>
        <v>7265000</v>
      </c>
      <c r="E243" s="78">
        <f>N237</f>
        <v>723000</v>
      </c>
      <c r="F243" s="78">
        <f>R237</f>
        <v>4120000</v>
      </c>
      <c r="G243" s="78">
        <f>N6*M6/J6</f>
        <v>7018860.9137055837</v>
      </c>
      <c r="H243" s="78">
        <f>MAX(M6,I6,B6:E6)</f>
        <v>7875000</v>
      </c>
      <c r="I243" s="78">
        <f>MIN(M6,I6,E6,B6:D6)</f>
        <v>5845000</v>
      </c>
      <c r="J243" s="78"/>
      <c r="K243" s="78"/>
    </row>
    <row r="244" spans="1:11" ht="24" thickTop="1" thickBot="1" x14ac:dyDescent="0.3">
      <c r="A244" s="77" t="s">
        <v>25</v>
      </c>
      <c r="B244" s="76">
        <f>C244</f>
        <v>440</v>
      </c>
      <c r="C244" s="75">
        <f>پنل!B4</f>
        <v>440</v>
      </c>
      <c r="D244" s="75"/>
      <c r="E244" s="75"/>
      <c r="F244" s="75"/>
      <c r="G244" s="75"/>
      <c r="H244" s="75"/>
      <c r="I244" s="75"/>
      <c r="J244" s="75"/>
      <c r="K244" s="75"/>
    </row>
    <row r="245" spans="1:11" ht="24" thickTop="1" thickBot="1" x14ac:dyDescent="0.3">
      <c r="A245" s="74" t="s">
        <v>32</v>
      </c>
      <c r="B245" s="73">
        <f>B244*B246</f>
        <v>48400000</v>
      </c>
      <c r="C245" s="72">
        <f>C244*B246</f>
        <v>48400000</v>
      </c>
      <c r="D245" s="72"/>
      <c r="E245" s="72">
        <f>P232/1000</f>
        <v>50781768.115999997</v>
      </c>
      <c r="F245" s="72">
        <f>T232/1000</f>
        <v>50203569.723999999</v>
      </c>
      <c r="G245" s="72">
        <f>N65</f>
        <v>40819686.900958464</v>
      </c>
      <c r="H245" s="72"/>
      <c r="I245" s="72"/>
      <c r="J245" s="72">
        <v>50075000</v>
      </c>
      <c r="K245" s="72"/>
    </row>
    <row r="246" spans="1:11" ht="24" thickTop="1" thickBot="1" x14ac:dyDescent="0.3">
      <c r="A246" s="71" t="s">
        <v>26</v>
      </c>
      <c r="B246" s="70">
        <f>C246</f>
        <v>110000</v>
      </c>
      <c r="C246" s="69">
        <f>پنل!B1</f>
        <v>110000</v>
      </c>
      <c r="D246" s="69"/>
      <c r="E246" s="69"/>
      <c r="F246" s="69"/>
      <c r="G246" s="69"/>
      <c r="H246" s="69"/>
      <c r="I246" s="69"/>
      <c r="J246" s="69"/>
      <c r="K246" s="69"/>
    </row>
    <row r="247" spans="1:11" ht="24" thickTop="1" thickBot="1" x14ac:dyDescent="0.3">
      <c r="A247" s="68" t="s">
        <v>31</v>
      </c>
      <c r="B247" s="67">
        <f>C247</f>
        <v>39050000</v>
      </c>
      <c r="C247" s="66">
        <f>پنل!B6</f>
        <v>39050000</v>
      </c>
      <c r="D247" s="66"/>
      <c r="E247" s="66"/>
      <c r="F247" s="66"/>
      <c r="G247" s="66"/>
      <c r="H247" s="66"/>
      <c r="I247" s="66"/>
      <c r="J247" s="66"/>
      <c r="K247" s="66"/>
    </row>
    <row r="248" spans="1:11" ht="24" thickTop="1" thickBot="1" x14ac:dyDescent="0.3">
      <c r="A248" s="65" t="s">
        <v>30</v>
      </c>
      <c r="B248" s="64">
        <f>C248</f>
        <v>6248000</v>
      </c>
      <c r="C248" s="63">
        <f>پنل!B7</f>
        <v>6248000</v>
      </c>
      <c r="D248" s="63"/>
      <c r="E248" s="63"/>
      <c r="F248" s="63"/>
      <c r="G248" s="63">
        <f>G149</f>
        <v>5025060.980763087</v>
      </c>
      <c r="H248" s="63"/>
      <c r="I248" s="63"/>
      <c r="J248" s="63"/>
      <c r="K248" s="63"/>
    </row>
    <row r="249" spans="1:11" ht="24" thickTop="1" thickBot="1" x14ac:dyDescent="0.3">
      <c r="A249" s="62" t="s">
        <v>29</v>
      </c>
      <c r="B249" s="61">
        <f>C249</f>
        <v>8981500</v>
      </c>
      <c r="C249" s="60">
        <f>پنل!B8</f>
        <v>8981500</v>
      </c>
      <c r="D249" s="60"/>
      <c r="E249" s="60"/>
      <c r="F249" s="60"/>
      <c r="G249" s="60">
        <f>G150</f>
        <v>6692559.4221884646</v>
      </c>
      <c r="H249" s="60"/>
      <c r="I249" s="60"/>
      <c r="J249" s="60"/>
      <c r="K249" s="60"/>
    </row>
    <row r="250" spans="1:11" ht="24" thickTop="1" thickBot="1" x14ac:dyDescent="0.3"/>
    <row r="251" spans="1:11" ht="24" thickTop="1" thickBot="1" x14ac:dyDescent="0.3">
      <c r="A251" s="1033" t="s">
        <v>3722</v>
      </c>
      <c r="B251" s="1033">
        <f>J251</f>
        <v>48458767.441860504</v>
      </c>
      <c r="C251" s="1034"/>
      <c r="D251" s="1034"/>
      <c r="E251" s="1034"/>
      <c r="F251" s="1034"/>
      <c r="G251" s="1034">
        <f>N62</f>
        <v>47913378.242677823</v>
      </c>
      <c r="H251" s="1034"/>
      <c r="I251" s="1034"/>
      <c r="J251" s="1034">
        <f>48458.7674418605*1000</f>
        <v>48458767.441860504</v>
      </c>
      <c r="K251" s="1034"/>
    </row>
    <row r="252" spans="1:11" ht="24" thickTop="1" thickBot="1" x14ac:dyDescent="0.3">
      <c r="A252" s="74" t="s">
        <v>3723</v>
      </c>
      <c r="B252" s="74">
        <f>J252</f>
        <v>56271500</v>
      </c>
      <c r="C252" s="1032"/>
      <c r="D252" s="1032"/>
      <c r="E252" s="1032"/>
      <c r="F252" s="1032"/>
      <c r="G252" s="1032">
        <f>N63</f>
        <v>51751629.629629627</v>
      </c>
      <c r="H252" s="1032"/>
      <c r="I252" s="1032"/>
      <c r="J252" s="1032">
        <f>56271.5*1000</f>
        <v>56271500</v>
      </c>
      <c r="K252" s="1032"/>
    </row>
    <row r="253" spans="1:11" ht="24" thickTop="1" thickBot="1" x14ac:dyDescent="0.3">
      <c r="A253" s="65" t="s">
        <v>3724</v>
      </c>
      <c r="B253" s="65">
        <f>J253</f>
        <v>114868272.727273</v>
      </c>
      <c r="C253" s="1035"/>
      <c r="D253" s="1035"/>
      <c r="E253" s="1035"/>
      <c r="F253" s="1035"/>
      <c r="G253" s="1035">
        <f>N64</f>
        <v>98521186.440677971</v>
      </c>
      <c r="H253" s="1035"/>
      <c r="I253" s="1035"/>
      <c r="J253" s="1035">
        <f>114868.272727273*1000</f>
        <v>114868272.727273</v>
      </c>
      <c r="K253" s="1035"/>
    </row>
    <row r="254" spans="1:11" ht="23.25" thickTop="1" x14ac:dyDescent="0.25"/>
    <row r="255" spans="1:11" ht="23.25" thickBot="1" x14ac:dyDescent="0.3"/>
    <row r="256" spans="1:11" ht="24" thickTop="1" thickBot="1" x14ac:dyDescent="0.3">
      <c r="A256" s="54" t="s">
        <v>28</v>
      </c>
      <c r="B256" s="59">
        <f>J112</f>
        <v>1.0925162050677666</v>
      </c>
    </row>
    <row r="257" spans="1:17" ht="24" customHeight="1" thickTop="1" thickBot="1" x14ac:dyDescent="0.3">
      <c r="A257" s="54" t="s">
        <v>27</v>
      </c>
      <c r="B257" s="59">
        <f>J113</f>
        <v>0.77018267530936946</v>
      </c>
      <c r="D257" s="1083" t="s">
        <v>26</v>
      </c>
      <c r="E257" s="1087" t="s">
        <v>25</v>
      </c>
      <c r="F257" s="1088"/>
      <c r="G257" s="1088"/>
      <c r="H257" s="1088"/>
      <c r="I257" s="1088"/>
      <c r="J257" s="1088"/>
      <c r="K257" s="1088"/>
      <c r="L257" s="1088"/>
      <c r="M257" s="1088"/>
      <c r="N257" s="1088"/>
      <c r="O257" s="1088"/>
      <c r="P257" s="1088"/>
      <c r="Q257" s="1089"/>
    </row>
    <row r="258" spans="1:17" ht="24" customHeight="1" thickTop="1" thickBot="1" x14ac:dyDescent="0.3">
      <c r="D258" s="1084"/>
      <c r="E258" s="1094"/>
      <c r="F258" s="1091"/>
      <c r="G258" s="1091"/>
      <c r="H258" s="1091"/>
      <c r="I258" s="1091"/>
      <c r="J258" s="1091"/>
      <c r="K258" s="1091"/>
      <c r="L258" s="1091"/>
      <c r="M258" s="1091"/>
      <c r="N258" s="1091"/>
      <c r="O258" s="1091"/>
      <c r="P258" s="1091"/>
      <c r="Q258" s="1092"/>
    </row>
    <row r="259" spans="1:17" ht="24" thickTop="1" thickBot="1" x14ac:dyDescent="0.3">
      <c r="A259" s="54" t="s">
        <v>24</v>
      </c>
      <c r="B259" s="53">
        <f>B243*B256</f>
        <v>8603565.1149086617</v>
      </c>
      <c r="D259" s="1084"/>
      <c r="E259" s="58">
        <f>B262</f>
        <v>1621.6338143006594</v>
      </c>
      <c r="F259" s="57">
        <v>370</v>
      </c>
      <c r="G259" s="56">
        <v>380</v>
      </c>
      <c r="H259" s="56">
        <v>390</v>
      </c>
      <c r="I259" s="56">
        <v>400</v>
      </c>
      <c r="J259" s="56">
        <v>410</v>
      </c>
      <c r="K259" s="56">
        <v>420</v>
      </c>
      <c r="L259" s="56">
        <v>430</v>
      </c>
      <c r="M259" s="56">
        <v>440</v>
      </c>
      <c r="N259" s="56">
        <v>450</v>
      </c>
      <c r="O259" s="56">
        <v>460</v>
      </c>
      <c r="P259" s="56">
        <v>470</v>
      </c>
      <c r="Q259" s="55">
        <v>480</v>
      </c>
    </row>
    <row r="260" spans="1:17" ht="24" thickTop="1" thickBot="1" x14ac:dyDescent="0.3">
      <c r="A260" s="54" t="s">
        <v>23</v>
      </c>
      <c r="B260" s="53">
        <f>B243*B257</f>
        <v>6065188.5680612847</v>
      </c>
      <c r="D260" s="1084"/>
      <c r="E260" s="52">
        <v>100000</v>
      </c>
      <c r="F260" s="45">
        <f t="dataTable" ref="F260:Q268" dt2D="1" dtr="1" r1="B244" r2="B246"/>
        <v>1509.1843474759114</v>
      </c>
      <c r="G260" s="44">
        <v>1519.0483357938713</v>
      </c>
      <c r="H260" s="44">
        <v>1528.9123241118318</v>
      </c>
      <c r="I260" s="44">
        <v>1538.7763124297919</v>
      </c>
      <c r="J260" s="44">
        <v>1548.6403007477525</v>
      </c>
      <c r="K260" s="44">
        <v>1558.504289065713</v>
      </c>
      <c r="L260" s="44">
        <v>1568.3682773836733</v>
      </c>
      <c r="M260" s="44">
        <v>1578.2322657016334</v>
      </c>
      <c r="N260" s="44">
        <v>1588.096254019594</v>
      </c>
      <c r="O260" s="44">
        <v>1597.9602423375545</v>
      </c>
      <c r="P260" s="44">
        <v>1607.8242306555148</v>
      </c>
      <c r="Q260" s="43">
        <v>1617.6882189734752</v>
      </c>
    </row>
    <row r="261" spans="1:17" ht="24" thickTop="1" thickBot="1" x14ac:dyDescent="0.3">
      <c r="D261" s="1084"/>
      <c r="E261" s="46">
        <v>110000</v>
      </c>
      <c r="F261" s="45">
        <v>1545.6811042523643</v>
      </c>
      <c r="G261" s="44">
        <v>1556.5314914021212</v>
      </c>
      <c r="H261" s="44">
        <v>1567.381878551877</v>
      </c>
      <c r="I261" s="44">
        <v>1578.2322657016334</v>
      </c>
      <c r="J261" s="44">
        <v>1589.0826528513896</v>
      </c>
      <c r="K261" s="44">
        <v>1599.9330400011465</v>
      </c>
      <c r="L261" s="44">
        <v>1610.7834271509028</v>
      </c>
      <c r="M261" s="44">
        <v>1621.6338143006594</v>
      </c>
      <c r="N261" s="44">
        <v>1632.4842014504159</v>
      </c>
      <c r="O261" s="44">
        <v>1643.3345886001725</v>
      </c>
      <c r="P261" s="44">
        <v>1654.1849757499285</v>
      </c>
      <c r="Q261" s="43">
        <v>1665.0353628996852</v>
      </c>
    </row>
    <row r="262" spans="1:17" ht="33.75" thickTop="1" thickBot="1" x14ac:dyDescent="0.8">
      <c r="A262" s="51" t="s">
        <v>22</v>
      </c>
      <c r="B262" s="50">
        <f>Q215</f>
        <v>1621.6338143006594</v>
      </c>
      <c r="D262" s="1084"/>
      <c r="E262" s="46">
        <v>120000</v>
      </c>
      <c r="F262" s="45">
        <v>1582.1778610288177</v>
      </c>
      <c r="G262" s="44">
        <v>1594.0146470103696</v>
      </c>
      <c r="H262" s="44">
        <v>1605.851432991923</v>
      </c>
      <c r="I262" s="44">
        <v>1617.6882189734752</v>
      </c>
      <c r="J262" s="44">
        <v>1629.5250049550277</v>
      </c>
      <c r="K262" s="44">
        <v>1641.3617909365794</v>
      </c>
      <c r="L262" s="44">
        <v>1653.1985769181329</v>
      </c>
      <c r="M262" s="44">
        <v>1665.0353628996852</v>
      </c>
      <c r="N262" s="44">
        <v>1676.8721488812378</v>
      </c>
      <c r="O262" s="44">
        <v>1688.7089348627899</v>
      </c>
      <c r="P262" s="44">
        <v>1700.5457208443424</v>
      </c>
      <c r="Q262" s="43">
        <v>1712.3825068258948</v>
      </c>
    </row>
    <row r="263" spans="1:17" ht="23.25" thickTop="1" x14ac:dyDescent="0.6">
      <c r="A263" s="82" t="s">
        <v>450</v>
      </c>
      <c r="B263" s="680">
        <f>F320*1000/F310</f>
        <v>1209.2081692307693</v>
      </c>
      <c r="D263" s="1084"/>
      <c r="E263" s="46">
        <v>130000</v>
      </c>
      <c r="F263" s="45">
        <v>1618.6746178052711</v>
      </c>
      <c r="G263" s="44">
        <v>1631.4978026186197</v>
      </c>
      <c r="H263" s="44">
        <v>1644.3209874319682</v>
      </c>
      <c r="I263" s="44">
        <v>1657.1441722453171</v>
      </c>
      <c r="J263" s="44">
        <v>1669.9673570586649</v>
      </c>
      <c r="K263" s="44">
        <v>1682.7905418720138</v>
      </c>
      <c r="L263" s="44">
        <v>1695.6137266853623</v>
      </c>
      <c r="M263" s="44">
        <v>1708.4369114987105</v>
      </c>
      <c r="N263" s="44">
        <v>1721.2600963120592</v>
      </c>
      <c r="O263" s="44">
        <v>1734.0832811254079</v>
      </c>
      <c r="P263" s="44">
        <v>1746.9064659387566</v>
      </c>
      <c r="Q263" s="43">
        <v>1759.7296507521048</v>
      </c>
    </row>
    <row r="264" spans="1:17" ht="33" thickBot="1" x14ac:dyDescent="0.65">
      <c r="A264" s="3"/>
      <c r="B264" s="3"/>
      <c r="C264" s="1031" t="s">
        <v>340</v>
      </c>
      <c r="D264" s="1084"/>
      <c r="E264" s="46">
        <v>140000</v>
      </c>
      <c r="F264" s="45">
        <v>1655.1713745817246</v>
      </c>
      <c r="G264" s="44">
        <v>1668.980958226869</v>
      </c>
      <c r="H264" s="44">
        <v>1682.7905418720138</v>
      </c>
      <c r="I264" s="44">
        <v>1696.6001255171584</v>
      </c>
      <c r="J264" s="44">
        <v>1710.409709162303</v>
      </c>
      <c r="K264" s="44">
        <v>1724.2192928074469</v>
      </c>
      <c r="L264" s="44">
        <v>1738.0288764525922</v>
      </c>
      <c r="M264" s="44">
        <v>1751.8384600977367</v>
      </c>
      <c r="N264" s="44">
        <v>1765.6480437428806</v>
      </c>
      <c r="O264" s="44">
        <v>1779.4576273880257</v>
      </c>
      <c r="P264" s="44">
        <v>1793.2672110331698</v>
      </c>
      <c r="Q264" s="43">
        <v>1807.0767946783146</v>
      </c>
    </row>
    <row r="265" spans="1:17" ht="45" thickBot="1" x14ac:dyDescent="1.2">
      <c r="A265" s="674" t="s">
        <v>21</v>
      </c>
      <c r="B265" s="675">
        <f>VLOOKUP(C264,'دیده بان بازار'!A:W,8,0)</f>
        <v>4500</v>
      </c>
      <c r="C265" s="48">
        <f>B286</f>
        <v>7338.3064620108626</v>
      </c>
      <c r="D265" s="1084"/>
      <c r="E265" s="46">
        <v>150000</v>
      </c>
      <c r="F265" s="45">
        <v>1691.668131358178</v>
      </c>
      <c r="G265" s="44">
        <v>1706.464113835119</v>
      </c>
      <c r="H265" s="44">
        <v>1721.2600963120592</v>
      </c>
      <c r="I265" s="44">
        <v>1736.0560787889999</v>
      </c>
      <c r="J265" s="44">
        <v>1750.8520612659404</v>
      </c>
      <c r="K265" s="44">
        <v>1765.6480437428806</v>
      </c>
      <c r="L265" s="44">
        <v>1780.4440262198216</v>
      </c>
      <c r="M265" s="44">
        <v>1795.2400086967623</v>
      </c>
      <c r="N265" s="44">
        <v>1810.0359911737032</v>
      </c>
      <c r="O265" s="44">
        <v>1824.8319736506437</v>
      </c>
      <c r="P265" s="44">
        <v>1839.6279561275835</v>
      </c>
      <c r="Q265" s="43">
        <v>1854.4239386045242</v>
      </c>
    </row>
    <row r="266" spans="1:17" x14ac:dyDescent="0.25">
      <c r="A266" s="676" t="s">
        <v>478</v>
      </c>
      <c r="B266" s="677">
        <f>B265-B263</f>
        <v>3290.7918307692307</v>
      </c>
      <c r="D266" s="1084"/>
      <c r="E266" s="46">
        <v>160000</v>
      </c>
      <c r="F266" s="45">
        <v>1728.1648881346316</v>
      </c>
      <c r="G266" s="44">
        <v>1743.947269443368</v>
      </c>
      <c r="H266" s="44">
        <v>1759.7296507521048</v>
      </c>
      <c r="I266" s="44">
        <v>1775.5120320608414</v>
      </c>
      <c r="J266" s="44">
        <v>1791.2944133695783</v>
      </c>
      <c r="K266" s="44">
        <v>1807.0767946783146</v>
      </c>
      <c r="L266" s="44">
        <v>1822.8591759870512</v>
      </c>
      <c r="M266" s="44">
        <v>1838.6415572957876</v>
      </c>
      <c r="N266" s="44">
        <v>1854.4239386045242</v>
      </c>
      <c r="O266" s="44">
        <v>1870.2063199132608</v>
      </c>
      <c r="P266" s="44">
        <v>1885.9887012219976</v>
      </c>
      <c r="Q266" s="43">
        <v>1901.7710825307347</v>
      </c>
    </row>
    <row r="267" spans="1:17" x14ac:dyDescent="0.6">
      <c r="A267" s="47">
        <v>3</v>
      </c>
      <c r="B267" s="678">
        <f>$B$266/A267</f>
        <v>1096.9306102564103</v>
      </c>
      <c r="D267" s="1084"/>
      <c r="E267" s="46">
        <v>170000</v>
      </c>
      <c r="F267" s="45">
        <v>1764.661644911085</v>
      </c>
      <c r="G267" s="44">
        <v>1781.4304250516177</v>
      </c>
      <c r="H267" s="44">
        <v>1798.1992051921502</v>
      </c>
      <c r="I267" s="44">
        <v>1814.9679853326834</v>
      </c>
      <c r="J267" s="44">
        <v>1831.7367654732157</v>
      </c>
      <c r="K267" s="44">
        <v>1848.5055456137482</v>
      </c>
      <c r="L267" s="44">
        <v>1865.2743257542804</v>
      </c>
      <c r="M267" s="44">
        <v>1882.0431058948138</v>
      </c>
      <c r="N267" s="44">
        <v>1898.8118860353463</v>
      </c>
      <c r="O267" s="44">
        <v>1915.5806661758786</v>
      </c>
      <c r="P267" s="44">
        <v>1932.3494463164111</v>
      </c>
      <c r="Q267" s="43">
        <v>1949.1182264569447</v>
      </c>
    </row>
    <row r="268" spans="1:17" ht="23.25" thickBot="1" x14ac:dyDescent="0.65">
      <c r="A268" s="47">
        <v>4</v>
      </c>
      <c r="B268" s="678">
        <f t="shared" ref="B268:B269" si="74">$B$266/A268</f>
        <v>822.69795769230768</v>
      </c>
      <c r="D268" s="1095"/>
      <c r="E268" s="41">
        <v>180000</v>
      </c>
      <c r="F268" s="40">
        <v>1801.1584016875386</v>
      </c>
      <c r="G268" s="39">
        <v>1818.9135806598676</v>
      </c>
      <c r="H268" s="39">
        <v>1836.6687596321958</v>
      </c>
      <c r="I268" s="39">
        <v>1854.4239386045242</v>
      </c>
      <c r="J268" s="39">
        <v>1872.1791175768533</v>
      </c>
      <c r="K268" s="39">
        <v>1889.9342965491817</v>
      </c>
      <c r="L268" s="39">
        <v>1907.6894755215103</v>
      </c>
      <c r="M268" s="39">
        <v>1925.4446544938392</v>
      </c>
      <c r="N268" s="39">
        <v>1943.1998334661682</v>
      </c>
      <c r="O268" s="39">
        <v>1960.9550124384969</v>
      </c>
      <c r="P268" s="39">
        <v>1978.710191410825</v>
      </c>
      <c r="Q268" s="38">
        <v>1996.4653703831543</v>
      </c>
    </row>
    <row r="269" spans="1:17" ht="23.25" thickBot="1" x14ac:dyDescent="0.65">
      <c r="A269" s="42">
        <v>5</v>
      </c>
      <c r="B269" s="679">
        <f t="shared" si="74"/>
        <v>658.15836615384615</v>
      </c>
    </row>
    <row r="270" spans="1:17" ht="23.25" thickBot="1" x14ac:dyDescent="0.65">
      <c r="A270" s="3"/>
      <c r="B270" s="3"/>
    </row>
    <row r="271" spans="1:17" ht="28.5" x14ac:dyDescent="0.25">
      <c r="A271" s="21" t="s">
        <v>20</v>
      </c>
      <c r="B271" s="37">
        <v>0.35</v>
      </c>
    </row>
    <row r="272" spans="1:17" ht="29.25" thickBot="1" x14ac:dyDescent="0.3">
      <c r="A272" s="34" t="s">
        <v>19</v>
      </c>
      <c r="B272" s="36">
        <f>B271*B262</f>
        <v>567.57183500523081</v>
      </c>
    </row>
    <row r="273" spans="1:9" ht="29.25" thickBot="1" x14ac:dyDescent="0.8">
      <c r="A273" s="32"/>
      <c r="B273" s="32"/>
      <c r="E273" s="35"/>
    </row>
    <row r="274" spans="1:9" ht="28.5" x14ac:dyDescent="0.25">
      <c r="A274" s="21" t="s">
        <v>18</v>
      </c>
      <c r="B274" s="20" t="s">
        <v>17</v>
      </c>
    </row>
    <row r="275" spans="1:9" ht="29.25" thickBot="1" x14ac:dyDescent="0.3">
      <c r="A275" s="34" t="s">
        <v>16</v>
      </c>
      <c r="B275" s="33" t="s">
        <v>15</v>
      </c>
    </row>
    <row r="276" spans="1:9" ht="29.25" thickBot="1" x14ac:dyDescent="0.8">
      <c r="A276" s="32"/>
      <c r="B276" s="32"/>
    </row>
    <row r="277" spans="1:9" ht="28.5" x14ac:dyDescent="0.25">
      <c r="A277" s="21" t="s">
        <v>14</v>
      </c>
      <c r="B277" s="20">
        <v>10</v>
      </c>
    </row>
    <row r="278" spans="1:9" ht="29.25" thickBot="1" x14ac:dyDescent="0.3">
      <c r="A278" s="34" t="s">
        <v>13</v>
      </c>
      <c r="B278" s="33">
        <v>12</v>
      </c>
    </row>
    <row r="279" spans="1:9" ht="29.25" thickBot="1" x14ac:dyDescent="0.8">
      <c r="A279" s="32"/>
      <c r="B279" s="32"/>
      <c r="D279" s="673" t="s">
        <v>476</v>
      </c>
      <c r="E279" s="30" t="s">
        <v>12</v>
      </c>
      <c r="F279" s="30" t="s">
        <v>11</v>
      </c>
      <c r="G279" s="30" t="s">
        <v>10</v>
      </c>
      <c r="H279" s="30" t="s">
        <v>9</v>
      </c>
      <c r="I279" s="29" t="s">
        <v>8</v>
      </c>
    </row>
    <row r="280" spans="1:9" ht="29.25" thickBot="1" x14ac:dyDescent="0.8">
      <c r="A280" s="28">
        <v>0.2</v>
      </c>
      <c r="B280" s="27" t="s">
        <v>7</v>
      </c>
      <c r="D280" s="5" t="s">
        <v>477</v>
      </c>
      <c r="E280" s="672">
        <v>0.62</v>
      </c>
      <c r="F280" s="25">
        <v>210000000</v>
      </c>
      <c r="G280" s="24">
        <f>F280/N216</f>
        <v>1.6153846153846154</v>
      </c>
      <c r="H280" s="23">
        <f>B265/G280</f>
        <v>2785.7142857142858</v>
      </c>
      <c r="I280" s="22">
        <f>Q214*1000/F280</f>
        <v>1003.868551709932</v>
      </c>
    </row>
    <row r="281" spans="1:9" ht="28.5" x14ac:dyDescent="0.25">
      <c r="A281" s="21" t="s">
        <v>6</v>
      </c>
      <c r="B281" s="20" t="s">
        <v>5</v>
      </c>
    </row>
    <row r="282" spans="1:9" ht="29.25" thickBot="1" x14ac:dyDescent="0.8">
      <c r="A282" s="19">
        <f>A280/12</f>
        <v>1.6666666666666666E-2</v>
      </c>
      <c r="B282" s="18">
        <v>5</v>
      </c>
    </row>
    <row r="283" spans="1:9" ht="28.5" x14ac:dyDescent="0.75">
      <c r="A283" s="17" t="s">
        <v>4</v>
      </c>
      <c r="B283" s="16">
        <f>B282*B262</f>
        <v>8108.1690715032973</v>
      </c>
      <c r="F283" s="15" t="s">
        <v>4</v>
      </c>
      <c r="G283" s="14">
        <f>I280*B282</f>
        <v>5019.3427585496602</v>
      </c>
    </row>
    <row r="284" spans="1:9" ht="28.5" x14ac:dyDescent="0.75">
      <c r="A284" s="13" t="s">
        <v>3</v>
      </c>
      <c r="B284" s="12">
        <f>B283/(1+A282)^B277</f>
        <v>6872.8513327818828</v>
      </c>
      <c r="F284" s="9" t="s">
        <v>3</v>
      </c>
      <c r="G284" s="8">
        <f>G283/(1+A282)^B277</f>
        <v>4254.6222536268797</v>
      </c>
    </row>
    <row r="285" spans="1:9" ht="29.25" thickBot="1" x14ac:dyDescent="0.8">
      <c r="A285" s="11" t="s">
        <v>2</v>
      </c>
      <c r="B285" s="10">
        <f>B272/(1+A282)^B278</f>
        <v>465.45512922898001</v>
      </c>
      <c r="F285" s="9" t="s">
        <v>2</v>
      </c>
      <c r="G285" s="8">
        <f>I280/(1+A282)^B278</f>
        <v>823.25397006486253</v>
      </c>
    </row>
    <row r="286" spans="1:9" ht="29.25" thickBot="1" x14ac:dyDescent="0.8">
      <c r="A286" s="7" t="s">
        <v>475</v>
      </c>
      <c r="B286" s="6">
        <f>SUM(B284:B285)</f>
        <v>7338.3064620108626</v>
      </c>
      <c r="F286" s="5" t="s">
        <v>0</v>
      </c>
      <c r="G286" s="4">
        <f>G285+G284</f>
        <v>5077.8762236917419</v>
      </c>
    </row>
    <row r="287" spans="1:9" x14ac:dyDescent="0.6">
      <c r="A287" s="3"/>
      <c r="B287" s="3"/>
    </row>
    <row r="288" spans="1:9" x14ac:dyDescent="0.25">
      <c r="A288" s="81" t="s">
        <v>440</v>
      </c>
    </row>
    <row r="289" spans="1:8" x14ac:dyDescent="0.6">
      <c r="A289" s="241" t="s">
        <v>59</v>
      </c>
      <c r="B289" s="241" t="s">
        <v>384</v>
      </c>
      <c r="C289" s="85" t="s">
        <v>386</v>
      </c>
      <c r="D289" s="85" t="s">
        <v>159</v>
      </c>
      <c r="E289" s="85" t="s">
        <v>59</v>
      </c>
      <c r="F289" s="85" t="s">
        <v>384</v>
      </c>
      <c r="G289" s="85" t="s">
        <v>386</v>
      </c>
      <c r="H289" s="85" t="s">
        <v>159</v>
      </c>
    </row>
    <row r="290" spans="1:8" x14ac:dyDescent="0.6">
      <c r="A290" s="241"/>
      <c r="B290" s="241" t="s">
        <v>385</v>
      </c>
      <c r="C290" s="85" t="s">
        <v>387</v>
      </c>
      <c r="D290" s="85" t="s">
        <v>388</v>
      </c>
      <c r="E290" s="85"/>
      <c r="F290" s="85" t="s">
        <v>385</v>
      </c>
      <c r="G290" s="85" t="s">
        <v>387</v>
      </c>
      <c r="H290" s="85" t="s">
        <v>388</v>
      </c>
    </row>
    <row r="291" spans="1:8" x14ac:dyDescent="0.6">
      <c r="A291" s="241" t="s">
        <v>389</v>
      </c>
      <c r="B291" s="241"/>
      <c r="C291" s="85"/>
      <c r="D291" s="85"/>
      <c r="E291" s="85" t="s">
        <v>390</v>
      </c>
      <c r="F291" s="85"/>
      <c r="G291" s="85"/>
      <c r="H291" s="85"/>
    </row>
    <row r="292" spans="1:8" x14ac:dyDescent="0.6">
      <c r="A292" s="241" t="s">
        <v>391</v>
      </c>
      <c r="B292" s="241"/>
      <c r="C292" s="85"/>
      <c r="D292" s="85"/>
      <c r="E292" s="85" t="s">
        <v>392</v>
      </c>
      <c r="F292" s="85"/>
      <c r="G292" s="85"/>
      <c r="H292" s="85"/>
    </row>
    <row r="293" spans="1:8" x14ac:dyDescent="0.6">
      <c r="A293" s="241" t="s">
        <v>393</v>
      </c>
      <c r="B293" s="240">
        <v>10313124</v>
      </c>
      <c r="C293" s="84">
        <v>7749599</v>
      </c>
      <c r="D293" s="86">
        <v>33</v>
      </c>
      <c r="E293" s="85" t="s">
        <v>394</v>
      </c>
      <c r="F293" s="84">
        <v>35430826</v>
      </c>
      <c r="G293" s="84">
        <v>12218111</v>
      </c>
      <c r="H293" s="86">
        <v>190</v>
      </c>
    </row>
    <row r="294" spans="1:8" x14ac:dyDescent="0.6">
      <c r="A294" s="241" t="s">
        <v>395</v>
      </c>
      <c r="B294" s="240">
        <v>4253000</v>
      </c>
      <c r="C294" s="84">
        <v>4207000</v>
      </c>
      <c r="D294" s="86">
        <v>1</v>
      </c>
      <c r="E294" s="85" t="s">
        <v>396</v>
      </c>
      <c r="F294" s="84">
        <v>15020116</v>
      </c>
      <c r="G294" s="84">
        <v>8702814</v>
      </c>
      <c r="H294" s="86">
        <v>73</v>
      </c>
    </row>
    <row r="295" spans="1:8" x14ac:dyDescent="0.6">
      <c r="A295" s="241" t="s">
        <v>397</v>
      </c>
      <c r="B295" s="240">
        <v>98486092</v>
      </c>
      <c r="C295" s="84">
        <v>65889864</v>
      </c>
      <c r="D295" s="86">
        <v>49</v>
      </c>
      <c r="E295" s="85" t="s">
        <v>398</v>
      </c>
      <c r="F295" s="84">
        <v>19202876</v>
      </c>
      <c r="G295" s="84">
        <v>9069899</v>
      </c>
      <c r="H295" s="86">
        <v>112</v>
      </c>
    </row>
    <row r="296" spans="1:8" x14ac:dyDescent="0.6">
      <c r="A296" s="241" t="s">
        <v>399</v>
      </c>
      <c r="B296" s="240">
        <v>67970014</v>
      </c>
      <c r="C296" s="84">
        <v>44821911</v>
      </c>
      <c r="D296" s="86">
        <v>52</v>
      </c>
      <c r="E296" s="85" t="s">
        <v>400</v>
      </c>
      <c r="F296" s="84">
        <v>7865097</v>
      </c>
      <c r="G296" s="84">
        <v>13879214</v>
      </c>
      <c r="H296" s="86">
        <v>-43</v>
      </c>
    </row>
    <row r="297" spans="1:8" x14ac:dyDescent="0.6">
      <c r="A297" s="241" t="s">
        <v>401</v>
      </c>
      <c r="B297" s="240">
        <v>97251479</v>
      </c>
      <c r="C297" s="84">
        <v>84622166</v>
      </c>
      <c r="D297" s="86">
        <v>15</v>
      </c>
      <c r="E297" s="85" t="s">
        <v>402</v>
      </c>
      <c r="F297" s="84">
        <v>75054526</v>
      </c>
      <c r="G297" s="84">
        <v>68103439</v>
      </c>
      <c r="H297" s="86">
        <v>10</v>
      </c>
    </row>
    <row r="298" spans="1:8" x14ac:dyDescent="0.6">
      <c r="A298" s="241" t="s">
        <v>403</v>
      </c>
      <c r="B298" s="240">
        <v>33816736</v>
      </c>
      <c r="C298" s="84">
        <v>30499732</v>
      </c>
      <c r="D298" s="86">
        <v>11</v>
      </c>
      <c r="E298" s="85" t="s">
        <v>404</v>
      </c>
      <c r="F298" s="86">
        <v>0</v>
      </c>
      <c r="G298" s="86">
        <v>0</v>
      </c>
      <c r="H298" s="85" t="s">
        <v>405</v>
      </c>
    </row>
    <row r="299" spans="1:8" x14ac:dyDescent="0.6">
      <c r="A299" s="241" t="s">
        <v>406</v>
      </c>
      <c r="B299" s="242">
        <v>0</v>
      </c>
      <c r="C299" s="86">
        <v>0</v>
      </c>
      <c r="D299" s="85" t="s">
        <v>405</v>
      </c>
      <c r="E299" s="85" t="s">
        <v>407</v>
      </c>
      <c r="F299" s="84">
        <v>3709082</v>
      </c>
      <c r="G299" s="84">
        <v>4584692</v>
      </c>
      <c r="H299" s="86">
        <v>-19</v>
      </c>
    </row>
    <row r="300" spans="1:8" x14ac:dyDescent="0.6">
      <c r="A300" s="241" t="s">
        <v>408</v>
      </c>
      <c r="B300" s="240">
        <v>312090445</v>
      </c>
      <c r="C300" s="84">
        <v>237790272</v>
      </c>
      <c r="D300" s="86">
        <v>31</v>
      </c>
      <c r="E300" s="85" t="s">
        <v>409</v>
      </c>
      <c r="F300" s="86">
        <v>0</v>
      </c>
      <c r="G300" s="86">
        <v>0</v>
      </c>
      <c r="H300" s="85" t="s">
        <v>405</v>
      </c>
    </row>
    <row r="301" spans="1:8" x14ac:dyDescent="0.6">
      <c r="A301" s="241" t="s">
        <v>410</v>
      </c>
      <c r="B301" s="241"/>
      <c r="C301" s="85"/>
      <c r="D301" s="85"/>
      <c r="E301" s="85" t="s">
        <v>411</v>
      </c>
      <c r="F301" s="84">
        <v>156282523</v>
      </c>
      <c r="G301" s="84">
        <v>116558169</v>
      </c>
      <c r="H301" s="86">
        <v>34</v>
      </c>
    </row>
    <row r="302" spans="1:8" x14ac:dyDescent="0.6">
      <c r="A302" s="241" t="s">
        <v>412</v>
      </c>
      <c r="B302" s="240">
        <v>9139201</v>
      </c>
      <c r="C302" s="84">
        <v>6001165</v>
      </c>
      <c r="D302" s="86">
        <v>52</v>
      </c>
      <c r="E302" s="85" t="s">
        <v>413</v>
      </c>
      <c r="F302" s="85"/>
      <c r="G302" s="85"/>
      <c r="H302" s="85"/>
    </row>
    <row r="303" spans="1:8" x14ac:dyDescent="0.6">
      <c r="A303" s="241" t="s">
        <v>414</v>
      </c>
      <c r="B303" s="240">
        <v>78687096</v>
      </c>
      <c r="C303" s="84">
        <v>76613938</v>
      </c>
      <c r="D303" s="86">
        <v>3</v>
      </c>
      <c r="E303" s="85" t="s">
        <v>415</v>
      </c>
      <c r="F303" s="86">
        <v>0</v>
      </c>
      <c r="G303" s="86">
        <v>0</v>
      </c>
      <c r="H303" s="85" t="s">
        <v>405</v>
      </c>
    </row>
    <row r="304" spans="1:8" x14ac:dyDescent="0.6">
      <c r="A304" s="241" t="s">
        <v>416</v>
      </c>
      <c r="B304" s="242">
        <v>0</v>
      </c>
      <c r="C304" s="86">
        <v>0</v>
      </c>
      <c r="D304" s="85" t="s">
        <v>405</v>
      </c>
      <c r="E304" s="85" t="s">
        <v>417</v>
      </c>
      <c r="F304" s="86">
        <v>0</v>
      </c>
      <c r="G304" s="86">
        <v>0</v>
      </c>
      <c r="H304" s="85" t="s">
        <v>405</v>
      </c>
    </row>
    <row r="305" spans="1:8" x14ac:dyDescent="0.6">
      <c r="A305" s="241" t="s">
        <v>418</v>
      </c>
      <c r="B305" s="240">
        <v>1789605</v>
      </c>
      <c r="C305" s="84">
        <v>1790855</v>
      </c>
      <c r="D305" s="86">
        <v>0</v>
      </c>
      <c r="E305" s="85" t="s">
        <v>419</v>
      </c>
      <c r="F305" s="86">
        <v>0</v>
      </c>
      <c r="G305" s="86">
        <v>0</v>
      </c>
      <c r="H305" s="85" t="s">
        <v>405</v>
      </c>
    </row>
    <row r="306" spans="1:8" x14ac:dyDescent="0.6">
      <c r="A306" s="241" t="s">
        <v>420</v>
      </c>
      <c r="B306" s="240">
        <v>64324834</v>
      </c>
      <c r="C306" s="84">
        <v>64795073</v>
      </c>
      <c r="D306" s="86">
        <v>-1</v>
      </c>
      <c r="E306" s="85" t="s">
        <v>421</v>
      </c>
      <c r="F306" s="84">
        <v>9105333</v>
      </c>
      <c r="G306" s="84">
        <v>7443564</v>
      </c>
      <c r="H306" s="86">
        <v>22</v>
      </c>
    </row>
    <row r="307" spans="1:8" x14ac:dyDescent="0.6">
      <c r="A307" s="241" t="s">
        <v>422</v>
      </c>
      <c r="B307" s="242">
        <v>0</v>
      </c>
      <c r="C307" s="86">
        <v>0</v>
      </c>
      <c r="D307" s="85" t="s">
        <v>405</v>
      </c>
      <c r="E307" s="85" t="s">
        <v>423</v>
      </c>
      <c r="F307" s="84">
        <v>9105333</v>
      </c>
      <c r="G307" s="84">
        <v>7443564</v>
      </c>
      <c r="H307" s="86">
        <v>22</v>
      </c>
    </row>
    <row r="308" spans="1:8" x14ac:dyDescent="0.6">
      <c r="A308" s="241" t="s">
        <v>424</v>
      </c>
      <c r="B308" s="240">
        <v>153940736</v>
      </c>
      <c r="C308" s="84">
        <v>149201031</v>
      </c>
      <c r="D308" s="86">
        <v>3</v>
      </c>
      <c r="E308" s="85" t="s">
        <v>425</v>
      </c>
      <c r="F308" s="84">
        <v>165387856</v>
      </c>
      <c r="G308" s="84">
        <v>124001733</v>
      </c>
      <c r="H308" s="86">
        <v>33</v>
      </c>
    </row>
    <row r="309" spans="1:8" x14ac:dyDescent="0.6">
      <c r="A309" s="241"/>
      <c r="B309" s="241"/>
      <c r="C309" s="85"/>
      <c r="D309" s="85"/>
      <c r="E309" s="85" t="s">
        <v>426</v>
      </c>
      <c r="F309" s="85"/>
      <c r="G309" s="85"/>
      <c r="H309" s="85"/>
    </row>
    <row r="310" spans="1:8" x14ac:dyDescent="0.6">
      <c r="A310" s="241"/>
      <c r="B310" s="241"/>
      <c r="C310" s="85"/>
      <c r="D310" s="85"/>
      <c r="E310" s="85" t="s">
        <v>84</v>
      </c>
      <c r="F310" s="84">
        <v>130000000</v>
      </c>
      <c r="G310" s="84">
        <v>130000000</v>
      </c>
      <c r="H310" s="86">
        <v>0</v>
      </c>
    </row>
    <row r="311" spans="1:8" x14ac:dyDescent="0.6">
      <c r="A311" s="241"/>
      <c r="B311" s="241"/>
      <c r="C311" s="85"/>
      <c r="D311" s="85"/>
      <c r="E311" s="85" t="s">
        <v>427</v>
      </c>
      <c r="F311" s="86">
        <v>0</v>
      </c>
      <c r="G311" s="86">
        <v>0</v>
      </c>
      <c r="H311" s="85" t="s">
        <v>405</v>
      </c>
    </row>
    <row r="312" spans="1:8" x14ac:dyDescent="0.6">
      <c r="A312" s="241"/>
      <c r="B312" s="241"/>
      <c r="C312" s="85"/>
      <c r="D312" s="85"/>
      <c r="E312" s="85" t="s">
        <v>428</v>
      </c>
      <c r="F312" s="86">
        <v>0</v>
      </c>
      <c r="G312" s="86">
        <v>0</v>
      </c>
      <c r="H312" s="85" t="s">
        <v>405</v>
      </c>
    </row>
    <row r="313" spans="1:8" x14ac:dyDescent="0.6">
      <c r="A313" s="241"/>
      <c r="B313" s="241"/>
      <c r="C313" s="85"/>
      <c r="D313" s="85"/>
      <c r="E313" s="85" t="s">
        <v>429</v>
      </c>
      <c r="F313" s="86">
        <v>0</v>
      </c>
      <c r="G313" s="86">
        <v>0</v>
      </c>
      <c r="H313" s="85" t="s">
        <v>405</v>
      </c>
    </row>
    <row r="314" spans="1:8" x14ac:dyDescent="0.6">
      <c r="A314" s="241"/>
      <c r="B314" s="241"/>
      <c r="C314" s="85"/>
      <c r="D314" s="85"/>
      <c r="E314" s="85" t="s">
        <v>430</v>
      </c>
      <c r="F314" s="84">
        <v>13000000</v>
      </c>
      <c r="G314" s="84">
        <v>13000000</v>
      </c>
      <c r="H314" s="86">
        <v>0</v>
      </c>
    </row>
    <row r="315" spans="1:8" x14ac:dyDescent="0.6">
      <c r="A315" s="241"/>
      <c r="B315" s="241"/>
      <c r="C315" s="85"/>
      <c r="D315" s="85"/>
      <c r="E315" s="85" t="s">
        <v>431</v>
      </c>
      <c r="F315" s="84">
        <v>446263</v>
      </c>
      <c r="G315" s="84">
        <v>446262</v>
      </c>
      <c r="H315" s="86">
        <v>0</v>
      </c>
    </row>
    <row r="316" spans="1:8" x14ac:dyDescent="0.6">
      <c r="A316" s="241"/>
      <c r="B316" s="241"/>
      <c r="C316" s="85"/>
      <c r="D316" s="85"/>
      <c r="E316" s="85" t="s">
        <v>432</v>
      </c>
      <c r="F316" s="86">
        <v>0</v>
      </c>
      <c r="G316" s="86">
        <v>0</v>
      </c>
      <c r="H316" s="85" t="s">
        <v>405</v>
      </c>
    </row>
    <row r="317" spans="1:8" x14ac:dyDescent="0.6">
      <c r="A317" s="241"/>
      <c r="B317" s="241"/>
      <c r="C317" s="85"/>
      <c r="D317" s="85"/>
      <c r="E317" s="85" t="s">
        <v>433</v>
      </c>
      <c r="F317" s="86">
        <v>0</v>
      </c>
      <c r="G317" s="86">
        <v>0</v>
      </c>
      <c r="H317" s="85" t="s">
        <v>405</v>
      </c>
    </row>
    <row r="318" spans="1:8" x14ac:dyDescent="0.6">
      <c r="A318" s="241"/>
      <c r="B318" s="241"/>
      <c r="C318" s="85"/>
      <c r="D318" s="85"/>
      <c r="E318" s="85" t="s">
        <v>434</v>
      </c>
      <c r="F318" s="86">
        <v>0</v>
      </c>
      <c r="G318" s="86">
        <v>0</v>
      </c>
      <c r="H318" s="85" t="s">
        <v>405</v>
      </c>
    </row>
    <row r="319" spans="1:8" x14ac:dyDescent="0.6">
      <c r="A319" s="241"/>
      <c r="B319" s="241"/>
      <c r="C319" s="85"/>
      <c r="D319" s="85"/>
      <c r="E319" s="85" t="s">
        <v>435</v>
      </c>
      <c r="F319" s="86">
        <v>0</v>
      </c>
      <c r="G319" s="86">
        <v>0</v>
      </c>
      <c r="H319" s="85" t="s">
        <v>405</v>
      </c>
    </row>
    <row r="320" spans="1:8" x14ac:dyDescent="0.6">
      <c r="A320" s="241"/>
      <c r="B320" s="241"/>
      <c r="C320" s="85"/>
      <c r="D320" s="85"/>
      <c r="E320" s="85" t="s">
        <v>436</v>
      </c>
      <c r="F320" s="84">
        <v>157197062</v>
      </c>
      <c r="G320" s="84">
        <v>119543308</v>
      </c>
      <c r="H320" s="86">
        <v>31</v>
      </c>
    </row>
    <row r="321" spans="1:30" x14ac:dyDescent="0.6">
      <c r="A321" s="241"/>
      <c r="B321" s="241"/>
      <c r="C321" s="85"/>
      <c r="D321" s="85"/>
      <c r="E321" s="85" t="s">
        <v>437</v>
      </c>
      <c r="F321" s="84">
        <v>300643325</v>
      </c>
      <c r="G321" s="84">
        <v>262989570</v>
      </c>
      <c r="H321" s="86">
        <v>14</v>
      </c>
    </row>
    <row r="322" spans="1:30" x14ac:dyDescent="0.6">
      <c r="A322" s="241" t="s">
        <v>438</v>
      </c>
      <c r="B322" s="240">
        <v>466031181</v>
      </c>
      <c r="C322" s="84">
        <v>386991303</v>
      </c>
      <c r="D322" s="86">
        <v>20</v>
      </c>
      <c r="E322" s="85" t="s">
        <v>439</v>
      </c>
      <c r="F322" s="84">
        <v>466031181</v>
      </c>
      <c r="G322" s="84">
        <v>386991303</v>
      </c>
      <c r="H322" s="86">
        <v>20</v>
      </c>
    </row>
    <row r="323" spans="1:30" ht="23.25" thickBot="1" x14ac:dyDescent="0.65">
      <c r="A323" s="3"/>
      <c r="B323" s="3"/>
    </row>
    <row r="324" spans="1:30" ht="25.5" x14ac:dyDescent="0.7">
      <c r="A324" s="640" t="s">
        <v>59</v>
      </c>
      <c r="B324" s="641" t="s">
        <v>81</v>
      </c>
      <c r="C324" s="641" t="s">
        <v>80</v>
      </c>
      <c r="D324" s="641" t="s">
        <v>79</v>
      </c>
      <c r="E324" s="641" t="s">
        <v>78</v>
      </c>
      <c r="F324" s="641" t="s">
        <v>74</v>
      </c>
      <c r="G324" s="641" t="s">
        <v>70</v>
      </c>
      <c r="H324" s="642" t="s">
        <v>69</v>
      </c>
    </row>
    <row r="325" spans="1:30" ht="26.25" thickBot="1" x14ac:dyDescent="0.75">
      <c r="A325" s="643" t="s">
        <v>437</v>
      </c>
      <c r="B325" s="644">
        <v>71664829</v>
      </c>
      <c r="C325" s="644">
        <v>84165560</v>
      </c>
      <c r="D325" s="645">
        <v>89597276</v>
      </c>
      <c r="E325" s="645">
        <v>106617616</v>
      </c>
      <c r="F325" s="645">
        <v>159434398</v>
      </c>
      <c r="G325" s="645">
        <v>262989570</v>
      </c>
      <c r="H325" s="646">
        <v>300643325</v>
      </c>
    </row>
    <row r="326" spans="1:30" x14ac:dyDescent="0.6">
      <c r="A326" s="3"/>
      <c r="B326" s="3"/>
    </row>
    <row r="328" spans="1:30" x14ac:dyDescent="0.25">
      <c r="A328" s="629" t="s">
        <v>349</v>
      </c>
      <c r="B328" s="629" t="s">
        <v>350</v>
      </c>
      <c r="C328" s="629" t="s">
        <v>351</v>
      </c>
      <c r="D328" s="629" t="s">
        <v>473</v>
      </c>
      <c r="E328" s="629" t="s">
        <v>352</v>
      </c>
      <c r="F328" s="629" t="s">
        <v>353</v>
      </c>
      <c r="G328" s="629" t="s">
        <v>354</v>
      </c>
      <c r="H328" s="629" t="s">
        <v>355</v>
      </c>
      <c r="I328" s="629" t="s">
        <v>356</v>
      </c>
      <c r="J328" s="629" t="s">
        <v>357</v>
      </c>
      <c r="K328" s="629" t="s">
        <v>358</v>
      </c>
      <c r="L328" s="629" t="s">
        <v>359</v>
      </c>
      <c r="M328" s="629" t="s">
        <v>360</v>
      </c>
      <c r="N328" s="629" t="s">
        <v>361</v>
      </c>
      <c r="O328" s="635" t="s">
        <v>453</v>
      </c>
      <c r="Q328" s="629" t="s">
        <v>368</v>
      </c>
      <c r="R328" s="629" t="s">
        <v>369</v>
      </c>
      <c r="S328" s="629" t="s">
        <v>370</v>
      </c>
      <c r="T328" s="629" t="s">
        <v>371</v>
      </c>
      <c r="U328" s="629" t="s">
        <v>372</v>
      </c>
      <c r="V328" s="629" t="s">
        <v>373</v>
      </c>
      <c r="W328" s="629" t="s">
        <v>374</v>
      </c>
      <c r="X328" s="629" t="s">
        <v>375</v>
      </c>
      <c r="Y328" s="629" t="s">
        <v>376</v>
      </c>
      <c r="Z328" s="629" t="s">
        <v>377</v>
      </c>
      <c r="AA328" s="629" t="s">
        <v>378</v>
      </c>
      <c r="AB328" s="629" t="s">
        <v>379</v>
      </c>
      <c r="AC328" s="629" t="s">
        <v>380</v>
      </c>
      <c r="AD328" s="629" t="s">
        <v>361</v>
      </c>
    </row>
    <row r="329" spans="1:30" x14ac:dyDescent="0.25">
      <c r="A329" s="629" t="s">
        <v>50</v>
      </c>
      <c r="B329" s="630">
        <v>410</v>
      </c>
      <c r="C329" s="630">
        <v>446</v>
      </c>
      <c r="D329" s="630">
        <v>410</v>
      </c>
      <c r="E329" s="630">
        <v>399</v>
      </c>
      <c r="F329" s="630">
        <v>401</v>
      </c>
      <c r="G329" s="630">
        <v>434</v>
      </c>
      <c r="H329" s="630"/>
      <c r="I329" s="630"/>
      <c r="J329" s="630"/>
      <c r="K329" s="630"/>
      <c r="L329" s="630"/>
      <c r="M329" s="630"/>
      <c r="N329" s="630">
        <f>SUM(B329:M329)</f>
        <v>2500</v>
      </c>
      <c r="O329" s="636">
        <f>SUM(R329:W329)</f>
        <v>2462</v>
      </c>
      <c r="Q329" s="629" t="s">
        <v>50</v>
      </c>
      <c r="R329" s="630">
        <v>415</v>
      </c>
      <c r="S329" s="630">
        <v>431</v>
      </c>
      <c r="T329" s="630">
        <v>419</v>
      </c>
      <c r="U329" s="630">
        <v>400</v>
      </c>
      <c r="V329" s="630">
        <v>360</v>
      </c>
      <c r="W329" s="630">
        <v>437</v>
      </c>
      <c r="X329" s="630">
        <v>386</v>
      </c>
      <c r="Y329" s="630">
        <v>363</v>
      </c>
      <c r="Z329" s="630">
        <v>248</v>
      </c>
      <c r="AA329" s="630">
        <v>242</v>
      </c>
      <c r="AB329" s="630">
        <v>400</v>
      </c>
      <c r="AC329" s="630">
        <v>343</v>
      </c>
      <c r="AD329" s="630">
        <f>SUM(R329:AC329)</f>
        <v>4444</v>
      </c>
    </row>
    <row r="330" spans="1:30" x14ac:dyDescent="0.25">
      <c r="A330" s="629" t="s">
        <v>49</v>
      </c>
      <c r="B330" s="630">
        <v>125</v>
      </c>
      <c r="C330" s="630">
        <v>135</v>
      </c>
      <c r="D330" s="630">
        <v>125</v>
      </c>
      <c r="E330" s="630">
        <v>126</v>
      </c>
      <c r="F330" s="630">
        <v>117</v>
      </c>
      <c r="G330" s="630">
        <v>121</v>
      </c>
      <c r="H330" s="630"/>
      <c r="I330" s="630"/>
      <c r="J330" s="630"/>
      <c r="K330" s="630"/>
      <c r="L330" s="630"/>
      <c r="M330" s="630"/>
      <c r="N330" s="630">
        <f t="shared" ref="N330:N332" si="75">SUM(B330:M330)</f>
        <v>749</v>
      </c>
      <c r="O330" s="636">
        <f t="shared" ref="O330:O333" si="76">SUM(R330:W330)</f>
        <v>714</v>
      </c>
      <c r="Q330" s="629" t="s">
        <v>49</v>
      </c>
      <c r="R330" s="630">
        <v>126</v>
      </c>
      <c r="S330" s="630">
        <v>110</v>
      </c>
      <c r="T330" s="630">
        <v>116</v>
      </c>
      <c r="U330" s="630">
        <v>112</v>
      </c>
      <c r="V330" s="630">
        <v>124</v>
      </c>
      <c r="W330" s="630">
        <v>126</v>
      </c>
      <c r="X330" s="630">
        <v>124</v>
      </c>
      <c r="Y330" s="630">
        <v>127</v>
      </c>
      <c r="Z330" s="630">
        <v>123</v>
      </c>
      <c r="AA330" s="630">
        <v>98</v>
      </c>
      <c r="AB330" s="630">
        <v>121</v>
      </c>
      <c r="AC330" s="630">
        <v>121</v>
      </c>
      <c r="AD330" s="630">
        <f t="shared" ref="AD330:AD332" si="77">SUM(R330:AC330)</f>
        <v>1428</v>
      </c>
    </row>
    <row r="331" spans="1:30" x14ac:dyDescent="0.25">
      <c r="A331" s="629" t="s">
        <v>48</v>
      </c>
      <c r="B331" s="630">
        <v>22</v>
      </c>
      <c r="C331" s="630">
        <v>26</v>
      </c>
      <c r="D331" s="630">
        <v>26</v>
      </c>
      <c r="E331" s="630">
        <v>24</v>
      </c>
      <c r="F331" s="630">
        <v>23</v>
      </c>
      <c r="G331" s="630">
        <v>22</v>
      </c>
      <c r="H331" s="630"/>
      <c r="I331" s="630"/>
      <c r="J331" s="630"/>
      <c r="K331" s="630"/>
      <c r="L331" s="630"/>
      <c r="M331" s="630"/>
      <c r="N331" s="630">
        <f t="shared" si="75"/>
        <v>143</v>
      </c>
      <c r="O331" s="636">
        <f t="shared" si="76"/>
        <v>142</v>
      </c>
      <c r="Q331" s="629" t="s">
        <v>48</v>
      </c>
      <c r="R331" s="630">
        <v>22</v>
      </c>
      <c r="S331" s="630">
        <v>25</v>
      </c>
      <c r="T331" s="630">
        <v>25</v>
      </c>
      <c r="U331" s="630">
        <v>19</v>
      </c>
      <c r="V331" s="630">
        <v>25</v>
      </c>
      <c r="W331" s="630">
        <v>26</v>
      </c>
      <c r="X331" s="630">
        <v>23</v>
      </c>
      <c r="Y331" s="630">
        <v>23</v>
      </c>
      <c r="Z331" s="630">
        <v>24</v>
      </c>
      <c r="AA331" s="630">
        <v>25</v>
      </c>
      <c r="AB331" s="630">
        <v>23</v>
      </c>
      <c r="AC331" s="630">
        <v>23</v>
      </c>
      <c r="AD331" s="630">
        <f t="shared" si="77"/>
        <v>283</v>
      </c>
    </row>
    <row r="332" spans="1:30" x14ac:dyDescent="0.25">
      <c r="A332" s="629" t="s">
        <v>46</v>
      </c>
      <c r="B332" s="630">
        <v>111</v>
      </c>
      <c r="C332" s="630">
        <v>122</v>
      </c>
      <c r="D332" s="630">
        <v>78</v>
      </c>
      <c r="E332" s="630">
        <v>104</v>
      </c>
      <c r="F332" s="630">
        <v>158</v>
      </c>
      <c r="G332" s="630">
        <v>146</v>
      </c>
      <c r="H332" s="630"/>
      <c r="I332" s="630"/>
      <c r="J332" s="630"/>
      <c r="K332" s="630"/>
      <c r="L332" s="630"/>
      <c r="M332" s="630"/>
      <c r="N332" s="630">
        <f t="shared" si="75"/>
        <v>719</v>
      </c>
      <c r="O332" s="636">
        <f t="shared" si="76"/>
        <v>330</v>
      </c>
      <c r="Q332" s="629" t="s">
        <v>46</v>
      </c>
      <c r="R332" s="630">
        <v>109</v>
      </c>
      <c r="S332" s="630">
        <v>97</v>
      </c>
      <c r="T332" s="630">
        <v>29</v>
      </c>
      <c r="U332" s="630">
        <v>41</v>
      </c>
      <c r="V332" s="630">
        <v>25</v>
      </c>
      <c r="W332" s="630">
        <v>29</v>
      </c>
      <c r="X332" s="630">
        <v>14</v>
      </c>
      <c r="Y332" s="630">
        <v>37</v>
      </c>
      <c r="Z332" s="630">
        <v>36</v>
      </c>
      <c r="AA332" s="630">
        <v>43</v>
      </c>
      <c r="AB332" s="630">
        <v>56</v>
      </c>
      <c r="AC332" s="630">
        <v>76</v>
      </c>
      <c r="AD332" s="630">
        <f t="shared" si="77"/>
        <v>592</v>
      </c>
    </row>
    <row r="333" spans="1:30" x14ac:dyDescent="0.25">
      <c r="A333" s="629" t="s">
        <v>45</v>
      </c>
      <c r="B333" s="630">
        <f>SUM(B329:B332)</f>
        <v>668</v>
      </c>
      <c r="C333" s="630">
        <f t="shared" ref="C333:G333" si="78">SUM(C329:C332)</f>
        <v>729</v>
      </c>
      <c r="D333" s="630">
        <f t="shared" si="78"/>
        <v>639</v>
      </c>
      <c r="E333" s="630">
        <f t="shared" si="78"/>
        <v>653</v>
      </c>
      <c r="F333" s="630">
        <f t="shared" si="78"/>
        <v>699</v>
      </c>
      <c r="G333" s="630">
        <f t="shared" si="78"/>
        <v>723</v>
      </c>
      <c r="H333" s="630"/>
      <c r="I333" s="630"/>
      <c r="J333" s="630"/>
      <c r="K333" s="630"/>
      <c r="L333" s="630"/>
      <c r="M333" s="630"/>
      <c r="N333" s="705">
        <f>SUM(N329:N332)</f>
        <v>4111</v>
      </c>
      <c r="O333" s="705">
        <f t="shared" si="76"/>
        <v>3648</v>
      </c>
      <c r="Q333" s="629" t="s">
        <v>45</v>
      </c>
      <c r="R333" s="630">
        <f>SUM(R329:R332)</f>
        <v>672</v>
      </c>
      <c r="S333" s="630">
        <f t="shared" ref="S333:AD333" si="79">SUM(S329:S332)</f>
        <v>663</v>
      </c>
      <c r="T333" s="630">
        <f t="shared" si="79"/>
        <v>589</v>
      </c>
      <c r="U333" s="630">
        <f t="shared" si="79"/>
        <v>572</v>
      </c>
      <c r="V333" s="630">
        <f t="shared" si="79"/>
        <v>534</v>
      </c>
      <c r="W333" s="630">
        <f t="shared" si="79"/>
        <v>618</v>
      </c>
      <c r="X333" s="630">
        <f t="shared" si="79"/>
        <v>547</v>
      </c>
      <c r="Y333" s="630">
        <f t="shared" si="79"/>
        <v>550</v>
      </c>
      <c r="Z333" s="630">
        <f t="shared" si="79"/>
        <v>431</v>
      </c>
      <c r="AA333" s="630">
        <f t="shared" si="79"/>
        <v>408</v>
      </c>
      <c r="AB333" s="630">
        <f t="shared" si="79"/>
        <v>600</v>
      </c>
      <c r="AC333" s="630">
        <f t="shared" si="79"/>
        <v>563</v>
      </c>
      <c r="AD333" s="630">
        <f t="shared" si="79"/>
        <v>6747</v>
      </c>
    </row>
    <row r="335" spans="1:30" x14ac:dyDescent="0.25">
      <c r="A335" s="628" t="s">
        <v>362</v>
      </c>
      <c r="B335" s="628" t="s">
        <v>350</v>
      </c>
      <c r="C335" s="628" t="s">
        <v>351</v>
      </c>
      <c r="D335" s="628" t="s">
        <v>473</v>
      </c>
      <c r="E335" s="628" t="s">
        <v>352</v>
      </c>
      <c r="F335" s="628" t="s">
        <v>353</v>
      </c>
      <c r="G335" s="628" t="s">
        <v>354</v>
      </c>
      <c r="H335" s="628" t="s">
        <v>355</v>
      </c>
      <c r="I335" s="628" t="s">
        <v>356</v>
      </c>
      <c r="J335" s="628" t="s">
        <v>357</v>
      </c>
      <c r="K335" s="628" t="s">
        <v>358</v>
      </c>
      <c r="L335" s="628" t="s">
        <v>359</v>
      </c>
      <c r="M335" s="628" t="s">
        <v>360</v>
      </c>
      <c r="N335" s="628" t="s">
        <v>361</v>
      </c>
      <c r="O335" s="635" t="s">
        <v>453</v>
      </c>
      <c r="Q335" s="628" t="s">
        <v>381</v>
      </c>
      <c r="R335" s="628" t="s">
        <v>369</v>
      </c>
      <c r="S335" s="628" t="s">
        <v>370</v>
      </c>
      <c r="T335" s="628" t="s">
        <v>371</v>
      </c>
      <c r="U335" s="628" t="s">
        <v>372</v>
      </c>
      <c r="V335" s="628" t="s">
        <v>373</v>
      </c>
      <c r="W335" s="628" t="s">
        <v>374</v>
      </c>
      <c r="X335" s="628" t="s">
        <v>375</v>
      </c>
      <c r="Y335" s="628" t="s">
        <v>376</v>
      </c>
      <c r="Z335" s="628" t="s">
        <v>377</v>
      </c>
      <c r="AA335" s="628" t="s">
        <v>378</v>
      </c>
      <c r="AB335" s="628" t="s">
        <v>379</v>
      </c>
      <c r="AC335" s="628" t="s">
        <v>380</v>
      </c>
      <c r="AD335" s="628" t="s">
        <v>361</v>
      </c>
    </row>
    <row r="336" spans="1:30" x14ac:dyDescent="0.25">
      <c r="A336" s="628" t="s">
        <v>50</v>
      </c>
      <c r="B336" s="631">
        <v>306</v>
      </c>
      <c r="C336" s="631">
        <v>506</v>
      </c>
      <c r="D336" s="631">
        <v>443</v>
      </c>
      <c r="E336" s="631">
        <v>380</v>
      </c>
      <c r="F336" s="631">
        <v>382</v>
      </c>
      <c r="G336" s="631">
        <v>414</v>
      </c>
      <c r="H336" s="631"/>
      <c r="I336" s="631"/>
      <c r="J336" s="631"/>
      <c r="K336" s="631"/>
      <c r="L336" s="631"/>
      <c r="M336" s="631"/>
      <c r="N336" s="631">
        <f>SUM(B336:M336)</f>
        <v>2431</v>
      </c>
      <c r="O336" s="636">
        <f>SUM(R336:W336)</f>
        <v>2318</v>
      </c>
      <c r="Q336" s="628" t="s">
        <v>50</v>
      </c>
      <c r="R336" s="631">
        <v>304</v>
      </c>
      <c r="S336" s="631">
        <v>445</v>
      </c>
      <c r="T336" s="631">
        <v>345</v>
      </c>
      <c r="U336" s="631">
        <v>499</v>
      </c>
      <c r="V336" s="631">
        <v>365</v>
      </c>
      <c r="W336" s="631">
        <v>360</v>
      </c>
      <c r="X336" s="631">
        <v>285</v>
      </c>
      <c r="Y336" s="631">
        <v>503</v>
      </c>
      <c r="Z336" s="631">
        <v>298</v>
      </c>
      <c r="AA336" s="631">
        <v>239</v>
      </c>
      <c r="AB336" s="631">
        <v>371</v>
      </c>
      <c r="AC336" s="631">
        <v>412</v>
      </c>
      <c r="AD336" s="631">
        <f>SUM(R336:AC336)</f>
        <v>4426</v>
      </c>
    </row>
    <row r="337" spans="1:30" x14ac:dyDescent="0.25">
      <c r="A337" s="628" t="s">
        <v>49</v>
      </c>
      <c r="B337" s="631">
        <v>112</v>
      </c>
      <c r="C337" s="631">
        <v>137</v>
      </c>
      <c r="D337" s="631">
        <v>127</v>
      </c>
      <c r="E337" s="631">
        <v>110</v>
      </c>
      <c r="F337" s="631">
        <v>129</v>
      </c>
      <c r="G337" s="631">
        <v>111</v>
      </c>
      <c r="H337" s="631"/>
      <c r="I337" s="631"/>
      <c r="J337" s="631"/>
      <c r="K337" s="631"/>
      <c r="L337" s="631"/>
      <c r="M337" s="631"/>
      <c r="N337" s="631">
        <f t="shared" ref="N337:N339" si="80">SUM(B337:M337)</f>
        <v>726</v>
      </c>
      <c r="O337" s="636">
        <f t="shared" ref="O337:O340" si="81">SUM(R337:W337)</f>
        <v>699</v>
      </c>
      <c r="Q337" s="628" t="s">
        <v>49</v>
      </c>
      <c r="R337" s="631">
        <v>123</v>
      </c>
      <c r="S337" s="631">
        <v>118</v>
      </c>
      <c r="T337" s="631">
        <v>116</v>
      </c>
      <c r="U337" s="631">
        <v>103</v>
      </c>
      <c r="V337" s="631">
        <v>108</v>
      </c>
      <c r="W337" s="631">
        <v>131</v>
      </c>
      <c r="X337" s="631">
        <v>77</v>
      </c>
      <c r="Y337" s="631">
        <v>148</v>
      </c>
      <c r="Z337" s="631">
        <v>140</v>
      </c>
      <c r="AA337" s="631">
        <v>109</v>
      </c>
      <c r="AB337" s="631">
        <v>133</v>
      </c>
      <c r="AC337" s="631">
        <v>107</v>
      </c>
      <c r="AD337" s="631">
        <f t="shared" ref="AD337:AD339" si="82">SUM(R337:AC337)</f>
        <v>1413</v>
      </c>
    </row>
    <row r="338" spans="1:30" x14ac:dyDescent="0.25">
      <c r="A338" s="628" t="s">
        <v>48</v>
      </c>
      <c r="B338" s="631">
        <v>21</v>
      </c>
      <c r="C338" s="631">
        <v>22</v>
      </c>
      <c r="D338" s="631">
        <v>22</v>
      </c>
      <c r="E338" s="631">
        <v>25</v>
      </c>
      <c r="F338" s="631">
        <v>22</v>
      </c>
      <c r="G338" s="631">
        <v>23</v>
      </c>
      <c r="H338" s="631"/>
      <c r="I338" s="631"/>
      <c r="J338" s="631"/>
      <c r="K338" s="631"/>
      <c r="L338" s="631"/>
      <c r="M338" s="631"/>
      <c r="N338" s="631">
        <f t="shared" si="80"/>
        <v>135</v>
      </c>
      <c r="O338" s="636">
        <f t="shared" si="81"/>
        <v>135</v>
      </c>
      <c r="Q338" s="628" t="s">
        <v>48</v>
      </c>
      <c r="R338" s="631">
        <v>24</v>
      </c>
      <c r="S338" s="631">
        <v>26</v>
      </c>
      <c r="T338" s="631">
        <v>23</v>
      </c>
      <c r="U338" s="631">
        <v>18</v>
      </c>
      <c r="V338" s="631">
        <v>20</v>
      </c>
      <c r="W338" s="631">
        <v>24</v>
      </c>
      <c r="X338" s="631">
        <v>13</v>
      </c>
      <c r="Y338" s="631">
        <v>27</v>
      </c>
      <c r="Z338" s="631">
        <v>28</v>
      </c>
      <c r="AA338" s="631">
        <v>28</v>
      </c>
      <c r="AB338" s="631">
        <v>25</v>
      </c>
      <c r="AC338" s="631">
        <v>25</v>
      </c>
      <c r="AD338" s="631">
        <f t="shared" si="82"/>
        <v>281</v>
      </c>
    </row>
    <row r="339" spans="1:30" x14ac:dyDescent="0.25">
      <c r="A339" s="628" t="s">
        <v>46</v>
      </c>
      <c r="B339" s="631">
        <v>64</v>
      </c>
      <c r="C339" s="631">
        <v>60</v>
      </c>
      <c r="D339" s="631">
        <v>133</v>
      </c>
      <c r="E339" s="631">
        <v>128</v>
      </c>
      <c r="F339" s="631">
        <v>50</v>
      </c>
      <c r="G339" s="631">
        <v>146</v>
      </c>
      <c r="H339" s="631"/>
      <c r="I339" s="631"/>
      <c r="J339" s="631"/>
      <c r="K339" s="631"/>
      <c r="L339" s="631"/>
      <c r="M339" s="631"/>
      <c r="N339" s="631">
        <f t="shared" si="80"/>
        <v>581</v>
      </c>
      <c r="O339" s="636">
        <f t="shared" si="81"/>
        <v>428</v>
      </c>
      <c r="Q339" s="628" t="s">
        <v>46</v>
      </c>
      <c r="R339" s="631">
        <v>33</v>
      </c>
      <c r="S339" s="631">
        <v>184</v>
      </c>
      <c r="T339" s="631">
        <v>64</v>
      </c>
      <c r="U339" s="631">
        <v>54</v>
      </c>
      <c r="V339" s="631">
        <v>80</v>
      </c>
      <c r="W339" s="631">
        <v>13</v>
      </c>
      <c r="X339" s="631">
        <v>7</v>
      </c>
      <c r="Y339" s="631">
        <v>15</v>
      </c>
      <c r="Z339" s="631">
        <v>32</v>
      </c>
      <c r="AA339" s="631">
        <v>14</v>
      </c>
      <c r="AB339" s="631">
        <v>54</v>
      </c>
      <c r="AC339" s="631">
        <v>45</v>
      </c>
      <c r="AD339" s="631">
        <f t="shared" si="82"/>
        <v>595</v>
      </c>
    </row>
    <row r="340" spans="1:30" x14ac:dyDescent="0.25">
      <c r="A340" s="628" t="s">
        <v>45</v>
      </c>
      <c r="B340" s="631">
        <f>SUM(B336:B339)</f>
        <v>503</v>
      </c>
      <c r="C340" s="631">
        <f t="shared" ref="C340:G340" si="83">SUM(C336:C339)</f>
        <v>725</v>
      </c>
      <c r="D340" s="631">
        <f t="shared" si="83"/>
        <v>725</v>
      </c>
      <c r="E340" s="631">
        <f t="shared" si="83"/>
        <v>643</v>
      </c>
      <c r="F340" s="631">
        <f t="shared" si="83"/>
        <v>583</v>
      </c>
      <c r="G340" s="631">
        <f t="shared" si="83"/>
        <v>694</v>
      </c>
      <c r="H340" s="631"/>
      <c r="I340" s="631"/>
      <c r="J340" s="631"/>
      <c r="K340" s="631"/>
      <c r="L340" s="631"/>
      <c r="M340" s="631"/>
      <c r="N340" s="705">
        <f>SUM(N336:N339)</f>
        <v>3873</v>
      </c>
      <c r="O340" s="705">
        <f t="shared" si="81"/>
        <v>3580</v>
      </c>
      <c r="Q340" s="628" t="s">
        <v>45</v>
      </c>
      <c r="R340" s="631">
        <f>SUM(R336:R339)</f>
        <v>484</v>
      </c>
      <c r="S340" s="631">
        <f t="shared" ref="S340:AD340" si="84">SUM(S336:S339)</f>
        <v>773</v>
      </c>
      <c r="T340" s="631">
        <f t="shared" si="84"/>
        <v>548</v>
      </c>
      <c r="U340" s="631">
        <f t="shared" si="84"/>
        <v>674</v>
      </c>
      <c r="V340" s="631">
        <f t="shared" si="84"/>
        <v>573</v>
      </c>
      <c r="W340" s="631">
        <f t="shared" si="84"/>
        <v>528</v>
      </c>
      <c r="X340" s="631">
        <f t="shared" si="84"/>
        <v>382</v>
      </c>
      <c r="Y340" s="631">
        <f t="shared" si="84"/>
        <v>693</v>
      </c>
      <c r="Z340" s="631">
        <f t="shared" si="84"/>
        <v>498</v>
      </c>
      <c r="AA340" s="631">
        <f t="shared" si="84"/>
        <v>390</v>
      </c>
      <c r="AB340" s="631">
        <f t="shared" si="84"/>
        <v>583</v>
      </c>
      <c r="AC340" s="631">
        <f t="shared" si="84"/>
        <v>589</v>
      </c>
      <c r="AD340" s="631">
        <f t="shared" si="84"/>
        <v>6715</v>
      </c>
    </row>
    <row r="342" spans="1:30" x14ac:dyDescent="0.25">
      <c r="A342" s="627" t="s">
        <v>363</v>
      </c>
      <c r="B342" s="627" t="s">
        <v>350</v>
      </c>
      <c r="C342" s="627" t="s">
        <v>351</v>
      </c>
      <c r="D342" s="627" t="s">
        <v>473</v>
      </c>
      <c r="E342" s="627" t="s">
        <v>352</v>
      </c>
      <c r="F342" s="627" t="s">
        <v>353</v>
      </c>
      <c r="G342" s="627" t="s">
        <v>354</v>
      </c>
      <c r="H342" s="627" t="s">
        <v>355</v>
      </c>
      <c r="I342" s="627" t="s">
        <v>356</v>
      </c>
      <c r="J342" s="627" t="s">
        <v>357</v>
      </c>
      <c r="K342" s="627" t="s">
        <v>358</v>
      </c>
      <c r="L342" s="627" t="s">
        <v>359</v>
      </c>
      <c r="M342" s="627" t="s">
        <v>360</v>
      </c>
      <c r="N342" s="627" t="s">
        <v>361</v>
      </c>
      <c r="O342" s="635" t="s">
        <v>453</v>
      </c>
      <c r="Q342" s="627" t="s">
        <v>382</v>
      </c>
      <c r="R342" s="627" t="s">
        <v>369</v>
      </c>
      <c r="S342" s="627" t="s">
        <v>370</v>
      </c>
      <c r="T342" s="627" t="s">
        <v>371</v>
      </c>
      <c r="U342" s="627" t="s">
        <v>372</v>
      </c>
      <c r="V342" s="627" t="s">
        <v>373</v>
      </c>
      <c r="W342" s="627" t="s">
        <v>374</v>
      </c>
      <c r="X342" s="627" t="s">
        <v>375</v>
      </c>
      <c r="Y342" s="627" t="s">
        <v>376</v>
      </c>
      <c r="Z342" s="627" t="s">
        <v>377</v>
      </c>
      <c r="AA342" s="627" t="s">
        <v>378</v>
      </c>
      <c r="AB342" s="627" t="s">
        <v>379</v>
      </c>
      <c r="AC342" s="627" t="s">
        <v>380</v>
      </c>
      <c r="AD342" s="627" t="s">
        <v>361</v>
      </c>
    </row>
    <row r="343" spans="1:30" x14ac:dyDescent="0.25">
      <c r="A343" s="627" t="s">
        <v>50</v>
      </c>
      <c r="B343" s="632">
        <v>44402133987</v>
      </c>
      <c r="C343" s="632">
        <v>46835741107</v>
      </c>
      <c r="D343" s="632">
        <v>51899022573</v>
      </c>
      <c r="E343" s="632">
        <v>54566297368</v>
      </c>
      <c r="F343" s="632">
        <v>52379128272</v>
      </c>
      <c r="G343" s="632">
        <v>50781768116</v>
      </c>
      <c r="H343" s="632"/>
      <c r="I343" s="632"/>
      <c r="J343" s="632"/>
      <c r="K343" s="632"/>
      <c r="L343" s="632"/>
      <c r="M343" s="632"/>
      <c r="N343" s="632">
        <f>AVERAGE(B343:M343)</f>
        <v>50144015237.166664</v>
      </c>
      <c r="O343" s="636">
        <f>AVERAGE(R343:W343)</f>
        <v>26924810306.333332</v>
      </c>
      <c r="Q343" s="627" t="s">
        <v>50</v>
      </c>
      <c r="R343" s="632">
        <v>25210240132</v>
      </c>
      <c r="S343" s="632">
        <v>25322773034</v>
      </c>
      <c r="T343" s="632">
        <v>26436492754</v>
      </c>
      <c r="U343" s="632">
        <v>27040224449</v>
      </c>
      <c r="V343" s="632">
        <v>27041534247</v>
      </c>
      <c r="W343" s="632">
        <v>30497597222</v>
      </c>
      <c r="X343" s="632">
        <v>36390775439</v>
      </c>
      <c r="Y343" s="632">
        <v>37425924453</v>
      </c>
      <c r="Z343" s="632">
        <v>41648587248</v>
      </c>
      <c r="AA343" s="632">
        <v>45828087866</v>
      </c>
      <c r="AB343" s="632">
        <v>41470479784</v>
      </c>
      <c r="AC343" s="632">
        <v>41781645631</v>
      </c>
      <c r="AD343" s="632">
        <f>AVERAGE(R343:AC343)</f>
        <v>33841196854.916668</v>
      </c>
    </row>
    <row r="344" spans="1:30" x14ac:dyDescent="0.25">
      <c r="A344" s="627" t="s">
        <v>49</v>
      </c>
      <c r="B344" s="632">
        <v>50049357143</v>
      </c>
      <c r="C344" s="632">
        <v>51624788321</v>
      </c>
      <c r="D344" s="632">
        <v>53703433071</v>
      </c>
      <c r="E344" s="632">
        <v>57219445455</v>
      </c>
      <c r="F344" s="632">
        <v>59750782946</v>
      </c>
      <c r="G344" s="632">
        <v>59590792793</v>
      </c>
      <c r="H344" s="632"/>
      <c r="I344" s="632"/>
      <c r="J344" s="632"/>
      <c r="K344" s="632"/>
      <c r="L344" s="632"/>
      <c r="M344" s="632"/>
      <c r="N344" s="632">
        <f t="shared" ref="N344:N346" si="85">AVERAGE(B344:M344)</f>
        <v>55323099954.833336</v>
      </c>
      <c r="O344" s="636">
        <f t="shared" ref="O344:O346" si="86">AVERAGE(R344:W344)</f>
        <v>29936081476.5</v>
      </c>
      <c r="Q344" s="627" t="s">
        <v>49</v>
      </c>
      <c r="R344" s="632">
        <v>28611520325</v>
      </c>
      <c r="S344" s="632">
        <v>28878644068</v>
      </c>
      <c r="T344" s="632">
        <v>29223706897</v>
      </c>
      <c r="U344" s="632">
        <v>30127009709</v>
      </c>
      <c r="V344" s="632">
        <v>31079592593</v>
      </c>
      <c r="W344" s="632">
        <v>31696015267</v>
      </c>
      <c r="X344" s="632">
        <v>34611103896</v>
      </c>
      <c r="Y344" s="632">
        <v>41986695946</v>
      </c>
      <c r="Z344" s="632">
        <v>47492707143</v>
      </c>
      <c r="AA344" s="632">
        <v>56338385321</v>
      </c>
      <c r="AB344" s="632">
        <v>51291849624</v>
      </c>
      <c r="AC344" s="632">
        <v>50427747664</v>
      </c>
      <c r="AD344" s="632">
        <f t="shared" ref="AD344:AD346" si="87">AVERAGE(R344:AC344)</f>
        <v>38480414871.083336</v>
      </c>
    </row>
    <row r="345" spans="1:30" x14ac:dyDescent="0.25">
      <c r="A345" s="627" t="s">
        <v>48</v>
      </c>
      <c r="B345" s="632">
        <v>87842714286</v>
      </c>
      <c r="C345" s="632">
        <v>97410681818</v>
      </c>
      <c r="D345" s="632">
        <v>100864681818</v>
      </c>
      <c r="E345" s="632">
        <v>106407200000</v>
      </c>
      <c r="F345" s="632">
        <v>125876090909</v>
      </c>
      <c r="G345" s="632">
        <v>119166826087</v>
      </c>
      <c r="H345" s="632"/>
      <c r="I345" s="632"/>
      <c r="J345" s="632"/>
      <c r="K345" s="632"/>
      <c r="L345" s="632"/>
      <c r="M345" s="632"/>
      <c r="N345" s="632">
        <f t="shared" si="85"/>
        <v>106261365819.66667</v>
      </c>
      <c r="O345" s="636">
        <f t="shared" si="86"/>
        <v>40320329250.333336</v>
      </c>
      <c r="Q345" s="627" t="s">
        <v>48</v>
      </c>
      <c r="R345" s="632">
        <v>38543708333</v>
      </c>
      <c r="S345" s="632">
        <v>37045846154</v>
      </c>
      <c r="T345" s="632">
        <v>39556304348</v>
      </c>
      <c r="U345" s="632">
        <v>39898166667</v>
      </c>
      <c r="V345" s="632">
        <v>41537700000</v>
      </c>
      <c r="W345" s="632">
        <v>45340250000</v>
      </c>
      <c r="X345" s="632">
        <v>53974461538</v>
      </c>
      <c r="Y345" s="632">
        <v>61380962963</v>
      </c>
      <c r="Z345" s="632">
        <v>71972821429</v>
      </c>
      <c r="AA345" s="632">
        <v>89708428571</v>
      </c>
      <c r="AB345" s="632">
        <v>86981560000</v>
      </c>
      <c r="AC345" s="632">
        <v>87470880000</v>
      </c>
      <c r="AD345" s="632">
        <f t="shared" si="87"/>
        <v>57784257500.25</v>
      </c>
    </row>
    <row r="346" spans="1:30" x14ac:dyDescent="0.25">
      <c r="A346" s="627" t="s">
        <v>46</v>
      </c>
      <c r="B346" s="632">
        <v>34754125000</v>
      </c>
      <c r="C346" s="632">
        <v>38488050000</v>
      </c>
      <c r="D346" s="632">
        <v>40833781955</v>
      </c>
      <c r="E346" s="632">
        <v>43304937500</v>
      </c>
      <c r="F346" s="632">
        <v>44483520000</v>
      </c>
      <c r="G346" s="632">
        <v>41567746575</v>
      </c>
      <c r="H346" s="632"/>
      <c r="I346" s="632"/>
      <c r="J346" s="632"/>
      <c r="K346" s="632"/>
      <c r="L346" s="632"/>
      <c r="M346" s="632"/>
      <c r="N346" s="632">
        <f t="shared" si="85"/>
        <v>40572026838.333336</v>
      </c>
      <c r="O346" s="636">
        <f t="shared" si="86"/>
        <v>22647658161.833332</v>
      </c>
      <c r="Q346" s="627" t="s">
        <v>46</v>
      </c>
      <c r="R346" s="632">
        <v>21574242424</v>
      </c>
      <c r="S346" s="632">
        <v>20944929348</v>
      </c>
      <c r="T346" s="632">
        <v>21325953125</v>
      </c>
      <c r="U346" s="632">
        <v>22505574074</v>
      </c>
      <c r="V346" s="632">
        <v>23162250000</v>
      </c>
      <c r="W346" s="632">
        <v>26373000000</v>
      </c>
      <c r="X346" s="632">
        <v>25339428571</v>
      </c>
      <c r="Y346" s="632">
        <v>33043533333</v>
      </c>
      <c r="Z346" s="632">
        <v>38574500000</v>
      </c>
      <c r="AA346" s="632">
        <v>39079142857</v>
      </c>
      <c r="AB346" s="632">
        <v>32637000000</v>
      </c>
      <c r="AC346" s="632">
        <v>33080622222</v>
      </c>
      <c r="AD346" s="632">
        <f t="shared" si="87"/>
        <v>28136681329.5</v>
      </c>
    </row>
    <row r="348" spans="1:30" x14ac:dyDescent="0.25">
      <c r="A348" s="633" t="s">
        <v>364</v>
      </c>
      <c r="B348" s="633" t="s">
        <v>350</v>
      </c>
      <c r="C348" s="633" t="s">
        <v>351</v>
      </c>
      <c r="D348" s="633" t="s">
        <v>473</v>
      </c>
      <c r="E348" s="633" t="s">
        <v>352</v>
      </c>
      <c r="F348" s="633" t="s">
        <v>353</v>
      </c>
      <c r="G348" s="633" t="s">
        <v>354</v>
      </c>
      <c r="H348" s="633" t="s">
        <v>355</v>
      </c>
      <c r="I348" s="633" t="s">
        <v>356</v>
      </c>
      <c r="J348" s="633" t="s">
        <v>357</v>
      </c>
      <c r="K348" s="633" t="s">
        <v>358</v>
      </c>
      <c r="L348" s="633" t="s">
        <v>359</v>
      </c>
      <c r="M348" s="633" t="s">
        <v>360</v>
      </c>
      <c r="N348" s="633" t="s">
        <v>361</v>
      </c>
      <c r="O348" s="635" t="s">
        <v>453</v>
      </c>
      <c r="Q348" s="633" t="s">
        <v>383</v>
      </c>
      <c r="R348" s="633" t="s">
        <v>369</v>
      </c>
      <c r="S348" s="633" t="s">
        <v>370</v>
      </c>
      <c r="T348" s="633" t="s">
        <v>371</v>
      </c>
      <c r="U348" s="633" t="s">
        <v>372</v>
      </c>
      <c r="V348" s="633" t="s">
        <v>373</v>
      </c>
      <c r="W348" s="633" t="s">
        <v>374</v>
      </c>
      <c r="X348" s="633" t="s">
        <v>375</v>
      </c>
      <c r="Y348" s="633" t="s">
        <v>376</v>
      </c>
      <c r="Z348" s="633" t="s">
        <v>377</v>
      </c>
      <c r="AA348" s="633" t="s">
        <v>378</v>
      </c>
      <c r="AB348" s="633" t="s">
        <v>379</v>
      </c>
      <c r="AC348" s="633" t="s">
        <v>380</v>
      </c>
      <c r="AD348" s="633" t="s">
        <v>361</v>
      </c>
    </row>
    <row r="349" spans="1:30" x14ac:dyDescent="0.25">
      <c r="A349" s="633" t="s">
        <v>50</v>
      </c>
      <c r="B349" s="634">
        <v>13587053</v>
      </c>
      <c r="C349" s="634">
        <v>23698885</v>
      </c>
      <c r="D349" s="634">
        <v>22991267</v>
      </c>
      <c r="E349" s="634">
        <v>20735193</v>
      </c>
      <c r="F349" s="634">
        <v>20008827</v>
      </c>
      <c r="G349" s="634">
        <v>21023652</v>
      </c>
      <c r="H349" s="634"/>
      <c r="I349" s="634"/>
      <c r="J349" s="634"/>
      <c r="K349" s="634"/>
      <c r="L349" s="634"/>
      <c r="M349" s="634"/>
      <c r="N349" s="634">
        <f>SUM(B349:M349)</f>
        <v>122044877</v>
      </c>
      <c r="O349" s="636">
        <f>SUM(R349:W349)</f>
        <v>62395504</v>
      </c>
      <c r="Q349" s="633" t="s">
        <v>50</v>
      </c>
      <c r="R349" s="634">
        <v>7663913</v>
      </c>
      <c r="S349" s="634">
        <v>11268634</v>
      </c>
      <c r="T349" s="634">
        <v>9120590</v>
      </c>
      <c r="U349" s="634">
        <v>13493072</v>
      </c>
      <c r="V349" s="634">
        <v>9870160</v>
      </c>
      <c r="W349" s="634">
        <v>10979135</v>
      </c>
      <c r="X349" s="634">
        <v>10371371</v>
      </c>
      <c r="Y349" s="634">
        <v>18825240</v>
      </c>
      <c r="Z349" s="634">
        <v>12411279</v>
      </c>
      <c r="AA349" s="634">
        <v>10952913</v>
      </c>
      <c r="AB349" s="634">
        <v>15385548</v>
      </c>
      <c r="AC349" s="634">
        <v>17214038</v>
      </c>
      <c r="AD349" s="634">
        <f>SUM(R349:AC349)</f>
        <v>147555893</v>
      </c>
    </row>
    <row r="350" spans="1:30" x14ac:dyDescent="0.25">
      <c r="A350" s="633" t="s">
        <v>49</v>
      </c>
      <c r="B350" s="634">
        <v>5605528</v>
      </c>
      <c r="C350" s="634">
        <v>7072596</v>
      </c>
      <c r="D350" s="634">
        <v>6820336</v>
      </c>
      <c r="E350" s="634">
        <v>6294139</v>
      </c>
      <c r="F350" s="634">
        <v>7707851</v>
      </c>
      <c r="G350" s="634">
        <v>6614578</v>
      </c>
      <c r="H350" s="634"/>
      <c r="I350" s="634"/>
      <c r="J350" s="634"/>
      <c r="K350" s="634"/>
      <c r="L350" s="634"/>
      <c r="M350" s="634"/>
      <c r="N350" s="634">
        <f t="shared" ref="N350:N352" si="88">SUM(B350:M350)</f>
        <v>40115028</v>
      </c>
      <c r="O350" s="636">
        <f t="shared" ref="O350:O353" si="89">SUM(R350:W350)</f>
        <v>20928703</v>
      </c>
      <c r="Q350" s="633" t="s">
        <v>49</v>
      </c>
      <c r="R350" s="634">
        <v>3519217</v>
      </c>
      <c r="S350" s="634">
        <v>3407680</v>
      </c>
      <c r="T350" s="634">
        <v>3389950</v>
      </c>
      <c r="U350" s="634">
        <v>3103082</v>
      </c>
      <c r="V350" s="634">
        <v>3356596</v>
      </c>
      <c r="W350" s="634">
        <v>4152178</v>
      </c>
      <c r="X350" s="634">
        <v>2665055</v>
      </c>
      <c r="Y350" s="634">
        <v>6214031</v>
      </c>
      <c r="Z350" s="634">
        <v>6648979</v>
      </c>
      <c r="AA350" s="634">
        <v>6140884</v>
      </c>
      <c r="AB350" s="634">
        <v>6821816</v>
      </c>
      <c r="AC350" s="634">
        <v>5395769</v>
      </c>
      <c r="AD350" s="634">
        <f t="shared" ref="AD350:AD352" si="90">SUM(R350:AC350)</f>
        <v>54815237</v>
      </c>
    </row>
    <row r="351" spans="1:30" x14ac:dyDescent="0.25">
      <c r="A351" s="633" t="s">
        <v>48</v>
      </c>
      <c r="B351" s="634">
        <v>1844697</v>
      </c>
      <c r="C351" s="634">
        <v>2143035</v>
      </c>
      <c r="D351" s="634">
        <v>2219023</v>
      </c>
      <c r="E351" s="634">
        <v>2660180</v>
      </c>
      <c r="F351" s="634">
        <v>2769274</v>
      </c>
      <c r="G351" s="634">
        <v>2740837</v>
      </c>
      <c r="H351" s="634"/>
      <c r="I351" s="634"/>
      <c r="J351" s="634"/>
      <c r="K351" s="634"/>
      <c r="L351" s="634"/>
      <c r="M351" s="634"/>
      <c r="N351" s="634">
        <f t="shared" si="88"/>
        <v>14377046</v>
      </c>
      <c r="O351" s="636">
        <f t="shared" si="89"/>
        <v>5435123</v>
      </c>
      <c r="Q351" s="633" t="s">
        <v>48</v>
      </c>
      <c r="R351" s="634">
        <v>925049</v>
      </c>
      <c r="S351" s="634">
        <v>963192</v>
      </c>
      <c r="T351" s="634">
        <v>909795</v>
      </c>
      <c r="U351" s="634">
        <v>718167</v>
      </c>
      <c r="V351" s="634">
        <v>830754</v>
      </c>
      <c r="W351" s="634">
        <v>1088166</v>
      </c>
      <c r="X351" s="634">
        <v>701668</v>
      </c>
      <c r="Y351" s="634">
        <v>1657286</v>
      </c>
      <c r="Z351" s="634">
        <v>2015239</v>
      </c>
      <c r="AA351" s="634">
        <v>2511836</v>
      </c>
      <c r="AB351" s="634">
        <v>2174539</v>
      </c>
      <c r="AC351" s="634">
        <v>2186772</v>
      </c>
      <c r="AD351" s="634">
        <f t="shared" si="90"/>
        <v>16682463</v>
      </c>
    </row>
    <row r="352" spans="1:30" x14ac:dyDescent="0.25">
      <c r="A352" s="633" t="s">
        <v>46</v>
      </c>
      <c r="B352" s="634">
        <v>2224264</v>
      </c>
      <c r="C352" s="634">
        <v>2309283</v>
      </c>
      <c r="D352" s="634">
        <v>5430893</v>
      </c>
      <c r="E352" s="634">
        <v>5543032</v>
      </c>
      <c r="F352" s="634">
        <v>2224176</v>
      </c>
      <c r="G352" s="634">
        <v>6068891</v>
      </c>
      <c r="H352" s="634"/>
      <c r="I352" s="634"/>
      <c r="J352" s="634"/>
      <c r="K352" s="634"/>
      <c r="L352" s="634"/>
      <c r="M352" s="634"/>
      <c r="N352" s="634">
        <f t="shared" si="88"/>
        <v>23800539</v>
      </c>
      <c r="O352" s="636">
        <f t="shared" si="89"/>
        <v>9341808</v>
      </c>
      <c r="Q352" s="633" t="s">
        <v>46</v>
      </c>
      <c r="R352" s="634">
        <v>711950</v>
      </c>
      <c r="S352" s="634">
        <v>3853867</v>
      </c>
      <c r="T352" s="634">
        <v>1364861</v>
      </c>
      <c r="U352" s="634">
        <v>1215301</v>
      </c>
      <c r="V352" s="634">
        <v>1852980</v>
      </c>
      <c r="W352" s="634">
        <v>342849</v>
      </c>
      <c r="X352" s="634">
        <v>177376</v>
      </c>
      <c r="Y352" s="634">
        <v>495653</v>
      </c>
      <c r="Z352" s="634">
        <v>1234384</v>
      </c>
      <c r="AA352" s="634">
        <v>547108</v>
      </c>
      <c r="AB352" s="634">
        <v>1762398</v>
      </c>
      <c r="AC352" s="634">
        <v>1488628</v>
      </c>
      <c r="AD352" s="634">
        <f t="shared" si="90"/>
        <v>15047355</v>
      </c>
    </row>
    <row r="353" spans="1:30" x14ac:dyDescent="0.25">
      <c r="A353" s="633" t="s">
        <v>45</v>
      </c>
      <c r="B353" s="634">
        <f>SUM(B349:B352)</f>
        <v>23261542</v>
      </c>
      <c r="C353" s="634">
        <f t="shared" ref="C353:N353" si="91">SUM(C349:C352)</f>
        <v>35223799</v>
      </c>
      <c r="D353" s="634">
        <f t="shared" si="91"/>
        <v>37461519</v>
      </c>
      <c r="E353" s="634">
        <f t="shared" si="91"/>
        <v>35232544</v>
      </c>
      <c r="F353" s="634">
        <f t="shared" si="91"/>
        <v>32710128</v>
      </c>
      <c r="G353" s="634">
        <f t="shared" si="91"/>
        <v>36447958</v>
      </c>
      <c r="H353" s="634"/>
      <c r="I353" s="634"/>
      <c r="J353" s="634"/>
      <c r="K353" s="634"/>
      <c r="L353" s="634"/>
      <c r="M353" s="634"/>
      <c r="N353" s="705">
        <f t="shared" si="91"/>
        <v>200337490</v>
      </c>
      <c r="O353" s="705">
        <f t="shared" si="89"/>
        <v>98101138</v>
      </c>
      <c r="Q353" s="633" t="s">
        <v>45</v>
      </c>
      <c r="R353" s="634">
        <f>SUM(R349:R352)</f>
        <v>12820129</v>
      </c>
      <c r="S353" s="634">
        <f t="shared" ref="S353:AD353" si="92">SUM(S349:S352)</f>
        <v>19493373</v>
      </c>
      <c r="T353" s="634">
        <f t="shared" si="92"/>
        <v>14785196</v>
      </c>
      <c r="U353" s="634">
        <f t="shared" si="92"/>
        <v>18529622</v>
      </c>
      <c r="V353" s="634">
        <f t="shared" si="92"/>
        <v>15910490</v>
      </c>
      <c r="W353" s="634">
        <f t="shared" si="92"/>
        <v>16562328</v>
      </c>
      <c r="X353" s="634">
        <f t="shared" si="92"/>
        <v>13915470</v>
      </c>
      <c r="Y353" s="634">
        <f t="shared" si="92"/>
        <v>27192210</v>
      </c>
      <c r="Z353" s="634">
        <f t="shared" si="92"/>
        <v>22309881</v>
      </c>
      <c r="AA353" s="634">
        <f t="shared" si="92"/>
        <v>20152741</v>
      </c>
      <c r="AB353" s="634">
        <f t="shared" si="92"/>
        <v>26144301</v>
      </c>
      <c r="AC353" s="634">
        <f t="shared" si="92"/>
        <v>26285207</v>
      </c>
      <c r="AD353" s="634">
        <f t="shared" si="92"/>
        <v>234100948</v>
      </c>
    </row>
    <row r="355" spans="1:30" x14ac:dyDescent="0.25">
      <c r="E355" s="696"/>
    </row>
  </sheetData>
  <mergeCells count="3">
    <mergeCell ref="A239:A242"/>
    <mergeCell ref="E257:Q258"/>
    <mergeCell ref="D257:D268"/>
  </mergeCells>
  <conditionalFormatting sqref="T72:T75">
    <cfRule type="cellIs" dxfId="27" priority="2" operator="lessThan">
      <formula>0</formula>
    </cfRule>
    <cfRule type="cellIs" dxfId="26" priority="3" operator="greaterThan">
      <formula>0</formula>
    </cfRule>
  </conditionalFormatting>
  <conditionalFormatting sqref="F260:Q268">
    <cfRule type="colorScale" priority="15">
      <colorScale>
        <cfvo type="num" val="$B$269"/>
        <cfvo type="num" val="$B$268"/>
        <cfvo type="num" val="$B$267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O329:O333 O336:O340 O343:O346 O349:O353" formulaRange="1"/>
    <ignoredError sqref="P208 Q75 J83 P65 B24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rightToLeft="1" tabSelected="1" zoomScale="85" zoomScaleNormal="85" workbookViewId="0">
      <pane xSplit="1" topLeftCell="B1" activePane="topRight" state="frozen"/>
      <selection pane="topRight" activeCell="B31" sqref="B31"/>
    </sheetView>
  </sheetViews>
  <sheetFormatPr defaultRowHeight="22.5" x14ac:dyDescent="0.6"/>
  <cols>
    <col min="1" max="1" width="20.85546875" style="286" bestFit="1" customWidth="1"/>
    <col min="2" max="2" width="23.7109375" style="286" customWidth="1"/>
    <col min="3" max="3" width="17" style="286" bestFit="1" customWidth="1"/>
    <col min="4" max="4" width="19.5703125" style="286" bestFit="1" customWidth="1"/>
    <col min="5" max="5" width="18.28515625" style="286" bestFit="1" customWidth="1"/>
    <col min="6" max="6" width="15.85546875" style="286" bestFit="1" customWidth="1"/>
    <col min="7" max="7" width="26.7109375" style="286" bestFit="1" customWidth="1"/>
    <col min="8" max="8" width="27.5703125" style="286" bestFit="1" customWidth="1"/>
    <col min="9" max="9" width="15.85546875" style="286" bestFit="1" customWidth="1"/>
    <col min="10" max="10" width="22.140625" style="286" bestFit="1" customWidth="1"/>
    <col min="11" max="11" width="15.85546875" style="286" bestFit="1" customWidth="1"/>
    <col min="12" max="12" width="22.5703125" style="286" customWidth="1"/>
    <col min="13" max="13" width="26.28515625" style="286" customWidth="1"/>
    <col min="14" max="14" width="15.28515625" style="286" customWidth="1"/>
    <col min="15" max="16" width="22.7109375" style="286" customWidth="1"/>
    <col min="17" max="17" width="14.28515625" style="286" customWidth="1"/>
    <col min="18" max="16384" width="9.140625" style="286"/>
  </cols>
  <sheetData>
    <row r="1" spans="1:15" ht="33.75" customHeight="1" thickTop="1" thickBot="1" x14ac:dyDescent="0.65">
      <c r="A1" s="681" t="s">
        <v>26</v>
      </c>
      <c r="B1" s="682">
        <v>110000</v>
      </c>
      <c r="D1" s="664" t="s">
        <v>464</v>
      </c>
      <c r="E1" s="664" t="s">
        <v>339</v>
      </c>
      <c r="F1" s="664" t="s">
        <v>340</v>
      </c>
      <c r="G1" s="664" t="s">
        <v>341</v>
      </c>
      <c r="H1" s="664" t="s">
        <v>342</v>
      </c>
      <c r="I1" s="664" t="s">
        <v>343</v>
      </c>
      <c r="J1" s="664" t="s">
        <v>344</v>
      </c>
      <c r="K1" s="664" t="s">
        <v>336</v>
      </c>
      <c r="L1" s="664" t="s">
        <v>345</v>
      </c>
      <c r="M1" s="244"/>
      <c r="N1" s="244"/>
      <c r="O1" s="244"/>
    </row>
    <row r="2" spans="1:15" ht="33.75" customHeight="1" thickTop="1" thickBot="1" x14ac:dyDescent="0.65">
      <c r="A2" s="681" t="s">
        <v>193</v>
      </c>
      <c r="B2" s="682">
        <v>355</v>
      </c>
      <c r="D2" s="664" t="s">
        <v>354</v>
      </c>
      <c r="E2" s="626" t="s">
        <v>462</v>
      </c>
      <c r="F2" s="407">
        <f>D23</f>
        <v>0.12691885964912281</v>
      </c>
      <c r="G2" s="407">
        <f>D24</f>
        <v>8.2348983430702238E-2</v>
      </c>
      <c r="H2" s="407">
        <f>D25</f>
        <v>0.23245286326695022</v>
      </c>
      <c r="I2" s="407">
        <f>D26</f>
        <v>0.17912189600901565</v>
      </c>
      <c r="J2" s="407">
        <f>D27</f>
        <v>-4.6624855802789005E-3</v>
      </c>
      <c r="K2" s="407">
        <f>D28</f>
        <v>5.444710892018257E-2</v>
      </c>
      <c r="L2" s="407">
        <f>D29</f>
        <v>8.5321116508979319E-2</v>
      </c>
      <c r="M2" s="407"/>
      <c r="N2" s="407"/>
      <c r="O2" s="407"/>
    </row>
    <row r="3" spans="1:15" ht="33.75" customHeight="1" thickTop="1" thickBot="1" x14ac:dyDescent="0.65">
      <c r="A3" s="681" t="s">
        <v>239</v>
      </c>
      <c r="B3" s="682">
        <v>365</v>
      </c>
      <c r="D3" s="664" t="s">
        <v>354</v>
      </c>
      <c r="E3" s="626" t="s">
        <v>463</v>
      </c>
      <c r="F3" s="407">
        <f>F23</f>
        <v>8.184357541899441E-2</v>
      </c>
      <c r="G3" s="407">
        <f>F24</f>
        <v>0.10439351549477009</v>
      </c>
      <c r="H3" s="407">
        <f>F25</f>
        <v>0.37508699296718834</v>
      </c>
      <c r="I3" s="407">
        <f>F26</f>
        <v>5.7127712541887407E-2</v>
      </c>
      <c r="J3" s="407">
        <f>F27</f>
        <v>4.9420167115636432E-2</v>
      </c>
      <c r="K3" s="407">
        <f>F28</f>
        <v>0.3497319297676274</v>
      </c>
      <c r="L3" s="407">
        <f>F29</f>
        <v>-8.7077192872274389E-2</v>
      </c>
      <c r="M3" s="407"/>
      <c r="N3" s="407"/>
      <c r="O3" s="407"/>
    </row>
    <row r="4" spans="1:15" ht="33.75" customHeight="1" thickTop="1" thickBot="1" x14ac:dyDescent="0.65">
      <c r="A4" s="681" t="s">
        <v>25</v>
      </c>
      <c r="B4" s="682">
        <v>440</v>
      </c>
      <c r="D4" s="664" t="s">
        <v>354</v>
      </c>
      <c r="E4" s="626" t="s">
        <v>459</v>
      </c>
      <c r="F4" s="407">
        <f>I23</f>
        <v>0.50059019288563045</v>
      </c>
      <c r="G4" s="407">
        <f>I24</f>
        <v>0.83479265156430493</v>
      </c>
      <c r="H4" s="407">
        <f>I25</f>
        <v>0.59758392072528388</v>
      </c>
      <c r="I4" s="407">
        <f>I26</f>
        <v>0.58381044031338447</v>
      </c>
      <c r="J4" s="407">
        <f>I27</f>
        <v>0.62907355472582249</v>
      </c>
      <c r="K4" s="407">
        <f>I28</f>
        <v>0.36390444435803404</v>
      </c>
      <c r="L4" s="407">
        <f>I29</f>
        <v>0.37536011757265003</v>
      </c>
      <c r="M4" s="407"/>
      <c r="N4" s="407"/>
      <c r="O4" s="407"/>
    </row>
    <row r="5" spans="1:15" ht="33.75" customHeight="1" thickTop="1" thickBot="1" x14ac:dyDescent="0.65">
      <c r="A5" s="681" t="s">
        <v>470</v>
      </c>
      <c r="B5" s="682" t="s">
        <v>500</v>
      </c>
      <c r="D5" s="664" t="s">
        <v>354</v>
      </c>
      <c r="E5" s="626" t="s">
        <v>167</v>
      </c>
      <c r="F5" s="407">
        <f>K23</f>
        <v>1.0421525589234246</v>
      </c>
      <c r="G5" s="407">
        <f>K24</f>
        <v>0.82497101432676667</v>
      </c>
      <c r="H5" s="407">
        <f>K25</f>
        <v>1.2209988030545476</v>
      </c>
      <c r="I5" s="407">
        <f>K26</f>
        <v>0.65543439378138624</v>
      </c>
      <c r="J5" s="407">
        <f>K27</f>
        <v>0.74229167945558661</v>
      </c>
      <c r="K5" s="407">
        <f>K28</f>
        <v>0.85763842604338458</v>
      </c>
      <c r="L5" s="407">
        <f>K29</f>
        <v>0.36215086901739146</v>
      </c>
      <c r="M5" s="407"/>
      <c r="N5" s="407"/>
      <c r="O5" s="407"/>
    </row>
    <row r="6" spans="1:15" ht="33.75" customHeight="1" thickTop="1" thickBot="1" x14ac:dyDescent="0.65">
      <c r="A6" s="681" t="s">
        <v>31</v>
      </c>
      <c r="B6" s="682">
        <f>B2*B1</f>
        <v>39050000</v>
      </c>
      <c r="D6" s="664" t="s">
        <v>354</v>
      </c>
      <c r="E6" s="626" t="s">
        <v>460</v>
      </c>
      <c r="F6" s="407">
        <f>N23</f>
        <v>0.21861568104342663</v>
      </c>
      <c r="G6" s="407">
        <f>N24</f>
        <v>8.8289241118431949E-2</v>
      </c>
      <c r="H6" s="407">
        <f>N25</f>
        <v>0.15927276867746154</v>
      </c>
      <c r="I6" s="407">
        <f>N26</f>
        <v>-1.1556781461198656E-2</v>
      </c>
      <c r="J6" s="407">
        <f>N27</f>
        <v>-5.4897204755194043E-3</v>
      </c>
      <c r="K6" s="407">
        <f>N28</f>
        <v>4.0570405219044862E-2</v>
      </c>
      <c r="L6" s="407">
        <f>N29</f>
        <v>4.8123251795390155E-2</v>
      </c>
      <c r="M6" s="407"/>
      <c r="N6" s="407"/>
      <c r="O6" s="407"/>
    </row>
    <row r="7" spans="1:15" ht="33.75" customHeight="1" thickTop="1" thickBot="1" x14ac:dyDescent="0.65">
      <c r="A7" s="681" t="s">
        <v>30</v>
      </c>
      <c r="B7" s="682">
        <f>B1*B2*0.16</f>
        <v>6248000</v>
      </c>
      <c r="D7" s="664" t="s">
        <v>354</v>
      </c>
      <c r="E7" s="626" t="s">
        <v>461</v>
      </c>
      <c r="F7" s="407">
        <f>Q23</f>
        <v>0.15353685778108703</v>
      </c>
      <c r="G7" s="407">
        <f>Q24</f>
        <v>0.10850788510037702</v>
      </c>
      <c r="H7" s="407">
        <f>Q25</f>
        <v>8.1510189486408133E-2</v>
      </c>
      <c r="I7" s="407">
        <f>Q26</f>
        <v>6.3159651397260402E-2</v>
      </c>
      <c r="J7" s="407">
        <f>Q27</f>
        <v>-2.8998139831583804E-2</v>
      </c>
      <c r="K7" s="407">
        <f>Q28</f>
        <v>0.14758103340494788</v>
      </c>
      <c r="L7" s="407">
        <f>Q29</f>
        <v>-0.16844975968123241</v>
      </c>
      <c r="M7" s="407"/>
      <c r="N7" s="407"/>
      <c r="O7" s="407"/>
    </row>
    <row r="8" spans="1:15" ht="33.75" customHeight="1" thickTop="1" thickBot="1" x14ac:dyDescent="0.65">
      <c r="A8" s="681" t="s">
        <v>29</v>
      </c>
      <c r="B8" s="682">
        <f>B2*B1*0.23</f>
        <v>8981500</v>
      </c>
    </row>
    <row r="9" spans="1:15" ht="33.75" customHeight="1" thickTop="1" thickBot="1" x14ac:dyDescent="0.65">
      <c r="A9" s="681" t="s">
        <v>187</v>
      </c>
      <c r="B9" s="682">
        <f>B1*B2*0.5</f>
        <v>19525000</v>
      </c>
    </row>
    <row r="10" spans="1:15" ht="23.25" thickTop="1" x14ac:dyDescent="0.6">
      <c r="A10" s="706"/>
      <c r="B10" s="707"/>
    </row>
    <row r="12" spans="1:15" x14ac:dyDescent="0.6">
      <c r="A12" s="648" t="s">
        <v>338</v>
      </c>
      <c r="B12" s="648" t="s">
        <v>337</v>
      </c>
      <c r="C12" s="649" t="s">
        <v>443</v>
      </c>
      <c r="D12" s="649" t="s">
        <v>444</v>
      </c>
      <c r="E12" s="650" t="s">
        <v>451</v>
      </c>
      <c r="F12" s="650" t="s">
        <v>445</v>
      </c>
      <c r="G12" s="650" t="s">
        <v>446</v>
      </c>
      <c r="H12" s="650" t="s">
        <v>447</v>
      </c>
      <c r="I12" s="651" t="s">
        <v>448</v>
      </c>
      <c r="J12" s="651" t="s">
        <v>452</v>
      </c>
      <c r="K12" s="651" t="s">
        <v>449</v>
      </c>
      <c r="L12" s="650" t="s">
        <v>450</v>
      </c>
    </row>
    <row r="13" spans="1:15" x14ac:dyDescent="0.6">
      <c r="A13" s="652" t="s">
        <v>340</v>
      </c>
      <c r="B13" s="652" t="str">
        <f>VLOOKUP(A13,'دیده بان بازار'!A:W,2,0)</f>
        <v>فولاد مباركه اصفهان</v>
      </c>
      <c r="C13" s="666">
        <f>فولاد!B262</f>
        <v>1621.6338143006594</v>
      </c>
      <c r="D13" s="666"/>
      <c r="E13" s="666">
        <f>فولاد!B286</f>
        <v>7338.3064620108626</v>
      </c>
      <c r="F13" s="666">
        <f>فولاد!B265</f>
        <v>4500</v>
      </c>
      <c r="G13" s="866">
        <f>E13-F13</f>
        <v>2838.3064620108626</v>
      </c>
      <c r="H13" s="665" t="str">
        <f>VLOOKUP(A13,'دیده بان بازار'!A:W,17,0)</f>
        <v>4.1</v>
      </c>
      <c r="I13" s="665">
        <f>F13/C13</f>
        <v>2.7749791354348736</v>
      </c>
      <c r="J13" s="665">
        <f>F13/فولاد!I224</f>
        <v>1.3340375477828059</v>
      </c>
      <c r="K13" s="665">
        <f>F13/فولاد!H225</f>
        <v>1.9458273354314453</v>
      </c>
      <c r="L13" s="866">
        <f>فولاد!B263</f>
        <v>1209.2081692307693</v>
      </c>
    </row>
    <row r="14" spans="1:15" x14ac:dyDescent="0.6">
      <c r="A14" s="652" t="s">
        <v>341</v>
      </c>
      <c r="B14" s="652" t="str">
        <f>VLOOKUP(A14,'دیده بان بازار'!A:W,2,0)</f>
        <v>فولاد آلياژي ايران</v>
      </c>
      <c r="C14" s="666">
        <f>فولاژ!B168</f>
        <v>908.96466140735902</v>
      </c>
      <c r="D14" s="666"/>
      <c r="E14" s="666">
        <f>فولاژ!B192</f>
        <v>4340.8116037384862</v>
      </c>
      <c r="F14" s="666">
        <f>فولاژ!B171</f>
        <v>6637</v>
      </c>
      <c r="G14" s="866">
        <f>E14-F14</f>
        <v>-2296.1883962615138</v>
      </c>
      <c r="H14" s="665" t="str">
        <f>VLOOKUP(A14,'دیده بان بازار'!A:W,17,0)</f>
        <v>7.69</v>
      </c>
      <c r="I14" s="665">
        <f>F14/C14</f>
        <v>7.3017140069272513</v>
      </c>
      <c r="J14" s="665">
        <f>F14/فولاژ!I138</f>
        <v>1.4219178219481596</v>
      </c>
      <c r="K14" s="665">
        <f>F14/فولاژ!H139</f>
        <v>3.429904546922045</v>
      </c>
      <c r="L14" s="866">
        <f>فولاژ!B170</f>
        <v>847.9734545454545</v>
      </c>
    </row>
    <row r="15" spans="1:15" x14ac:dyDescent="0.6">
      <c r="A15" s="652" t="s">
        <v>3197</v>
      </c>
      <c r="B15" s="652" t="str">
        <f>VLOOKUP(A15,'دیده بان بازار'!A:W,2,0)</f>
        <v>فولاد كاوه جنوب كيش</v>
      </c>
      <c r="C15" s="666">
        <f>کاوه!B184</f>
        <v>1013.2512190434801</v>
      </c>
      <c r="D15" s="666"/>
      <c r="E15" s="666">
        <f>کاوه!B208</f>
        <v>4838.8378953216097</v>
      </c>
      <c r="F15" s="666">
        <f>کاوه!B187</f>
        <v>5799</v>
      </c>
      <c r="G15" s="866">
        <f>E15-F15</f>
        <v>-960.16210467839028</v>
      </c>
      <c r="H15" s="665" t="str">
        <f>VLOOKUP(A15,'دیده بان بازار'!A:W,17,0)</f>
        <v>7.78</v>
      </c>
      <c r="I15" s="665">
        <f>F15/C15</f>
        <v>5.7231611381374083</v>
      </c>
      <c r="J15" s="665">
        <f>F15/کاوه!I156</f>
        <v>1.4414567452629969</v>
      </c>
      <c r="K15" s="665">
        <f>F15/کاوه!H157</f>
        <v>3.1281257535093396</v>
      </c>
      <c r="L15" s="866">
        <f>کاوه!B186</f>
        <v>1269.8444285714286</v>
      </c>
    </row>
    <row r="16" spans="1:15" x14ac:dyDescent="0.6">
      <c r="A16" s="652" t="s">
        <v>343</v>
      </c>
      <c r="B16" s="652" t="str">
        <f>VLOOKUP(A16,'دیده بان بازار'!A:W,2,0)</f>
        <v>فولاد هرمزگان جنوب</v>
      </c>
      <c r="C16" s="666">
        <f>هرمز!B163</f>
        <v>664.70803914079568</v>
      </c>
      <c r="D16" s="666"/>
      <c r="E16" s="666">
        <f>هرمز!B187</f>
        <v>3192.5080910647016</v>
      </c>
      <c r="F16" s="666">
        <f>هرمز!B166</f>
        <v>6042</v>
      </c>
      <c r="G16" s="866">
        <f t="shared" ref="G16:G19" si="0">E16-F16</f>
        <v>-2849.4919089352984</v>
      </c>
      <c r="H16" s="665" t="str">
        <f>VLOOKUP(A16,'دیده بان بازار'!A:W,17,0)</f>
        <v>4.94</v>
      </c>
      <c r="I16" s="665">
        <f t="shared" ref="I16:I19" si="1">F16/C16</f>
        <v>9.089705019680391</v>
      </c>
      <c r="J16" s="665">
        <f>پنل!F16/هرمز!I138</f>
        <v>1.5690205680349674</v>
      </c>
      <c r="K16" s="665">
        <f>F16/هرمز!H139</f>
        <v>2.6001901641889695</v>
      </c>
      <c r="L16" s="866">
        <f>هرمز!B165</f>
        <v>1250.6852666666666</v>
      </c>
    </row>
    <row r="17" spans="1:17" x14ac:dyDescent="0.6">
      <c r="A17" s="652" t="s">
        <v>344</v>
      </c>
      <c r="B17" s="652" t="str">
        <f>VLOOKUP(A17,'دیده بان بازار'!A:W,2,0)</f>
        <v>فولاد  خوزستان</v>
      </c>
      <c r="C17" s="666">
        <f>فخوز!B257</f>
        <v>1864.811289997743</v>
      </c>
      <c r="D17" s="666"/>
      <c r="E17" s="666">
        <f>فخوز!B280</f>
        <v>8983.6365246096957</v>
      </c>
      <c r="F17" s="666">
        <f>فخوز!B259</f>
        <v>8870</v>
      </c>
      <c r="G17" s="866">
        <f t="shared" si="0"/>
        <v>113.6365246096957</v>
      </c>
      <c r="H17" s="665" t="str">
        <f>VLOOKUP(A17,'دیده بان بازار'!A:W,17,0)</f>
        <v>4.46</v>
      </c>
      <c r="I17" s="665">
        <f t="shared" si="1"/>
        <v>4.7565134593381488</v>
      </c>
      <c r="J17" s="665">
        <f>F17/فخوز!I225</f>
        <v>1.1354469771106468</v>
      </c>
      <c r="K17" s="665">
        <f>F17/فخوز!H226</f>
        <v>3.6374992581274652</v>
      </c>
      <c r="L17" s="866">
        <f>فخوز!B258</f>
        <v>1336.1891892133094</v>
      </c>
    </row>
    <row r="18" spans="1:17" x14ac:dyDescent="0.6">
      <c r="A18" s="652" t="s">
        <v>336</v>
      </c>
      <c r="B18" s="652" t="str">
        <f>VLOOKUP(A18,'دیده بان بازار'!A:W,2,0)</f>
        <v>سهامي ذوب آهن  اصفهان</v>
      </c>
      <c r="C18" s="666">
        <f>ذوب!B221</f>
        <v>712.58834371509738</v>
      </c>
      <c r="D18" s="666"/>
      <c r="E18" s="666">
        <f>ذوب!B250</f>
        <v>3020.1107701612814</v>
      </c>
      <c r="F18" s="666">
        <f>ذوب!B229</f>
        <v>1866</v>
      </c>
      <c r="G18" s="866">
        <f t="shared" si="0"/>
        <v>1154.1107701612814</v>
      </c>
      <c r="H18" s="665" t="str">
        <f>VLOOKUP(A18,'دیده بان بازار'!A:W,17,0)</f>
        <v>12.01</v>
      </c>
      <c r="I18" s="665">
        <f t="shared" si="1"/>
        <v>2.6186226823070973</v>
      </c>
      <c r="J18" s="665">
        <f>F18/ذوب!I185</f>
        <v>1.2204924056146522</v>
      </c>
      <c r="K18" s="665">
        <f>F18/ذوب!H186</f>
        <v>2.1952810642974194</v>
      </c>
      <c r="L18" s="866">
        <f>ذوب!B228</f>
        <v>-162.40236191936859</v>
      </c>
    </row>
    <row r="19" spans="1:17" x14ac:dyDescent="0.6">
      <c r="A19" s="652" t="s">
        <v>345</v>
      </c>
      <c r="B19" s="652" t="str">
        <f>VLOOKUP(A19,'دیده بان بازار'!A:W,2,0)</f>
        <v>شركت آهن و فولاد ارفع</v>
      </c>
      <c r="C19" s="666">
        <f>ارفع!B201</f>
        <v>1120.4152014426936</v>
      </c>
      <c r="D19" s="666"/>
      <c r="E19" s="666">
        <f>ارفع!B225</f>
        <v>5939.6958133617554</v>
      </c>
      <c r="F19" s="666">
        <f>ارفع!B204</f>
        <v>4618</v>
      </c>
      <c r="G19" s="866">
        <f t="shared" si="0"/>
        <v>1321.6958133617554</v>
      </c>
      <c r="H19" s="665" t="str">
        <f>VLOOKUP(A19,'دیده بان بازار'!A:W,17,0)</f>
        <v>5.38</v>
      </c>
      <c r="I19" s="665">
        <f t="shared" si="1"/>
        <v>4.1216863124078191</v>
      </c>
      <c r="J19" s="665">
        <f>F19/ارفع!I175</f>
        <v>0.84153698608135019</v>
      </c>
      <c r="K19" s="665">
        <f>F19/ارفع!H176</f>
        <v>2.9956877794469738</v>
      </c>
      <c r="L19" s="866">
        <f>ارفع!B203</f>
        <v>454.053</v>
      </c>
    </row>
    <row r="22" spans="1:17" x14ac:dyDescent="0.6">
      <c r="A22" s="626" t="s">
        <v>338</v>
      </c>
      <c r="B22" s="626" t="s">
        <v>337</v>
      </c>
      <c r="C22" s="624" t="s">
        <v>365</v>
      </c>
      <c r="D22" s="624" t="s">
        <v>339</v>
      </c>
      <c r="E22" s="623" t="s">
        <v>366</v>
      </c>
      <c r="F22" s="623" t="s">
        <v>339</v>
      </c>
      <c r="G22" s="91" t="s">
        <v>367</v>
      </c>
      <c r="H22" s="91" t="s">
        <v>516</v>
      </c>
      <c r="I22" s="91" t="s">
        <v>339</v>
      </c>
      <c r="J22" s="625" t="s">
        <v>456</v>
      </c>
      <c r="K22" s="625" t="s">
        <v>339</v>
      </c>
      <c r="L22" s="660" t="s">
        <v>454</v>
      </c>
      <c r="M22" s="660" t="s">
        <v>455</v>
      </c>
      <c r="N22" s="660" t="s">
        <v>284</v>
      </c>
      <c r="O22" s="662" t="s">
        <v>457</v>
      </c>
      <c r="P22" s="662" t="s">
        <v>458</v>
      </c>
      <c r="Q22" s="662" t="s">
        <v>284</v>
      </c>
    </row>
    <row r="23" spans="1:17" x14ac:dyDescent="0.6">
      <c r="A23" s="626" t="s">
        <v>340</v>
      </c>
      <c r="B23" s="626" t="str">
        <f>VLOOKUP(A23,'دیده بان بازار'!A:W,2,0)</f>
        <v>فولاد مباركه اصفهان</v>
      </c>
      <c r="C23" s="653">
        <f>فولاد!N333</f>
        <v>4111</v>
      </c>
      <c r="D23" s="654">
        <f>(فولاد!N333-فولاد!O333)/فولاد!O333</f>
        <v>0.12691885964912281</v>
      </c>
      <c r="E23" s="655">
        <f>فولاد!N340</f>
        <v>3873</v>
      </c>
      <c r="F23" s="656">
        <f>(فولاد!N340-فولاد!O340)/فولاد!O340</f>
        <v>8.184357541899441E-2</v>
      </c>
      <c r="G23" s="657">
        <f>فولاد!G343/1000</f>
        <v>50781768.115999997</v>
      </c>
      <c r="H23" s="657">
        <f>فولاد!AD343/1000</f>
        <v>33841196.854916669</v>
      </c>
      <c r="I23" s="246">
        <f t="shared" ref="I23:I29" si="2">(G23-H23)/H23</f>
        <v>0.50059019288563045</v>
      </c>
      <c r="J23" s="658">
        <f>فولاد!N353</f>
        <v>200337490</v>
      </c>
      <c r="K23" s="659">
        <f>(فولاد!N353-فولاد!O353)/فولاد!O353</f>
        <v>1.0421525589234246</v>
      </c>
      <c r="L23" s="709">
        <f>AVERAGE(فولاد!B333:M333)*1000</f>
        <v>685166.66666666663</v>
      </c>
      <c r="M23" s="709">
        <f>AVERAGE(فولاد!R333:AC333)*1000</f>
        <v>562250</v>
      </c>
      <c r="N23" s="661">
        <f t="shared" ref="N23:N29" si="3">(L23-M23)/M23</f>
        <v>0.21861568104342663</v>
      </c>
      <c r="O23" s="710">
        <f>AVERAGE(فولاد!B340:M340)</f>
        <v>645.5</v>
      </c>
      <c r="P23" s="710">
        <f>AVERAGE(فولاد!R340:AC340)</f>
        <v>559.58333333333337</v>
      </c>
      <c r="Q23" s="663">
        <f t="shared" ref="Q23:Q29" si="4">(O23-P23)/P23</f>
        <v>0.15353685778108703</v>
      </c>
    </row>
    <row r="24" spans="1:17" x14ac:dyDescent="0.6">
      <c r="A24" s="626" t="s">
        <v>341</v>
      </c>
      <c r="B24" s="626" t="str">
        <f>VLOOKUP(A24,'دیده بان بازار'!A:W,2,0)</f>
        <v>فولاد آلياژي ايران</v>
      </c>
      <c r="C24" s="653">
        <f>فولاژ!N244</f>
        <v>228433</v>
      </c>
      <c r="D24" s="654">
        <f>(فولاژ!N244-فولاژ!O244)/فولاژ!O244</f>
        <v>8.2348983430702238E-2</v>
      </c>
      <c r="E24" s="655">
        <f>فولاژ!N250</f>
        <v>226584</v>
      </c>
      <c r="F24" s="656">
        <f>(فولاژ!N250-فولاژ!O250)/فولاژ!O250</f>
        <v>0.10439351549477009</v>
      </c>
      <c r="G24" s="657">
        <f>فولاژ!P147</f>
        <v>70865688</v>
      </c>
      <c r="H24" s="657">
        <f>فولاژ!AD253</f>
        <v>38623267.833333336</v>
      </c>
      <c r="I24" s="246">
        <f t="shared" si="2"/>
        <v>0.83479265156430493</v>
      </c>
      <c r="J24" s="658">
        <f>فولاژ!N261</f>
        <v>13703492</v>
      </c>
      <c r="K24" s="659">
        <f>(فولاژ!N261-فولاژ!O261)/فولاژ!O261</f>
        <v>0.82497101432676667</v>
      </c>
      <c r="L24" s="709">
        <f>AVERAGE(فولاژ!B244:M244)</f>
        <v>38072.166666666664</v>
      </c>
      <c r="M24" s="709">
        <f>AVERAGE(فولاژ!R244:AC244)</f>
        <v>34983.5</v>
      </c>
      <c r="N24" s="661">
        <f t="shared" si="3"/>
        <v>8.8289241118431949E-2</v>
      </c>
      <c r="O24" s="710">
        <f>AVERAGE(فولاژ!B250:M250)</f>
        <v>37764</v>
      </c>
      <c r="P24" s="710">
        <f>AVERAGE(فولاژ!R250:AC250)</f>
        <v>34067.416666666664</v>
      </c>
      <c r="Q24" s="663">
        <f t="shared" si="4"/>
        <v>0.10850788510037702</v>
      </c>
    </row>
    <row r="25" spans="1:17" x14ac:dyDescent="0.6">
      <c r="A25" s="626" t="s">
        <v>3197</v>
      </c>
      <c r="B25" s="626" t="str">
        <f>VLOOKUP(A25,'دیده بان بازار'!A:W,2,0)</f>
        <v>فولاد كاوه جنوب كيش</v>
      </c>
      <c r="C25" s="653">
        <f>کاوه!N250</f>
        <v>590515</v>
      </c>
      <c r="D25" s="654">
        <f>(کاوه!N250-کاوه!O250)/کاوه!O250</f>
        <v>0.23245286326695022</v>
      </c>
      <c r="E25" s="655">
        <f>کاوه!N259</f>
        <v>618444</v>
      </c>
      <c r="F25" s="656">
        <f>(کاوه!N259-کاوه!O259)/کاوه!O259</f>
        <v>0.37508699296718834</v>
      </c>
      <c r="G25" s="657">
        <f>کاوه!N263</f>
        <v>42693103.666666664</v>
      </c>
      <c r="H25" s="657">
        <f>کاوه!AD264</f>
        <v>26723543.666666668</v>
      </c>
      <c r="I25" s="246">
        <f t="shared" si="2"/>
        <v>0.59758392072528388</v>
      </c>
      <c r="J25" s="658">
        <f>کاوه!N273</f>
        <v>26044578</v>
      </c>
      <c r="K25" s="659">
        <f>(کاوه!N273-کاوه!O273)/کاوه!O273</f>
        <v>1.2209988030545476</v>
      </c>
      <c r="L25" s="709">
        <f>AVERAGE(کاوه!B250:M250)</f>
        <v>98419.166666666672</v>
      </c>
      <c r="M25" s="709">
        <f>AVERAGE(کاوه!R250:AC250)</f>
        <v>84897.333333333328</v>
      </c>
      <c r="N25" s="661">
        <f t="shared" si="3"/>
        <v>0.15927276867746154</v>
      </c>
      <c r="O25" s="710">
        <f>AVERAGE(کاوه!B259:M259)</f>
        <v>110646.33333333333</v>
      </c>
      <c r="P25" s="710">
        <f>AVERAGE(کاوه!R260:AC260)</f>
        <v>102307.25</v>
      </c>
      <c r="Q25" s="663">
        <f t="shared" si="4"/>
        <v>8.1510189486408133E-2</v>
      </c>
    </row>
    <row r="26" spans="1:17" x14ac:dyDescent="0.6">
      <c r="A26" s="626" t="s">
        <v>343</v>
      </c>
      <c r="B26" s="626" t="str">
        <f>VLOOKUP(A26,'دیده بان بازار'!A:W,2,0)</f>
        <v>فولاد هرمزگان جنوب</v>
      </c>
      <c r="C26" s="653">
        <f>هرمز!N233</f>
        <v>970955</v>
      </c>
      <c r="D26" s="654">
        <f>(هرمز!N233-هرمز!O233)/هرمز!O233</f>
        <v>0.17912189600901565</v>
      </c>
      <c r="E26" s="655">
        <f>هرمز!N238</f>
        <v>755859</v>
      </c>
      <c r="F26" s="656">
        <f>(هرمز!N238-هرمز!O238)/هرمز!O238</f>
        <v>5.7127712541887407E-2</v>
      </c>
      <c r="G26" s="657">
        <f>هرمز!N241</f>
        <v>37656673.333333336</v>
      </c>
      <c r="H26" s="657">
        <f>هرمز!AD241</f>
        <v>23775997.666666668</v>
      </c>
      <c r="I26" s="246">
        <f t="shared" si="2"/>
        <v>0.58381044031338447</v>
      </c>
      <c r="J26" s="658">
        <f>هرمز!N248</f>
        <v>27197130</v>
      </c>
      <c r="K26" s="659">
        <f>(هرمز!N248-هرمز!O248)/هرمز!O248</f>
        <v>0.65543439378138624</v>
      </c>
      <c r="L26" s="709">
        <f>AVERAGE(هرمز!C231:M231)</f>
        <v>118734.6</v>
      </c>
      <c r="M26" s="709">
        <f>AVERAGE(هرمز!R231:AC231)</f>
        <v>120122.83333333333</v>
      </c>
      <c r="N26" s="661">
        <f t="shared" si="3"/>
        <v>-1.1556781461198656E-2</v>
      </c>
      <c r="O26" s="710">
        <f>AVERAGE(هرمز!B236:M236)</f>
        <v>121574.16666666667</v>
      </c>
      <c r="P26" s="710">
        <f>AVERAGE(هرمز!R236:AC236)</f>
        <v>114351.75</v>
      </c>
      <c r="Q26" s="663">
        <f t="shared" si="4"/>
        <v>6.3159651397260402E-2</v>
      </c>
    </row>
    <row r="27" spans="1:17" x14ac:dyDescent="0.6">
      <c r="A27" s="626" t="s">
        <v>344</v>
      </c>
      <c r="B27" s="626" t="str">
        <f>VLOOKUP(A27,'دیده بان بازار'!A:W,2,0)</f>
        <v>فولاد  خوزستان</v>
      </c>
      <c r="C27" s="653">
        <f>فخوز!N329</f>
        <v>1900807</v>
      </c>
      <c r="D27" s="654">
        <f>(فخوز!N329-فخوز!O329)/فخوز!O329</f>
        <v>-4.6624855802789005E-3</v>
      </c>
      <c r="E27" s="655">
        <f>فخوز!N338</f>
        <v>1973931</v>
      </c>
      <c r="F27" s="656">
        <f>(فخوز!N338-فخوز!O338)/فخوز!O338</f>
        <v>4.9420167115636432E-2</v>
      </c>
      <c r="G27" s="657">
        <f>فخوز!N343</f>
        <v>41484204.666666664</v>
      </c>
      <c r="H27" s="657">
        <f>فخوز!AD343</f>
        <v>25464905.833333332</v>
      </c>
      <c r="I27" s="246">
        <f t="shared" si="2"/>
        <v>0.62907355472582249</v>
      </c>
      <c r="J27" s="658">
        <f>فخوز!N356</f>
        <v>79470105</v>
      </c>
      <c r="K27" s="659">
        <f>(فخوز!N356-فخوز!O356)/فخوز!O356</f>
        <v>0.74229167945558661</v>
      </c>
      <c r="L27" s="709">
        <f>AVERAGE(فخوز!B329:M329)</f>
        <v>316801.16666666669</v>
      </c>
      <c r="M27" s="709">
        <f>AVERAGE(فخوز!R328:AC328)</f>
        <v>318549.91666666669</v>
      </c>
      <c r="N27" s="661">
        <f t="shared" si="3"/>
        <v>-5.4897204755194043E-3</v>
      </c>
      <c r="O27" s="710">
        <f>AVERAGE(فخوز!B338:M338)</f>
        <v>347562.83333333331</v>
      </c>
      <c r="P27" s="710">
        <f>AVERAGE(فخوز!R337:AC337)</f>
        <v>357942.5</v>
      </c>
      <c r="Q27" s="663">
        <f t="shared" si="4"/>
        <v>-2.8998139831583804E-2</v>
      </c>
    </row>
    <row r="28" spans="1:17" x14ac:dyDescent="0.6">
      <c r="A28" s="626" t="s">
        <v>336</v>
      </c>
      <c r="B28" s="626" t="str">
        <f>VLOOKUP(A28,'دیده بان بازار'!A:W,2,0)</f>
        <v>سهامي ذوب آهن  اصفهان</v>
      </c>
      <c r="C28" s="653">
        <f>ذوب!N300</f>
        <v>1137101</v>
      </c>
      <c r="D28" s="654">
        <f>(ذوب!N300-ذوب!O300)/ذوب!O300</f>
        <v>5.444710892018257E-2</v>
      </c>
      <c r="E28" s="655">
        <f>ذوب!N310</f>
        <v>1197825</v>
      </c>
      <c r="F28" s="656">
        <f>(ذوب!N310-ذوب!O310)/ذوب!O310</f>
        <v>0.3497319297676274</v>
      </c>
      <c r="G28" s="657">
        <f>ذوب!N313</f>
        <v>40202484</v>
      </c>
      <c r="H28" s="657">
        <f>ذوب!AD313</f>
        <v>29476026.833333332</v>
      </c>
      <c r="I28" s="246">
        <f t="shared" si="2"/>
        <v>0.36390444435803404</v>
      </c>
      <c r="J28" s="658">
        <f>ذوب!N330</f>
        <v>51743714</v>
      </c>
      <c r="K28" s="659">
        <f>(ذوب!N330-ذوب!O330)/ذوب!O330</f>
        <v>0.85763842604338458</v>
      </c>
      <c r="L28" s="709">
        <f>AVERAGE(ذوب!B300:M300)</f>
        <v>189516.83333333334</v>
      </c>
      <c r="M28" s="709">
        <f>AVERAGE(ذوب!R300:AC300)</f>
        <v>182127.83333333334</v>
      </c>
      <c r="N28" s="661">
        <f t="shared" si="3"/>
        <v>4.0570405219044862E-2</v>
      </c>
      <c r="O28" s="710">
        <f>AVERAGE(ذوب!B310:G310)</f>
        <v>199637.5</v>
      </c>
      <c r="P28" s="710">
        <f>AVERAGE(ذوب!R310:AC310)</f>
        <v>173963.75</v>
      </c>
      <c r="Q28" s="663">
        <f t="shared" si="4"/>
        <v>0.14758103340494788</v>
      </c>
    </row>
    <row r="29" spans="1:17" x14ac:dyDescent="0.6">
      <c r="A29" s="626" t="s">
        <v>345</v>
      </c>
      <c r="B29" s="626" t="str">
        <f>VLOOKUP(A29,'دیده بان بازار'!A:W,2,0)</f>
        <v>شركت آهن و فولاد ارفع</v>
      </c>
      <c r="C29" s="653">
        <f>ارفع!N268</f>
        <v>447034</v>
      </c>
      <c r="D29" s="654">
        <f>(ارفع!N268-ارفع!O268)/ارفع!O268</f>
        <v>8.5321116508979319E-2</v>
      </c>
      <c r="E29" s="655">
        <f>ارفع!N275</f>
        <v>377940</v>
      </c>
      <c r="F29" s="656">
        <f>(ارفع!N275-ارفع!O275)/ارفع!O275</f>
        <v>-8.7077192872274389E-2</v>
      </c>
      <c r="G29" s="657">
        <f>ارفع!N279</f>
        <v>36840774.333333336</v>
      </c>
      <c r="H29" s="657">
        <f>ارفع!AD279</f>
        <v>26786275</v>
      </c>
      <c r="I29" s="246">
        <f t="shared" si="2"/>
        <v>0.37536011757265003</v>
      </c>
      <c r="J29" s="658">
        <f>ارفع!N286</f>
        <v>14463668</v>
      </c>
      <c r="K29" s="659">
        <f>(ارفع!N286-ارفع!O286)/ارفع!O286</f>
        <v>0.36215086901739146</v>
      </c>
      <c r="L29" s="709">
        <f>AVERAGE(ارفع!B268:M268)</f>
        <v>74505.666666666672</v>
      </c>
      <c r="M29" s="709">
        <f>AVERAGE(ارفع!R268:AC268)</f>
        <v>71084.833333333328</v>
      </c>
      <c r="N29" s="661">
        <f t="shared" si="3"/>
        <v>4.8123251795390155E-2</v>
      </c>
      <c r="O29" s="710">
        <f>AVERAGE(ارفع!B275:M275)</f>
        <v>62990</v>
      </c>
      <c r="P29" s="710">
        <f>AVERAGE(ارفع!R275:AC275)</f>
        <v>75750.083333333328</v>
      </c>
      <c r="Q29" s="663">
        <f t="shared" si="4"/>
        <v>-0.16844975968123241</v>
      </c>
    </row>
  </sheetData>
  <conditionalFormatting sqref="D23:D29"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F23:F29">
    <cfRule type="cellIs" dxfId="23" priority="26" operator="lessThan">
      <formula>0</formula>
    </cfRule>
    <cfRule type="cellIs" dxfId="22" priority="27" operator="greaterThan">
      <formula>0</formula>
    </cfRule>
  </conditionalFormatting>
  <conditionalFormatting sqref="I23:I29"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K23:K29">
    <cfRule type="cellIs" dxfId="19" priority="22" operator="lessThan">
      <formula>0</formula>
    </cfRule>
    <cfRule type="cellIs" dxfId="18" priority="23" operator="greaterThan">
      <formula>0</formula>
    </cfRule>
  </conditionalFormatting>
  <conditionalFormatting sqref="N23:N29">
    <cfRule type="cellIs" dxfId="17" priority="20" operator="lessThan">
      <formula>0</formula>
    </cfRule>
    <cfRule type="cellIs" dxfId="16" priority="21" operator="greaterThan">
      <formula>0</formula>
    </cfRule>
  </conditionalFormatting>
  <conditionalFormatting sqref="Q23:Q29"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F2:O7">
    <cfRule type="cellIs" dxfId="13" priority="16" operator="lessThan">
      <formula>0</formula>
    </cfRule>
    <cfRule type="cellIs" dxfId="12" priority="17" operator="greaterThan">
      <formula>0</formula>
    </cfRule>
  </conditionalFormatting>
  <conditionalFormatting sqref="E13">
    <cfRule type="cellIs" dxfId="11" priority="11" operator="lessThan">
      <formula>$F$13</formula>
    </cfRule>
    <cfRule type="cellIs" dxfId="10" priority="12" operator="greaterThan">
      <formula>$F$13</formula>
    </cfRule>
  </conditionalFormatting>
  <conditionalFormatting sqref="E14">
    <cfRule type="cellIs" dxfId="9" priority="9" operator="lessThan">
      <formula>$F$14</formula>
    </cfRule>
    <cfRule type="cellIs" dxfId="8" priority="10" operator="greaterThan">
      <formula>$F$14</formula>
    </cfRule>
  </conditionalFormatting>
  <conditionalFormatting sqref="G13:G1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E15">
    <cfRule type="cellIs" dxfId="5" priority="5" operator="lessThan">
      <formula>$F$15</formula>
    </cfRule>
    <cfRule type="cellIs" dxfId="4" priority="6" operator="greaterThan">
      <formula>$F$15</formula>
    </cfRule>
  </conditionalFormatting>
  <conditionalFormatting sqref="E16:E19">
    <cfRule type="cellIs" dxfId="3" priority="3" operator="lessThan">
      <formula>$F$19</formula>
    </cfRule>
    <cfRule type="cellIs" dxfId="2" priority="4" operator="greaterThan">
      <formula>$F$19</formula>
    </cfRule>
  </conditionalFormatting>
  <conditionalFormatting sqref="F2:L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horizontalDpi="200" verticalDpi="200" r:id="rId1"/>
  <ignoredErrors>
    <ignoredError sqref="L26:M26 M29 P2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0"/>
  <sheetViews>
    <sheetView rightToLeft="1" topLeftCell="A10" zoomScale="175" zoomScaleNormal="175" workbookViewId="0">
      <selection activeCell="B22" sqref="B22"/>
    </sheetView>
  </sheetViews>
  <sheetFormatPr defaultRowHeight="15" x14ac:dyDescent="0.25"/>
  <cols>
    <col min="1" max="1" width="23.140625" style="620" customWidth="1"/>
    <col min="2" max="2" width="29.42578125" style="620" customWidth="1"/>
    <col min="3" max="3" width="6.28515625" style="620" customWidth="1"/>
    <col min="4" max="4" width="12.7109375" style="620" bestFit="1" customWidth="1"/>
    <col min="5" max="5" width="17" style="620" bestFit="1" customWidth="1"/>
    <col min="6" max="8" width="8.5703125" style="620" customWidth="1"/>
    <col min="9" max="9" width="7.7109375" style="620" customWidth="1"/>
    <col min="10" max="10" width="8" style="620" customWidth="1"/>
    <col min="11" max="11" width="8.5703125" style="620" customWidth="1"/>
    <col min="12" max="12" width="7.7109375" style="620" customWidth="1"/>
    <col min="13" max="13" width="8" style="620" customWidth="1"/>
    <col min="14" max="14" width="8.5703125" style="620" customWidth="1"/>
    <col min="15" max="15" width="8" style="620" customWidth="1"/>
    <col min="16" max="16" width="6.7109375" style="620" customWidth="1"/>
    <col min="17" max="17" width="8.28515625" style="620" customWidth="1"/>
    <col min="18" max="18" width="5.7109375" style="620" customWidth="1"/>
    <col min="19" max="19" width="9" style="620" customWidth="1"/>
    <col min="20" max="20" width="8" style="620" customWidth="1"/>
    <col min="21" max="22" width="9" style="620" customWidth="1"/>
    <col min="23" max="23" width="5.7109375" style="620" customWidth="1"/>
    <col min="24" max="16384" width="9.140625" style="620"/>
  </cols>
  <sheetData>
    <row r="1" spans="1:23" x14ac:dyDescent="0.25">
      <c r="A1" s="620">
        <v>1</v>
      </c>
      <c r="B1" s="620">
        <v>2</v>
      </c>
      <c r="C1" s="620">
        <v>3</v>
      </c>
      <c r="D1" s="620">
        <v>4</v>
      </c>
      <c r="E1" s="620">
        <v>5</v>
      </c>
      <c r="F1" s="620">
        <v>6</v>
      </c>
      <c r="G1" s="620">
        <v>7</v>
      </c>
      <c r="H1" s="620">
        <v>8</v>
      </c>
      <c r="I1" s="620">
        <v>9</v>
      </c>
      <c r="J1" s="620">
        <v>10</v>
      </c>
      <c r="K1" s="620">
        <v>11</v>
      </c>
      <c r="L1" s="620">
        <v>12</v>
      </c>
      <c r="M1" s="620">
        <v>13</v>
      </c>
      <c r="N1" s="620">
        <v>14</v>
      </c>
      <c r="O1" s="620">
        <v>15</v>
      </c>
      <c r="P1" s="620">
        <v>16</v>
      </c>
      <c r="Q1" s="620">
        <v>17</v>
      </c>
      <c r="R1" s="620">
        <v>18</v>
      </c>
      <c r="S1" s="620">
        <v>19</v>
      </c>
      <c r="T1" s="620">
        <v>20</v>
      </c>
      <c r="U1" s="620">
        <v>21</v>
      </c>
      <c r="V1" s="620">
        <v>22</v>
      </c>
      <c r="W1" s="620">
        <v>23</v>
      </c>
    </row>
    <row r="2" spans="1:23" x14ac:dyDescent="0.25">
      <c r="B2" s="621"/>
      <c r="C2" s="622"/>
      <c r="D2" s="622"/>
      <c r="E2" s="622"/>
      <c r="F2" s="622"/>
      <c r="G2" s="622"/>
      <c r="H2" s="622" t="s">
        <v>517</v>
      </c>
      <c r="I2" s="622"/>
      <c r="J2" s="622"/>
      <c r="K2" s="622" t="s">
        <v>518</v>
      </c>
      <c r="L2" s="622"/>
      <c r="M2" s="622"/>
      <c r="N2" s="622"/>
    </row>
    <row r="3" spans="1:23" x14ac:dyDescent="0.25">
      <c r="A3" s="620" t="s">
        <v>338</v>
      </c>
      <c r="B3" s="621" t="s">
        <v>519</v>
      </c>
      <c r="C3" s="622" t="s">
        <v>520</v>
      </c>
      <c r="D3" s="622" t="s">
        <v>521</v>
      </c>
      <c r="E3" s="622" t="s">
        <v>522</v>
      </c>
      <c r="F3" s="622" t="s">
        <v>523</v>
      </c>
      <c r="G3" s="622" t="s">
        <v>524</v>
      </c>
      <c r="H3" s="622" t="s">
        <v>525</v>
      </c>
      <c r="I3" s="622" t="s">
        <v>526</v>
      </c>
      <c r="J3" s="622" t="s">
        <v>159</v>
      </c>
      <c r="K3" s="622" t="s">
        <v>525</v>
      </c>
      <c r="L3" s="622" t="s">
        <v>526</v>
      </c>
      <c r="M3" s="622" t="s">
        <v>159</v>
      </c>
      <c r="N3" s="622" t="s">
        <v>37</v>
      </c>
      <c r="O3" s="620" t="s">
        <v>38</v>
      </c>
      <c r="P3" s="620" t="s">
        <v>527</v>
      </c>
      <c r="Q3" s="620" t="s">
        <v>5</v>
      </c>
    </row>
    <row r="4" spans="1:23" x14ac:dyDescent="0.25">
      <c r="A4" s="620" t="s">
        <v>528</v>
      </c>
      <c r="B4" s="621" t="s">
        <v>529</v>
      </c>
      <c r="C4" s="622" t="s">
        <v>530</v>
      </c>
      <c r="D4" s="622" t="s">
        <v>531</v>
      </c>
      <c r="E4" s="622" t="s">
        <v>532</v>
      </c>
      <c r="F4" s="622" t="s">
        <v>533</v>
      </c>
      <c r="G4" s="622" t="s">
        <v>534</v>
      </c>
      <c r="H4" s="622" t="s">
        <v>535</v>
      </c>
      <c r="I4" s="622" t="s">
        <v>536</v>
      </c>
      <c r="J4" s="622" t="s">
        <v>537</v>
      </c>
      <c r="K4" s="622" t="s">
        <v>538</v>
      </c>
      <c r="L4" s="622" t="s">
        <v>539</v>
      </c>
      <c r="M4" s="622" t="s">
        <v>540</v>
      </c>
      <c r="N4" s="622" t="s">
        <v>541</v>
      </c>
      <c r="O4" s="620" t="s">
        <v>542</v>
      </c>
      <c r="P4" s="620" t="s">
        <v>543</v>
      </c>
      <c r="Q4" s="620" t="s">
        <v>544</v>
      </c>
      <c r="R4" s="620" t="s">
        <v>545</v>
      </c>
      <c r="S4" s="620" t="s">
        <v>546</v>
      </c>
      <c r="T4" s="620" t="s">
        <v>547</v>
      </c>
      <c r="U4" s="620" t="s">
        <v>548</v>
      </c>
      <c r="V4" s="620" t="s">
        <v>549</v>
      </c>
      <c r="W4" s="620" t="s">
        <v>550</v>
      </c>
    </row>
    <row r="5" spans="1:23" x14ac:dyDescent="0.25">
      <c r="A5" s="620" t="s">
        <v>551</v>
      </c>
      <c r="B5" s="621"/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622"/>
      <c r="N5" s="622"/>
    </row>
    <row r="6" spans="1:23" x14ac:dyDescent="0.25">
      <c r="A6" s="620" t="s">
        <v>338</v>
      </c>
      <c r="B6" s="622" t="s">
        <v>519</v>
      </c>
      <c r="C6" s="622"/>
      <c r="D6" s="622"/>
      <c r="E6" s="622"/>
      <c r="F6" s="622"/>
      <c r="G6" s="622"/>
      <c r="H6" s="622"/>
      <c r="I6" s="622"/>
      <c r="J6" s="622"/>
      <c r="K6" s="622"/>
      <c r="L6" s="622"/>
      <c r="M6" s="622"/>
      <c r="N6" s="622"/>
      <c r="P6" s="620" t="s">
        <v>22</v>
      </c>
      <c r="Q6" s="620" t="s">
        <v>552</v>
      </c>
    </row>
    <row r="7" spans="1:23" x14ac:dyDescent="0.25">
      <c r="A7" s="620" t="s">
        <v>553</v>
      </c>
      <c r="B7" s="621" t="s">
        <v>554</v>
      </c>
      <c r="C7" s="622">
        <v>0</v>
      </c>
      <c r="D7" s="621">
        <v>0</v>
      </c>
      <c r="E7" s="622">
        <v>0</v>
      </c>
      <c r="F7" s="622">
        <v>1</v>
      </c>
      <c r="G7" s="622">
        <v>0</v>
      </c>
      <c r="H7" s="622">
        <v>1</v>
      </c>
      <c r="I7" s="622">
        <v>0</v>
      </c>
      <c r="J7" s="622">
        <v>0</v>
      </c>
      <c r="K7" s="622">
        <v>1</v>
      </c>
      <c r="L7" s="622">
        <v>0</v>
      </c>
      <c r="M7" s="622">
        <v>0</v>
      </c>
      <c r="N7" s="622">
        <v>0</v>
      </c>
      <c r="O7" s="620">
        <v>0</v>
      </c>
      <c r="R7" s="620">
        <v>1</v>
      </c>
      <c r="S7" s="622">
        <v>100</v>
      </c>
      <c r="T7" s="620">
        <v>2</v>
      </c>
      <c r="U7" s="620">
        <v>0</v>
      </c>
      <c r="V7" s="620">
        <v>0</v>
      </c>
      <c r="W7" s="620">
        <v>0</v>
      </c>
    </row>
    <row r="8" spans="1:23" x14ac:dyDescent="0.25">
      <c r="A8" s="620" t="s">
        <v>555</v>
      </c>
      <c r="B8" s="621" t="s">
        <v>556</v>
      </c>
      <c r="C8" s="622">
        <v>6146</v>
      </c>
      <c r="D8" s="622">
        <v>307275105</v>
      </c>
      <c r="E8" s="622">
        <v>282693096600</v>
      </c>
      <c r="F8" s="622">
        <v>531</v>
      </c>
      <c r="G8" s="622">
        <v>920</v>
      </c>
      <c r="H8" s="622">
        <v>920</v>
      </c>
      <c r="I8" s="622">
        <v>389</v>
      </c>
      <c r="J8" s="622">
        <v>73.260000000000005</v>
      </c>
      <c r="K8" s="622">
        <v>920</v>
      </c>
      <c r="L8" s="622">
        <v>389</v>
      </c>
      <c r="M8" s="622">
        <v>73.260000000000005</v>
      </c>
      <c r="N8" s="622">
        <v>920</v>
      </c>
      <c r="O8" s="620">
        <v>920</v>
      </c>
      <c r="R8" s="620">
        <v>0</v>
      </c>
      <c r="S8" s="622">
        <v>0</v>
      </c>
      <c r="T8" s="620">
        <v>0</v>
      </c>
      <c r="U8" s="620">
        <v>0</v>
      </c>
      <c r="V8" s="620">
        <v>0</v>
      </c>
      <c r="W8" s="620">
        <v>0</v>
      </c>
    </row>
    <row r="9" spans="1:23" x14ac:dyDescent="0.25">
      <c r="A9" s="620" t="s">
        <v>557</v>
      </c>
      <c r="B9" s="621" t="s">
        <v>558</v>
      </c>
      <c r="C9" s="622">
        <v>0</v>
      </c>
      <c r="D9" s="622">
        <v>0</v>
      </c>
      <c r="E9" s="622">
        <v>0</v>
      </c>
      <c r="F9" s="622">
        <v>426322</v>
      </c>
      <c r="G9" s="622">
        <v>0</v>
      </c>
      <c r="H9" s="622">
        <v>426322</v>
      </c>
      <c r="I9" s="622">
        <v>0</v>
      </c>
      <c r="J9" s="622">
        <v>0</v>
      </c>
      <c r="K9" s="622">
        <v>426322</v>
      </c>
      <c r="L9" s="622">
        <v>0</v>
      </c>
      <c r="M9" s="622">
        <v>0</v>
      </c>
      <c r="N9" s="622">
        <v>0</v>
      </c>
      <c r="O9" s="620">
        <v>0</v>
      </c>
      <c r="R9" s="620">
        <v>0</v>
      </c>
      <c r="S9" s="622">
        <v>0</v>
      </c>
      <c r="T9" s="620">
        <v>0</v>
      </c>
      <c r="U9" s="620">
        <v>405006</v>
      </c>
      <c r="V9" s="620">
        <v>164</v>
      </c>
      <c r="W9" s="620">
        <v>6</v>
      </c>
    </row>
    <row r="10" spans="1:23" x14ac:dyDescent="0.25">
      <c r="A10" s="620" t="s">
        <v>559</v>
      </c>
      <c r="B10" s="621" t="s">
        <v>560</v>
      </c>
      <c r="C10" s="622">
        <v>296</v>
      </c>
      <c r="D10" s="622">
        <v>2787355</v>
      </c>
      <c r="E10" s="622">
        <v>2474494543</v>
      </c>
      <c r="F10" s="621">
        <v>911</v>
      </c>
      <c r="G10" s="622">
        <v>884</v>
      </c>
      <c r="H10" s="622">
        <v>884</v>
      </c>
      <c r="I10" s="622">
        <v>-27</v>
      </c>
      <c r="J10" s="621">
        <v>-2.96</v>
      </c>
      <c r="K10" s="622">
        <v>888</v>
      </c>
      <c r="L10" s="622">
        <v>-23</v>
      </c>
      <c r="M10" s="622">
        <v>-2.52</v>
      </c>
      <c r="N10" s="622">
        <v>884</v>
      </c>
      <c r="O10" s="620">
        <v>912</v>
      </c>
      <c r="P10" s="620" t="s">
        <v>561</v>
      </c>
      <c r="Q10" s="620" t="s">
        <v>562</v>
      </c>
      <c r="R10" s="620">
        <v>2</v>
      </c>
      <c r="S10" s="622">
        <v>2200</v>
      </c>
      <c r="T10" s="620">
        <v>884</v>
      </c>
      <c r="U10" s="620">
        <v>884</v>
      </c>
      <c r="V10" s="620">
        <v>513265</v>
      </c>
      <c r="W10" s="620">
        <v>18</v>
      </c>
    </row>
    <row r="11" spans="1:23" x14ac:dyDescent="0.25">
      <c r="A11" s="620" t="s">
        <v>563</v>
      </c>
      <c r="B11" s="620" t="s">
        <v>564</v>
      </c>
      <c r="C11" s="620">
        <v>0</v>
      </c>
      <c r="D11" s="621">
        <v>0</v>
      </c>
      <c r="E11" s="622">
        <v>0</v>
      </c>
      <c r="F11" s="622">
        <v>1800</v>
      </c>
      <c r="G11" s="622">
        <v>0</v>
      </c>
      <c r="H11" s="622">
        <v>1800</v>
      </c>
      <c r="I11" s="622">
        <v>0</v>
      </c>
      <c r="J11" s="622">
        <v>0</v>
      </c>
      <c r="K11" s="622">
        <v>1800</v>
      </c>
      <c r="L11" s="622">
        <v>0</v>
      </c>
      <c r="M11" s="622">
        <v>0</v>
      </c>
      <c r="N11" s="622">
        <v>0</v>
      </c>
      <c r="O11" s="620">
        <v>0</v>
      </c>
      <c r="R11" s="620">
        <v>1</v>
      </c>
      <c r="S11" s="622">
        <v>50</v>
      </c>
      <c r="T11" s="620">
        <v>300</v>
      </c>
      <c r="U11" s="620">
        <v>0</v>
      </c>
      <c r="V11" s="620">
        <v>0</v>
      </c>
      <c r="W11" s="620">
        <v>0</v>
      </c>
    </row>
    <row r="12" spans="1:23" x14ac:dyDescent="0.25">
      <c r="A12" s="620" t="s">
        <v>565</v>
      </c>
      <c r="B12" s="622" t="s">
        <v>566</v>
      </c>
      <c r="C12" s="622">
        <v>102</v>
      </c>
      <c r="D12" s="622">
        <v>1329</v>
      </c>
      <c r="E12" s="622">
        <v>504837309</v>
      </c>
      <c r="F12" s="622">
        <v>379352</v>
      </c>
      <c r="G12" s="622">
        <v>362388</v>
      </c>
      <c r="H12" s="622">
        <v>385000</v>
      </c>
      <c r="I12" s="622">
        <v>5648</v>
      </c>
      <c r="J12" s="622">
        <v>1.49</v>
      </c>
      <c r="K12" s="622">
        <v>379863</v>
      </c>
      <c r="L12" s="622">
        <v>511</v>
      </c>
      <c r="M12" s="622">
        <v>0.13</v>
      </c>
      <c r="N12" s="622">
        <v>360386</v>
      </c>
      <c r="O12" s="620">
        <v>389500</v>
      </c>
      <c r="R12" s="620">
        <v>1</v>
      </c>
      <c r="S12" s="622">
        <v>29</v>
      </c>
      <c r="T12" s="620">
        <v>360386</v>
      </c>
      <c r="U12" s="620">
        <v>398319</v>
      </c>
      <c r="V12" s="620">
        <v>3</v>
      </c>
      <c r="W12" s="620">
        <v>1</v>
      </c>
    </row>
    <row r="13" spans="1:23" x14ac:dyDescent="0.25">
      <c r="A13" s="620" t="s">
        <v>567</v>
      </c>
      <c r="B13" s="621" t="s">
        <v>568</v>
      </c>
      <c r="C13" s="622">
        <v>387</v>
      </c>
      <c r="D13" s="622">
        <v>187075</v>
      </c>
      <c r="E13" s="622">
        <v>9475516520</v>
      </c>
      <c r="F13" s="622">
        <v>50152</v>
      </c>
      <c r="G13" s="622">
        <v>49150</v>
      </c>
      <c r="H13" s="622">
        <v>50514</v>
      </c>
      <c r="I13" s="622">
        <v>362</v>
      </c>
      <c r="J13" s="622">
        <v>0.72</v>
      </c>
      <c r="K13" s="622">
        <v>50651</v>
      </c>
      <c r="L13" s="622">
        <v>499</v>
      </c>
      <c r="M13" s="622">
        <v>0.99</v>
      </c>
      <c r="N13" s="622">
        <v>48500</v>
      </c>
      <c r="O13" s="620">
        <v>52550</v>
      </c>
      <c r="P13" s="620" t="s">
        <v>569</v>
      </c>
      <c r="Q13" s="620" t="s">
        <v>570</v>
      </c>
      <c r="R13" s="620">
        <v>1</v>
      </c>
      <c r="S13" s="622">
        <v>20</v>
      </c>
      <c r="T13" s="620">
        <v>50514</v>
      </c>
      <c r="U13" s="620">
        <v>50514</v>
      </c>
      <c r="V13" s="620">
        <v>13224</v>
      </c>
      <c r="W13" s="620">
        <v>2</v>
      </c>
    </row>
    <row r="14" spans="1:23" x14ac:dyDescent="0.25">
      <c r="A14" s="620" t="s">
        <v>571</v>
      </c>
      <c r="B14" s="622" t="s">
        <v>572</v>
      </c>
      <c r="C14" s="622">
        <v>0</v>
      </c>
      <c r="D14" s="622">
        <v>0</v>
      </c>
      <c r="E14" s="622">
        <v>0</v>
      </c>
      <c r="F14" s="622">
        <v>722</v>
      </c>
      <c r="G14" s="622">
        <v>0</v>
      </c>
      <c r="H14" s="622">
        <v>722</v>
      </c>
      <c r="I14" s="622">
        <v>0</v>
      </c>
      <c r="J14" s="622">
        <v>0</v>
      </c>
      <c r="K14" s="622">
        <v>722</v>
      </c>
      <c r="L14" s="622">
        <v>0</v>
      </c>
      <c r="M14" s="622">
        <v>0</v>
      </c>
      <c r="N14" s="622">
        <v>0</v>
      </c>
      <c r="O14" s="620">
        <v>0</v>
      </c>
      <c r="R14" s="620">
        <v>2</v>
      </c>
      <c r="S14" s="622">
        <v>97</v>
      </c>
      <c r="T14" s="620">
        <v>550</v>
      </c>
      <c r="U14" s="620">
        <v>1999</v>
      </c>
      <c r="V14" s="620">
        <v>4</v>
      </c>
      <c r="W14" s="620">
        <v>1</v>
      </c>
    </row>
    <row r="15" spans="1:23" x14ac:dyDescent="0.25">
      <c r="A15" s="620" t="s">
        <v>573</v>
      </c>
      <c r="B15" s="621" t="s">
        <v>574</v>
      </c>
      <c r="C15" s="621">
        <v>252</v>
      </c>
      <c r="D15" s="621">
        <v>619596</v>
      </c>
      <c r="E15" s="621">
        <v>3623397408</v>
      </c>
      <c r="F15" s="621">
        <v>6155</v>
      </c>
      <c r="G15" s="621">
        <v>5848</v>
      </c>
      <c r="H15" s="621">
        <v>5848</v>
      </c>
      <c r="I15" s="621">
        <v>-307</v>
      </c>
      <c r="J15" s="621">
        <v>-4.99</v>
      </c>
      <c r="K15" s="621">
        <v>5848</v>
      </c>
      <c r="L15" s="621">
        <v>-307</v>
      </c>
      <c r="M15" s="621">
        <v>-4.99</v>
      </c>
      <c r="N15" s="621">
        <v>5848</v>
      </c>
      <c r="O15" s="620">
        <v>5848</v>
      </c>
      <c r="P15" s="620" t="s">
        <v>575</v>
      </c>
      <c r="Q15" s="620" t="s">
        <v>576</v>
      </c>
      <c r="R15" s="620">
        <v>0</v>
      </c>
      <c r="S15" s="621">
        <v>0</v>
      </c>
      <c r="T15" s="620">
        <v>0</v>
      </c>
      <c r="U15" s="620">
        <v>5848</v>
      </c>
      <c r="V15" s="620">
        <v>1294142</v>
      </c>
      <c r="W15" s="620">
        <v>133</v>
      </c>
    </row>
    <row r="16" spans="1:23" x14ac:dyDescent="0.25">
      <c r="A16" s="620" t="s">
        <v>577</v>
      </c>
      <c r="B16" s="621" t="s">
        <v>578</v>
      </c>
      <c r="C16" s="622">
        <v>0</v>
      </c>
      <c r="D16" s="622">
        <v>0</v>
      </c>
      <c r="E16" s="622">
        <v>0</v>
      </c>
      <c r="F16" s="622">
        <v>945000</v>
      </c>
      <c r="G16" s="622">
        <v>0</v>
      </c>
      <c r="H16" s="622">
        <v>945000</v>
      </c>
      <c r="I16" s="622">
        <v>0</v>
      </c>
      <c r="J16" s="622">
        <v>0</v>
      </c>
      <c r="K16" s="622">
        <v>945000</v>
      </c>
      <c r="L16" s="622">
        <v>0</v>
      </c>
      <c r="M16" s="622">
        <v>0</v>
      </c>
      <c r="N16" s="622">
        <v>0</v>
      </c>
      <c r="O16" s="620">
        <v>0</v>
      </c>
      <c r="R16" s="620">
        <v>1</v>
      </c>
      <c r="S16" s="622">
        <v>200</v>
      </c>
      <c r="T16" s="620">
        <v>950001</v>
      </c>
      <c r="U16" s="620">
        <v>0</v>
      </c>
      <c r="V16" s="620">
        <v>0</v>
      </c>
      <c r="W16" s="620">
        <v>0</v>
      </c>
    </row>
    <row r="17" spans="1:23" x14ac:dyDescent="0.25">
      <c r="A17" s="620" t="s">
        <v>579</v>
      </c>
      <c r="B17" s="620" t="s">
        <v>580</v>
      </c>
      <c r="C17" s="620">
        <v>5723</v>
      </c>
      <c r="D17" s="621">
        <v>66917434</v>
      </c>
      <c r="E17" s="620">
        <v>401849312766</v>
      </c>
      <c r="F17" s="620">
        <v>6018</v>
      </c>
      <c r="G17" s="620">
        <v>5950</v>
      </c>
      <c r="H17" s="620">
        <v>5936</v>
      </c>
      <c r="I17" s="620">
        <v>-82</v>
      </c>
      <c r="J17" s="620">
        <v>-1.36</v>
      </c>
      <c r="K17" s="620">
        <v>6005</v>
      </c>
      <c r="L17" s="620">
        <v>-13</v>
      </c>
      <c r="M17" s="620">
        <v>-0.22</v>
      </c>
      <c r="N17" s="620">
        <v>5910</v>
      </c>
      <c r="O17" s="620">
        <v>6120</v>
      </c>
      <c r="P17" s="620" t="s">
        <v>581</v>
      </c>
      <c r="Q17" s="620" t="s">
        <v>582</v>
      </c>
      <c r="R17" s="620">
        <v>1</v>
      </c>
      <c r="S17" s="621">
        <v>20000</v>
      </c>
      <c r="T17" s="620">
        <v>5952</v>
      </c>
      <c r="U17" s="620">
        <v>5970</v>
      </c>
      <c r="V17" s="620">
        <v>1000</v>
      </c>
      <c r="W17" s="620">
        <v>1</v>
      </c>
    </row>
    <row r="18" spans="1:23" x14ac:dyDescent="0.25">
      <c r="A18" s="620" t="s">
        <v>583</v>
      </c>
      <c r="B18" s="620" t="s">
        <v>584</v>
      </c>
      <c r="C18" s="620">
        <v>24</v>
      </c>
      <c r="D18" s="620">
        <v>102392</v>
      </c>
      <c r="E18" s="620">
        <v>473767784</v>
      </c>
      <c r="F18" s="620">
        <v>4721</v>
      </c>
      <c r="G18" s="620">
        <v>4627</v>
      </c>
      <c r="H18" s="620">
        <v>4627</v>
      </c>
      <c r="I18" s="620">
        <v>-94</v>
      </c>
      <c r="J18" s="620">
        <v>-1.99</v>
      </c>
      <c r="K18" s="620">
        <v>4627</v>
      </c>
      <c r="L18" s="620">
        <v>-94</v>
      </c>
      <c r="M18" s="620">
        <v>-1.99</v>
      </c>
      <c r="N18" s="620">
        <v>4627</v>
      </c>
      <c r="O18" s="620">
        <v>4627</v>
      </c>
      <c r="P18" s="620" t="s">
        <v>585</v>
      </c>
      <c r="Q18" s="620" t="s">
        <v>586</v>
      </c>
      <c r="R18" s="620">
        <v>0</v>
      </c>
      <c r="S18" s="621">
        <v>0</v>
      </c>
      <c r="T18" s="620">
        <v>0</v>
      </c>
      <c r="U18" s="620">
        <v>4627</v>
      </c>
      <c r="V18" s="620">
        <v>30002</v>
      </c>
      <c r="W18" s="620">
        <v>4</v>
      </c>
    </row>
    <row r="19" spans="1:23" x14ac:dyDescent="0.25">
      <c r="A19" s="620" t="s">
        <v>587</v>
      </c>
      <c r="B19" s="620" t="s">
        <v>588</v>
      </c>
      <c r="C19" s="620">
        <v>16</v>
      </c>
      <c r="D19" s="620">
        <v>52674</v>
      </c>
      <c r="E19" s="620">
        <v>99606534</v>
      </c>
      <c r="F19" s="620">
        <v>1949</v>
      </c>
      <c r="G19" s="620">
        <v>1891</v>
      </c>
      <c r="H19" s="620">
        <v>1891</v>
      </c>
      <c r="I19" s="620">
        <v>-58</v>
      </c>
      <c r="J19" s="620">
        <v>-2.98</v>
      </c>
      <c r="K19" s="620">
        <v>1891</v>
      </c>
      <c r="L19" s="620">
        <v>-58</v>
      </c>
      <c r="M19" s="620">
        <v>-2.98</v>
      </c>
      <c r="N19" s="620">
        <v>1891</v>
      </c>
      <c r="O19" s="620">
        <v>1891</v>
      </c>
      <c r="P19" s="620" t="s">
        <v>589</v>
      </c>
      <c r="Q19" s="620" t="s">
        <v>590</v>
      </c>
      <c r="R19" s="620">
        <v>0</v>
      </c>
      <c r="S19" s="622">
        <v>0</v>
      </c>
      <c r="T19" s="620">
        <v>0</v>
      </c>
      <c r="U19" s="620">
        <v>1891</v>
      </c>
      <c r="V19" s="620">
        <v>1308387</v>
      </c>
      <c r="W19" s="620">
        <v>81</v>
      </c>
    </row>
    <row r="20" spans="1:23" x14ac:dyDescent="0.25">
      <c r="A20" s="620" t="s">
        <v>591</v>
      </c>
      <c r="B20" s="620" t="s">
        <v>592</v>
      </c>
      <c r="C20" s="620">
        <v>0</v>
      </c>
      <c r="D20" s="621">
        <v>0</v>
      </c>
      <c r="E20" s="620">
        <v>0</v>
      </c>
      <c r="F20" s="620">
        <v>71</v>
      </c>
      <c r="G20" s="620">
        <v>0</v>
      </c>
      <c r="H20" s="620">
        <v>71</v>
      </c>
      <c r="I20" s="620">
        <v>0</v>
      </c>
      <c r="J20" s="620">
        <v>0</v>
      </c>
      <c r="K20" s="620">
        <v>71</v>
      </c>
      <c r="L20" s="620">
        <v>0</v>
      </c>
      <c r="M20" s="620">
        <v>0</v>
      </c>
      <c r="N20" s="620">
        <v>0</v>
      </c>
      <c r="O20" s="620">
        <v>0</v>
      </c>
      <c r="R20" s="620">
        <v>1</v>
      </c>
      <c r="S20" s="621">
        <v>45</v>
      </c>
      <c r="T20" s="620">
        <v>1100</v>
      </c>
      <c r="U20" s="620">
        <v>0</v>
      </c>
      <c r="V20" s="620">
        <v>0</v>
      </c>
      <c r="W20" s="620">
        <v>0</v>
      </c>
    </row>
    <row r="21" spans="1:23" x14ac:dyDescent="0.25">
      <c r="A21" s="620" t="s">
        <v>593</v>
      </c>
      <c r="B21" s="620" t="s">
        <v>594</v>
      </c>
      <c r="C21" s="620">
        <v>0</v>
      </c>
      <c r="D21" s="621">
        <v>0</v>
      </c>
      <c r="E21" s="620">
        <v>0</v>
      </c>
      <c r="F21" s="620">
        <v>1000010</v>
      </c>
      <c r="G21" s="620">
        <v>0</v>
      </c>
      <c r="H21" s="620">
        <v>1000010</v>
      </c>
      <c r="I21" s="620">
        <v>0</v>
      </c>
      <c r="J21" s="620">
        <v>0</v>
      </c>
      <c r="K21" s="620">
        <v>1000010</v>
      </c>
      <c r="L21" s="620">
        <v>0</v>
      </c>
      <c r="M21" s="620">
        <v>0</v>
      </c>
      <c r="N21" s="620">
        <v>0</v>
      </c>
      <c r="O21" s="620">
        <v>0</v>
      </c>
      <c r="R21" s="620">
        <v>1</v>
      </c>
      <c r="S21" s="622">
        <v>1000</v>
      </c>
      <c r="T21" s="620">
        <v>1000010</v>
      </c>
      <c r="U21" s="621">
        <v>1020000</v>
      </c>
      <c r="V21" s="622">
        <v>3750</v>
      </c>
      <c r="W21" s="620">
        <v>1</v>
      </c>
    </row>
    <row r="22" spans="1:23" x14ac:dyDescent="0.25">
      <c r="A22" s="620" t="s">
        <v>595</v>
      </c>
      <c r="B22" s="620" t="s">
        <v>596</v>
      </c>
      <c r="C22" s="620">
        <v>0</v>
      </c>
      <c r="D22" s="621">
        <v>0</v>
      </c>
      <c r="E22" s="620">
        <v>0</v>
      </c>
      <c r="F22" s="620">
        <v>1</v>
      </c>
      <c r="G22" s="620">
        <v>0</v>
      </c>
      <c r="H22" s="620">
        <v>1</v>
      </c>
      <c r="I22" s="620">
        <v>0</v>
      </c>
      <c r="J22" s="620">
        <v>0</v>
      </c>
      <c r="K22" s="620">
        <v>1</v>
      </c>
      <c r="L22" s="620">
        <v>0</v>
      </c>
      <c r="M22" s="620">
        <v>0</v>
      </c>
      <c r="N22" s="620">
        <v>0</v>
      </c>
      <c r="O22" s="620">
        <v>0</v>
      </c>
      <c r="R22" s="620">
        <v>1</v>
      </c>
      <c r="S22" s="620">
        <v>5</v>
      </c>
      <c r="T22" s="620">
        <v>50</v>
      </c>
      <c r="U22" s="620">
        <v>0</v>
      </c>
      <c r="V22" s="620">
        <v>0</v>
      </c>
      <c r="W22" s="620">
        <v>0</v>
      </c>
    </row>
    <row r="23" spans="1:23" x14ac:dyDescent="0.25">
      <c r="A23" s="620" t="s">
        <v>597</v>
      </c>
      <c r="B23" s="620" t="s">
        <v>598</v>
      </c>
      <c r="C23" s="620">
        <v>233</v>
      </c>
      <c r="D23" s="620">
        <v>437785</v>
      </c>
      <c r="E23" s="620">
        <v>5285292018</v>
      </c>
      <c r="F23" s="620">
        <v>12698</v>
      </c>
      <c r="G23" s="620">
        <v>12064</v>
      </c>
      <c r="H23" s="620">
        <v>12064</v>
      </c>
      <c r="I23" s="620">
        <v>-634</v>
      </c>
      <c r="J23" s="620">
        <v>-4.99</v>
      </c>
      <c r="K23" s="620">
        <v>12073</v>
      </c>
      <c r="L23" s="620">
        <v>-625</v>
      </c>
      <c r="M23" s="620">
        <v>-4.92</v>
      </c>
      <c r="N23" s="620">
        <v>12064</v>
      </c>
      <c r="O23" s="620">
        <v>12400</v>
      </c>
      <c r="P23" s="620" t="s">
        <v>599</v>
      </c>
      <c r="Q23" s="620" t="s">
        <v>600</v>
      </c>
      <c r="R23" s="620">
        <v>0</v>
      </c>
      <c r="S23" s="620">
        <v>0</v>
      </c>
      <c r="T23" s="620">
        <v>0</v>
      </c>
      <c r="U23" s="620">
        <v>12064</v>
      </c>
      <c r="V23" s="620">
        <v>167980</v>
      </c>
      <c r="W23" s="620">
        <v>18</v>
      </c>
    </row>
    <row r="24" spans="1:23" x14ac:dyDescent="0.25">
      <c r="A24" s="620" t="s">
        <v>601</v>
      </c>
      <c r="B24" s="620" t="s">
        <v>602</v>
      </c>
      <c r="C24" s="620">
        <v>0</v>
      </c>
      <c r="D24" s="620">
        <v>0</v>
      </c>
      <c r="E24" s="620">
        <v>0</v>
      </c>
      <c r="F24" s="620">
        <v>982560</v>
      </c>
      <c r="G24" s="620">
        <v>0</v>
      </c>
      <c r="H24" s="620">
        <v>982560</v>
      </c>
      <c r="I24" s="620">
        <v>0</v>
      </c>
      <c r="J24" s="620">
        <v>0</v>
      </c>
      <c r="K24" s="620">
        <v>982560</v>
      </c>
      <c r="L24" s="620">
        <v>0</v>
      </c>
      <c r="M24" s="620">
        <v>0</v>
      </c>
      <c r="N24" s="620">
        <v>0</v>
      </c>
      <c r="O24" s="620">
        <v>0</v>
      </c>
      <c r="R24" s="620">
        <v>2</v>
      </c>
      <c r="S24" s="620">
        <v>9002</v>
      </c>
      <c r="T24" s="620">
        <v>982560</v>
      </c>
      <c r="U24" s="620">
        <v>0</v>
      </c>
      <c r="V24" s="620">
        <v>0</v>
      </c>
      <c r="W24" s="620">
        <v>0</v>
      </c>
    </row>
    <row r="25" spans="1:23" x14ac:dyDescent="0.25">
      <c r="A25" s="620" t="s">
        <v>603</v>
      </c>
      <c r="B25" s="620" t="s">
        <v>604</v>
      </c>
      <c r="C25" s="620">
        <v>51</v>
      </c>
      <c r="D25" s="620">
        <v>52164</v>
      </c>
      <c r="E25" s="620">
        <v>543216760</v>
      </c>
      <c r="F25" s="620">
        <v>10951</v>
      </c>
      <c r="G25" s="620">
        <v>10404</v>
      </c>
      <c r="H25" s="620">
        <v>10404</v>
      </c>
      <c r="I25" s="620">
        <v>-547</v>
      </c>
      <c r="J25" s="620">
        <v>-4.99</v>
      </c>
      <c r="K25" s="620">
        <v>10601</v>
      </c>
      <c r="L25" s="620">
        <v>-350</v>
      </c>
      <c r="M25" s="620">
        <v>-3.2</v>
      </c>
      <c r="N25" s="620">
        <v>10404</v>
      </c>
      <c r="O25" s="620">
        <v>10924</v>
      </c>
      <c r="P25" s="620" t="s">
        <v>605</v>
      </c>
      <c r="Q25" s="620" t="s">
        <v>606</v>
      </c>
      <c r="R25" s="620">
        <v>0</v>
      </c>
      <c r="S25" s="620">
        <v>0</v>
      </c>
      <c r="T25" s="620">
        <v>0</v>
      </c>
      <c r="U25" s="620">
        <v>10404</v>
      </c>
      <c r="V25" s="620">
        <v>15816</v>
      </c>
      <c r="W25" s="620">
        <v>8</v>
      </c>
    </row>
    <row r="26" spans="1:23" x14ac:dyDescent="0.25">
      <c r="A26" s="620" t="s">
        <v>607</v>
      </c>
      <c r="B26" s="620" t="s">
        <v>608</v>
      </c>
      <c r="C26" s="620">
        <v>0</v>
      </c>
      <c r="D26" s="620">
        <v>0</v>
      </c>
      <c r="E26" s="620">
        <v>0</v>
      </c>
      <c r="F26" s="620">
        <v>1</v>
      </c>
      <c r="G26" s="620">
        <v>0</v>
      </c>
      <c r="H26" s="620">
        <v>1</v>
      </c>
      <c r="I26" s="620">
        <v>0</v>
      </c>
      <c r="J26" s="620">
        <v>0</v>
      </c>
      <c r="K26" s="620">
        <v>1</v>
      </c>
      <c r="L26" s="620">
        <v>0</v>
      </c>
      <c r="M26" s="620">
        <v>0</v>
      </c>
      <c r="N26" s="620">
        <v>0</v>
      </c>
      <c r="O26" s="620">
        <v>0</v>
      </c>
      <c r="R26" s="620">
        <v>1</v>
      </c>
      <c r="S26" s="620">
        <v>100</v>
      </c>
      <c r="T26" s="620">
        <v>16</v>
      </c>
      <c r="U26" s="620">
        <v>0</v>
      </c>
      <c r="V26" s="620">
        <v>0</v>
      </c>
      <c r="W26" s="620">
        <v>0</v>
      </c>
    </row>
    <row r="27" spans="1:23" x14ac:dyDescent="0.25">
      <c r="A27" s="620" t="s">
        <v>609</v>
      </c>
      <c r="B27" s="620" t="s">
        <v>610</v>
      </c>
      <c r="C27" s="620">
        <v>312</v>
      </c>
      <c r="D27" s="620">
        <v>624911</v>
      </c>
      <c r="E27" s="620">
        <v>13062117826</v>
      </c>
      <c r="F27" s="620">
        <v>21996</v>
      </c>
      <c r="G27" s="620">
        <v>20897</v>
      </c>
      <c r="H27" s="620">
        <v>20897</v>
      </c>
      <c r="I27" s="620">
        <v>-1099</v>
      </c>
      <c r="J27" s="620">
        <v>-5</v>
      </c>
      <c r="K27" s="620">
        <v>20902</v>
      </c>
      <c r="L27" s="620">
        <v>-1094</v>
      </c>
      <c r="M27" s="620">
        <v>-4.97</v>
      </c>
      <c r="N27" s="620">
        <v>20897</v>
      </c>
      <c r="O27" s="620">
        <v>21212</v>
      </c>
      <c r="P27" s="620" t="s">
        <v>611</v>
      </c>
      <c r="Q27" s="620" t="s">
        <v>612</v>
      </c>
      <c r="R27" s="620">
        <v>0</v>
      </c>
      <c r="S27" s="620">
        <v>0</v>
      </c>
      <c r="T27" s="620">
        <v>0</v>
      </c>
      <c r="U27" s="620">
        <v>20897</v>
      </c>
      <c r="V27" s="620">
        <v>246761</v>
      </c>
      <c r="W27" s="620">
        <v>46</v>
      </c>
    </row>
    <row r="28" spans="1:23" x14ac:dyDescent="0.25">
      <c r="A28" s="620" t="s">
        <v>613</v>
      </c>
      <c r="B28" s="620" t="s">
        <v>614</v>
      </c>
      <c r="C28" s="620">
        <v>0</v>
      </c>
      <c r="D28" s="620">
        <v>0</v>
      </c>
      <c r="E28" s="620">
        <v>0</v>
      </c>
      <c r="F28" s="620">
        <v>967545</v>
      </c>
      <c r="G28" s="620">
        <v>0</v>
      </c>
      <c r="H28" s="620">
        <v>960000</v>
      </c>
      <c r="I28" s="620">
        <v>-7545</v>
      </c>
      <c r="J28" s="620">
        <v>-0.78</v>
      </c>
      <c r="K28" s="620">
        <v>967545</v>
      </c>
      <c r="L28" s="620">
        <v>0</v>
      </c>
      <c r="M28" s="620">
        <v>0</v>
      </c>
      <c r="N28" s="620">
        <v>0</v>
      </c>
      <c r="O28" s="620">
        <v>0</v>
      </c>
      <c r="R28" s="620">
        <v>1</v>
      </c>
      <c r="S28" s="620">
        <v>3000</v>
      </c>
      <c r="T28" s="620">
        <v>985150</v>
      </c>
      <c r="U28" s="620">
        <v>995000</v>
      </c>
      <c r="V28" s="620">
        <v>3000</v>
      </c>
      <c r="W28" s="620">
        <v>1</v>
      </c>
    </row>
    <row r="29" spans="1:23" x14ac:dyDescent="0.25">
      <c r="A29" s="620" t="s">
        <v>615</v>
      </c>
      <c r="B29" s="620" t="s">
        <v>616</v>
      </c>
      <c r="C29" s="620">
        <v>0</v>
      </c>
      <c r="D29" s="620">
        <v>0</v>
      </c>
      <c r="E29" s="620">
        <v>0</v>
      </c>
      <c r="F29" s="620">
        <v>1000000</v>
      </c>
      <c r="G29" s="620">
        <v>0</v>
      </c>
      <c r="H29" s="620">
        <v>1000000</v>
      </c>
      <c r="I29" s="620">
        <v>0</v>
      </c>
      <c r="J29" s="620">
        <v>0</v>
      </c>
      <c r="K29" s="620">
        <v>1000000</v>
      </c>
      <c r="L29" s="620">
        <v>0</v>
      </c>
      <c r="M29" s="620">
        <v>0</v>
      </c>
      <c r="N29" s="620">
        <v>0</v>
      </c>
      <c r="O29" s="620">
        <v>0</v>
      </c>
      <c r="R29" s="620">
        <v>1</v>
      </c>
      <c r="S29" s="620">
        <v>1387</v>
      </c>
      <c r="T29" s="620">
        <v>980392</v>
      </c>
      <c r="U29" s="620">
        <v>1000000</v>
      </c>
      <c r="V29" s="620">
        <v>1395</v>
      </c>
      <c r="W29" s="620">
        <v>1</v>
      </c>
    </row>
    <row r="30" spans="1:23" x14ac:dyDescent="0.25">
      <c r="A30" s="620" t="s">
        <v>617</v>
      </c>
      <c r="B30" s="620" t="s">
        <v>618</v>
      </c>
      <c r="C30" s="620">
        <v>403</v>
      </c>
      <c r="D30" s="620">
        <v>5300</v>
      </c>
      <c r="E30" s="620">
        <v>2081317166</v>
      </c>
      <c r="F30" s="620">
        <v>386165</v>
      </c>
      <c r="G30" s="620">
        <v>386522</v>
      </c>
      <c r="H30" s="620">
        <v>390000</v>
      </c>
      <c r="I30" s="620">
        <v>3835</v>
      </c>
      <c r="J30" s="620">
        <v>0.99</v>
      </c>
      <c r="K30" s="620">
        <v>392701</v>
      </c>
      <c r="L30" s="620">
        <v>6536</v>
      </c>
      <c r="M30" s="620">
        <v>1.69</v>
      </c>
      <c r="N30" s="620">
        <v>366857</v>
      </c>
      <c r="O30" s="620">
        <v>405473</v>
      </c>
      <c r="R30" s="620">
        <v>0</v>
      </c>
      <c r="S30" s="620">
        <v>0</v>
      </c>
      <c r="T30" s="620">
        <v>0</v>
      </c>
      <c r="U30" s="620">
        <v>405473</v>
      </c>
      <c r="V30" s="620">
        <v>53</v>
      </c>
      <c r="W30" s="620">
        <v>1</v>
      </c>
    </row>
    <row r="31" spans="1:23" x14ac:dyDescent="0.25">
      <c r="A31" s="620" t="s">
        <v>619</v>
      </c>
      <c r="B31" s="620" t="s">
        <v>620</v>
      </c>
      <c r="C31" s="620">
        <v>0</v>
      </c>
      <c r="D31" s="620">
        <v>0</v>
      </c>
      <c r="E31" s="620">
        <v>0</v>
      </c>
      <c r="F31" s="620">
        <v>1</v>
      </c>
      <c r="G31" s="620">
        <v>0</v>
      </c>
      <c r="H31" s="620">
        <v>1</v>
      </c>
      <c r="I31" s="620">
        <v>0</v>
      </c>
      <c r="J31" s="620">
        <v>0</v>
      </c>
      <c r="K31" s="620">
        <v>1</v>
      </c>
      <c r="L31" s="620">
        <v>0</v>
      </c>
      <c r="M31" s="620">
        <v>0</v>
      </c>
      <c r="N31" s="620">
        <v>0</v>
      </c>
      <c r="O31" s="620">
        <v>0</v>
      </c>
      <c r="R31" s="620">
        <v>1</v>
      </c>
      <c r="S31" s="620">
        <v>5</v>
      </c>
      <c r="T31" s="620">
        <v>30</v>
      </c>
      <c r="U31" s="620">
        <v>0</v>
      </c>
      <c r="V31" s="620">
        <v>0</v>
      </c>
      <c r="W31" s="620">
        <v>0</v>
      </c>
    </row>
    <row r="32" spans="1:23" x14ac:dyDescent="0.25">
      <c r="A32" s="620" t="s">
        <v>621</v>
      </c>
      <c r="B32" s="620" t="s">
        <v>622</v>
      </c>
      <c r="C32" s="620">
        <v>0</v>
      </c>
      <c r="D32" s="620">
        <v>0</v>
      </c>
      <c r="E32" s="620">
        <v>0</v>
      </c>
      <c r="F32" s="620">
        <v>227042</v>
      </c>
      <c r="G32" s="620">
        <v>0</v>
      </c>
      <c r="H32" s="620">
        <v>228000</v>
      </c>
      <c r="I32" s="620">
        <v>958</v>
      </c>
      <c r="J32" s="620">
        <v>0.42</v>
      </c>
      <c r="K32" s="620">
        <v>227042</v>
      </c>
      <c r="L32" s="620">
        <v>0</v>
      </c>
      <c r="M32" s="620">
        <v>0</v>
      </c>
      <c r="N32" s="620">
        <v>0</v>
      </c>
      <c r="O32" s="620">
        <v>0</v>
      </c>
      <c r="R32" s="620">
        <v>0</v>
      </c>
      <c r="S32" s="620">
        <v>0</v>
      </c>
      <c r="T32" s="620">
        <v>0</v>
      </c>
      <c r="U32" s="620">
        <v>215690</v>
      </c>
      <c r="V32" s="620">
        <v>2</v>
      </c>
      <c r="W32" s="620">
        <v>1</v>
      </c>
    </row>
    <row r="33" spans="1:23" x14ac:dyDescent="0.25">
      <c r="A33" s="620" t="s">
        <v>623</v>
      </c>
      <c r="B33" s="620" t="s">
        <v>624</v>
      </c>
      <c r="C33" s="620">
        <v>0</v>
      </c>
      <c r="D33" s="620">
        <v>0</v>
      </c>
      <c r="E33" s="620">
        <v>0</v>
      </c>
      <c r="F33" s="620">
        <v>120</v>
      </c>
      <c r="G33" s="620">
        <v>0</v>
      </c>
      <c r="H33" s="620">
        <v>120</v>
      </c>
      <c r="I33" s="620">
        <v>0</v>
      </c>
      <c r="J33" s="620">
        <v>0</v>
      </c>
      <c r="K33" s="620">
        <v>120</v>
      </c>
      <c r="L33" s="620">
        <v>0</v>
      </c>
      <c r="M33" s="620">
        <v>0</v>
      </c>
      <c r="N33" s="620">
        <v>0</v>
      </c>
      <c r="O33" s="620">
        <v>0</v>
      </c>
      <c r="R33" s="620">
        <v>1</v>
      </c>
      <c r="S33" s="620">
        <v>100</v>
      </c>
      <c r="T33" s="620">
        <v>20</v>
      </c>
      <c r="U33" s="620">
        <v>0</v>
      </c>
      <c r="V33" s="620">
        <v>0</v>
      </c>
      <c r="W33" s="620">
        <v>0</v>
      </c>
    </row>
    <row r="34" spans="1:23" x14ac:dyDescent="0.25">
      <c r="A34" s="620" t="s">
        <v>625</v>
      </c>
      <c r="B34" s="620" t="s">
        <v>626</v>
      </c>
      <c r="C34" s="620">
        <v>176</v>
      </c>
      <c r="D34" s="620">
        <v>89576</v>
      </c>
      <c r="E34" s="620">
        <v>2949698140</v>
      </c>
      <c r="F34" s="620">
        <v>34443</v>
      </c>
      <c r="G34" s="620">
        <v>32722</v>
      </c>
      <c r="H34" s="620">
        <v>32721</v>
      </c>
      <c r="I34" s="620">
        <v>-1722</v>
      </c>
      <c r="J34" s="620">
        <v>-5</v>
      </c>
      <c r="K34" s="620">
        <v>32930</v>
      </c>
      <c r="L34" s="620">
        <v>-1513</v>
      </c>
      <c r="M34" s="620">
        <v>-4.3899999999999997</v>
      </c>
      <c r="N34" s="620">
        <v>32721</v>
      </c>
      <c r="O34" s="620">
        <v>34750</v>
      </c>
      <c r="P34" s="620" t="s">
        <v>627</v>
      </c>
      <c r="R34" s="620">
        <v>0</v>
      </c>
      <c r="S34" s="620">
        <v>0</v>
      </c>
      <c r="T34" s="620">
        <v>0</v>
      </c>
      <c r="U34" s="620">
        <v>33500</v>
      </c>
      <c r="V34" s="620">
        <v>2000</v>
      </c>
      <c r="W34" s="620">
        <v>1</v>
      </c>
    </row>
    <row r="35" spans="1:23" x14ac:dyDescent="0.25">
      <c r="A35" s="620" t="s">
        <v>628</v>
      </c>
      <c r="B35" s="620" t="s">
        <v>629</v>
      </c>
      <c r="C35" s="620">
        <v>1329</v>
      </c>
      <c r="D35" s="620">
        <v>2704035</v>
      </c>
      <c r="E35" s="620">
        <v>53912970573</v>
      </c>
      <c r="F35" s="620">
        <v>20310</v>
      </c>
      <c r="G35" s="620">
        <v>19702</v>
      </c>
      <c r="H35" s="620">
        <v>19873</v>
      </c>
      <c r="I35" s="620">
        <v>-437</v>
      </c>
      <c r="J35" s="620">
        <v>-2.15</v>
      </c>
      <c r="K35" s="620">
        <v>19938</v>
      </c>
      <c r="L35" s="620">
        <v>-372</v>
      </c>
      <c r="M35" s="620">
        <v>-1.83</v>
      </c>
      <c r="N35" s="620">
        <v>19701</v>
      </c>
      <c r="O35" s="620">
        <v>20490</v>
      </c>
      <c r="P35" s="620" t="s">
        <v>630</v>
      </c>
      <c r="Q35" s="620" t="s">
        <v>631</v>
      </c>
      <c r="R35" s="620">
        <v>1</v>
      </c>
      <c r="S35" s="620">
        <v>70</v>
      </c>
      <c r="T35" s="620">
        <v>19875</v>
      </c>
      <c r="U35" s="620">
        <v>19875</v>
      </c>
      <c r="V35" s="620">
        <v>3000</v>
      </c>
      <c r="W35" s="620">
        <v>1</v>
      </c>
    </row>
    <row r="36" spans="1:23" x14ac:dyDescent="0.25">
      <c r="A36" s="620" t="s">
        <v>632</v>
      </c>
      <c r="B36" s="620" t="s">
        <v>633</v>
      </c>
      <c r="C36" s="620">
        <v>362</v>
      </c>
      <c r="D36" s="620">
        <v>2709605</v>
      </c>
      <c r="E36" s="620">
        <v>9034357565</v>
      </c>
      <c r="F36" s="620">
        <v>3292</v>
      </c>
      <c r="G36" s="620">
        <v>3250</v>
      </c>
      <c r="H36" s="620">
        <v>3366</v>
      </c>
      <c r="I36" s="620">
        <v>74</v>
      </c>
      <c r="J36" s="620">
        <v>2.25</v>
      </c>
      <c r="K36" s="620">
        <v>3334</v>
      </c>
      <c r="L36" s="620">
        <v>42</v>
      </c>
      <c r="M36" s="620">
        <v>1.28</v>
      </c>
      <c r="N36" s="620">
        <v>3201</v>
      </c>
      <c r="O36" s="620">
        <v>3395</v>
      </c>
      <c r="P36" s="620" t="s">
        <v>634</v>
      </c>
      <c r="Q36" s="620" t="s">
        <v>635</v>
      </c>
      <c r="R36" s="620">
        <v>1</v>
      </c>
      <c r="S36" s="620">
        <v>293</v>
      </c>
      <c r="T36" s="620">
        <v>3366</v>
      </c>
      <c r="U36" s="620">
        <v>3366</v>
      </c>
      <c r="V36" s="620">
        <v>1471</v>
      </c>
      <c r="W36" s="620">
        <v>1</v>
      </c>
    </row>
    <row r="37" spans="1:23" x14ac:dyDescent="0.25">
      <c r="A37" s="620" t="s">
        <v>636</v>
      </c>
      <c r="B37" s="620" t="s">
        <v>637</v>
      </c>
      <c r="C37" s="620">
        <v>3094</v>
      </c>
      <c r="D37" s="620">
        <v>62002381</v>
      </c>
      <c r="E37" s="620">
        <v>103456177116</v>
      </c>
      <c r="F37" s="620">
        <v>1743</v>
      </c>
      <c r="G37" s="620">
        <v>1661</v>
      </c>
      <c r="H37" s="620">
        <v>1656</v>
      </c>
      <c r="I37" s="620">
        <v>-87</v>
      </c>
      <c r="J37" s="620">
        <v>-4.99</v>
      </c>
      <c r="K37" s="620">
        <v>1669</v>
      </c>
      <c r="L37" s="620">
        <v>-74</v>
      </c>
      <c r="M37" s="620">
        <v>-4.25</v>
      </c>
      <c r="N37" s="620">
        <v>1656</v>
      </c>
      <c r="O37" s="620">
        <v>1735</v>
      </c>
      <c r="P37" s="620" t="s">
        <v>638</v>
      </c>
      <c r="Q37" s="620" t="s">
        <v>639</v>
      </c>
      <c r="R37" s="620">
        <v>2</v>
      </c>
      <c r="S37" s="620">
        <v>10600</v>
      </c>
      <c r="T37" s="620">
        <v>1656</v>
      </c>
      <c r="U37" s="620">
        <v>1656</v>
      </c>
      <c r="V37" s="620">
        <v>7258462</v>
      </c>
      <c r="W37" s="620">
        <v>140</v>
      </c>
    </row>
    <row r="38" spans="1:23" x14ac:dyDescent="0.25">
      <c r="A38" s="620" t="s">
        <v>640</v>
      </c>
      <c r="B38" s="620" t="s">
        <v>641</v>
      </c>
      <c r="C38" s="620">
        <v>0</v>
      </c>
      <c r="D38" s="620">
        <v>0</v>
      </c>
      <c r="E38" s="620">
        <v>0</v>
      </c>
      <c r="F38" s="620">
        <v>1338</v>
      </c>
      <c r="G38" s="620">
        <v>0</v>
      </c>
      <c r="H38" s="620">
        <v>1330</v>
      </c>
      <c r="I38" s="620">
        <v>-8</v>
      </c>
      <c r="J38" s="620">
        <v>-0.6</v>
      </c>
      <c r="K38" s="620">
        <v>1338</v>
      </c>
      <c r="L38" s="620">
        <v>0</v>
      </c>
      <c r="M38" s="620">
        <v>0</v>
      </c>
      <c r="N38" s="620">
        <v>0</v>
      </c>
      <c r="O38" s="620">
        <v>0</v>
      </c>
      <c r="R38" s="620">
        <v>4</v>
      </c>
      <c r="S38" s="620">
        <v>21800</v>
      </c>
      <c r="T38" s="620">
        <v>1370</v>
      </c>
      <c r="U38" s="620">
        <v>0</v>
      </c>
      <c r="V38" s="620">
        <v>0</v>
      </c>
      <c r="W38" s="620">
        <v>0</v>
      </c>
    </row>
    <row r="39" spans="1:23" x14ac:dyDescent="0.25">
      <c r="A39" s="620" t="s">
        <v>642</v>
      </c>
      <c r="B39" s="620" t="s">
        <v>643</v>
      </c>
      <c r="C39" s="620">
        <v>0</v>
      </c>
      <c r="D39" s="620">
        <v>0</v>
      </c>
      <c r="E39" s="620">
        <v>0</v>
      </c>
      <c r="F39" s="620">
        <v>1000000</v>
      </c>
      <c r="G39" s="620">
        <v>0</v>
      </c>
      <c r="H39" s="620">
        <v>1000000</v>
      </c>
      <c r="I39" s="620">
        <v>0</v>
      </c>
      <c r="J39" s="620">
        <v>0</v>
      </c>
      <c r="K39" s="620">
        <v>1000000</v>
      </c>
      <c r="L39" s="620">
        <v>0</v>
      </c>
      <c r="M39" s="620">
        <v>0</v>
      </c>
      <c r="N39" s="620">
        <v>0</v>
      </c>
      <c r="O39" s="620">
        <v>0</v>
      </c>
      <c r="R39" s="620">
        <v>1</v>
      </c>
      <c r="S39" s="620">
        <v>3750</v>
      </c>
      <c r="T39" s="620">
        <v>990000</v>
      </c>
      <c r="U39" s="620">
        <v>0</v>
      </c>
      <c r="V39" s="620">
        <v>0</v>
      </c>
      <c r="W39" s="620">
        <v>0</v>
      </c>
    </row>
    <row r="40" spans="1:23" x14ac:dyDescent="0.25">
      <c r="A40" s="620" t="s">
        <v>644</v>
      </c>
      <c r="B40" s="620" t="s">
        <v>645</v>
      </c>
      <c r="C40" s="620">
        <v>0</v>
      </c>
      <c r="D40" s="620">
        <v>0</v>
      </c>
      <c r="E40" s="620">
        <v>0</v>
      </c>
      <c r="F40" s="620">
        <v>1000000</v>
      </c>
      <c r="G40" s="620">
        <v>0</v>
      </c>
      <c r="H40" s="620">
        <v>1000000</v>
      </c>
      <c r="I40" s="620">
        <v>0</v>
      </c>
      <c r="J40" s="620">
        <v>0</v>
      </c>
      <c r="K40" s="620">
        <v>1000000</v>
      </c>
      <c r="L40" s="620">
        <v>0</v>
      </c>
      <c r="M40" s="620">
        <v>0</v>
      </c>
      <c r="N40" s="620">
        <v>0</v>
      </c>
      <c r="O40" s="620">
        <v>0</v>
      </c>
      <c r="R40" s="620">
        <v>1</v>
      </c>
      <c r="S40" s="620">
        <v>700</v>
      </c>
      <c r="T40" s="620">
        <v>986000</v>
      </c>
      <c r="U40" s="620">
        <v>0</v>
      </c>
      <c r="V40" s="620">
        <v>0</v>
      </c>
      <c r="W40" s="620">
        <v>0</v>
      </c>
    </row>
    <row r="41" spans="1:23" x14ac:dyDescent="0.25">
      <c r="A41" s="620" t="s">
        <v>646</v>
      </c>
      <c r="B41" s="620" t="s">
        <v>647</v>
      </c>
      <c r="C41" s="620">
        <v>1</v>
      </c>
      <c r="D41" s="620">
        <v>100</v>
      </c>
      <c r="E41" s="620">
        <v>15000000</v>
      </c>
      <c r="F41" s="620">
        <v>200</v>
      </c>
      <c r="G41" s="620">
        <v>150</v>
      </c>
      <c r="H41" s="620">
        <v>150</v>
      </c>
      <c r="I41" s="620">
        <v>-50</v>
      </c>
      <c r="J41" s="620">
        <v>-25</v>
      </c>
      <c r="K41" s="620">
        <v>150</v>
      </c>
      <c r="L41" s="620">
        <v>-50</v>
      </c>
      <c r="M41" s="620">
        <v>-25</v>
      </c>
      <c r="N41" s="620">
        <v>150</v>
      </c>
      <c r="O41" s="620">
        <v>150</v>
      </c>
      <c r="R41" s="620">
        <v>1</v>
      </c>
      <c r="S41" s="620">
        <v>40</v>
      </c>
      <c r="T41" s="620">
        <v>51</v>
      </c>
      <c r="U41" s="620">
        <v>200</v>
      </c>
      <c r="V41" s="620">
        <v>10</v>
      </c>
      <c r="W41" s="620">
        <v>1</v>
      </c>
    </row>
    <row r="42" spans="1:23" x14ac:dyDescent="0.25">
      <c r="A42" s="620" t="s">
        <v>648</v>
      </c>
      <c r="B42" s="620" t="s">
        <v>649</v>
      </c>
      <c r="C42" s="620">
        <v>0</v>
      </c>
      <c r="D42" s="620">
        <v>0</v>
      </c>
      <c r="E42" s="620">
        <v>0</v>
      </c>
      <c r="F42" s="620">
        <v>980000</v>
      </c>
      <c r="G42" s="620">
        <v>0</v>
      </c>
      <c r="H42" s="620">
        <v>980000</v>
      </c>
      <c r="I42" s="620">
        <v>0</v>
      </c>
      <c r="J42" s="620">
        <v>0</v>
      </c>
      <c r="K42" s="620">
        <v>980000</v>
      </c>
      <c r="L42" s="620">
        <v>0</v>
      </c>
      <c r="M42" s="620">
        <v>0</v>
      </c>
      <c r="N42" s="620">
        <v>0</v>
      </c>
      <c r="O42" s="620">
        <v>0</v>
      </c>
      <c r="R42" s="620">
        <v>1</v>
      </c>
      <c r="S42" s="620">
        <v>210</v>
      </c>
      <c r="T42" s="620">
        <v>980000</v>
      </c>
      <c r="U42" s="620">
        <v>999994</v>
      </c>
      <c r="V42" s="620">
        <v>125</v>
      </c>
      <c r="W42" s="620">
        <v>1</v>
      </c>
    </row>
    <row r="43" spans="1:23" x14ac:dyDescent="0.25">
      <c r="A43" s="620" t="s">
        <v>650</v>
      </c>
      <c r="B43" s="620" t="s">
        <v>651</v>
      </c>
      <c r="C43" s="620">
        <v>431</v>
      </c>
      <c r="D43" s="620">
        <v>1343842</v>
      </c>
      <c r="E43" s="620">
        <v>5676393065</v>
      </c>
      <c r="F43" s="620">
        <v>4217</v>
      </c>
      <c r="G43" s="620">
        <v>4010</v>
      </c>
      <c r="H43" s="620">
        <v>4143</v>
      </c>
      <c r="I43" s="620">
        <v>-74</v>
      </c>
      <c r="J43" s="620">
        <v>-1.75</v>
      </c>
      <c r="K43" s="620">
        <v>4224</v>
      </c>
      <c r="L43" s="620">
        <v>7</v>
      </c>
      <c r="M43" s="620">
        <v>0.17</v>
      </c>
      <c r="N43" s="620">
        <v>4010</v>
      </c>
      <c r="O43" s="620">
        <v>4427</v>
      </c>
      <c r="P43" s="620" t="s">
        <v>652</v>
      </c>
      <c r="Q43" s="620" t="s">
        <v>653</v>
      </c>
      <c r="R43" s="620">
        <v>1</v>
      </c>
      <c r="S43" s="620">
        <v>20000</v>
      </c>
      <c r="T43" s="620">
        <v>4142</v>
      </c>
      <c r="U43" s="620">
        <v>4190</v>
      </c>
      <c r="V43" s="620">
        <v>6979</v>
      </c>
      <c r="W43" s="620">
        <v>1</v>
      </c>
    </row>
    <row r="44" spans="1:23" x14ac:dyDescent="0.25">
      <c r="A44" s="620" t="s">
        <v>654</v>
      </c>
      <c r="B44" s="620" t="s">
        <v>655</v>
      </c>
      <c r="C44" s="620">
        <v>51</v>
      </c>
      <c r="D44" s="620">
        <v>186511</v>
      </c>
      <c r="E44" s="620">
        <v>2854748066</v>
      </c>
      <c r="F44" s="620">
        <v>15617</v>
      </c>
      <c r="G44" s="620">
        <v>15305</v>
      </c>
      <c r="H44" s="620">
        <v>15305</v>
      </c>
      <c r="I44" s="620">
        <v>-312</v>
      </c>
      <c r="J44" s="620">
        <v>-2</v>
      </c>
      <c r="K44" s="620">
        <v>15306</v>
      </c>
      <c r="L44" s="620">
        <v>-311</v>
      </c>
      <c r="M44" s="620">
        <v>-1.99</v>
      </c>
      <c r="N44" s="620">
        <v>15305</v>
      </c>
      <c r="O44" s="620">
        <v>15890</v>
      </c>
      <c r="P44" s="620" t="s">
        <v>656</v>
      </c>
      <c r="Q44" s="620" t="s">
        <v>657</v>
      </c>
      <c r="R44" s="620">
        <v>0</v>
      </c>
      <c r="S44" s="620">
        <v>0</v>
      </c>
      <c r="T44" s="620">
        <v>0</v>
      </c>
      <c r="U44" s="620">
        <v>15305</v>
      </c>
      <c r="V44" s="620">
        <v>40466</v>
      </c>
      <c r="W44" s="620">
        <v>4</v>
      </c>
    </row>
    <row r="45" spans="1:23" x14ac:dyDescent="0.25">
      <c r="A45" s="620" t="s">
        <v>658</v>
      </c>
      <c r="B45" s="620" t="s">
        <v>659</v>
      </c>
      <c r="C45" s="620">
        <v>71</v>
      </c>
      <c r="D45" s="620">
        <v>435698</v>
      </c>
      <c r="E45" s="620">
        <v>1089245000</v>
      </c>
      <c r="F45" s="620">
        <v>2631</v>
      </c>
      <c r="G45" s="620">
        <v>2500</v>
      </c>
      <c r="H45" s="620">
        <v>2500</v>
      </c>
      <c r="I45" s="620">
        <v>-131</v>
      </c>
      <c r="J45" s="620">
        <v>-4.9800000000000004</v>
      </c>
      <c r="K45" s="620">
        <v>2500</v>
      </c>
      <c r="L45" s="620">
        <v>-131</v>
      </c>
      <c r="M45" s="620">
        <v>-4.9800000000000004</v>
      </c>
      <c r="N45" s="620">
        <v>2500</v>
      </c>
      <c r="O45" s="620">
        <v>2500</v>
      </c>
      <c r="P45" s="620" t="s">
        <v>660</v>
      </c>
      <c r="Q45" s="620" t="s">
        <v>661</v>
      </c>
      <c r="R45" s="620">
        <v>0</v>
      </c>
      <c r="S45" s="620">
        <v>0</v>
      </c>
      <c r="T45" s="620">
        <v>0</v>
      </c>
      <c r="U45" s="620">
        <v>2500</v>
      </c>
      <c r="V45" s="620">
        <v>6664875</v>
      </c>
      <c r="W45" s="620">
        <v>157</v>
      </c>
    </row>
    <row r="46" spans="1:23" x14ac:dyDescent="0.25">
      <c r="A46" s="620" t="s">
        <v>662</v>
      </c>
      <c r="B46" s="620" t="s">
        <v>663</v>
      </c>
      <c r="C46" s="620">
        <v>0</v>
      </c>
      <c r="D46" s="620">
        <v>0</v>
      </c>
      <c r="E46" s="620">
        <v>0</v>
      </c>
      <c r="F46" s="620">
        <v>970000</v>
      </c>
      <c r="G46" s="620">
        <v>0</v>
      </c>
      <c r="H46" s="620">
        <v>970000</v>
      </c>
      <c r="I46" s="620">
        <v>0</v>
      </c>
      <c r="J46" s="620">
        <v>0</v>
      </c>
      <c r="K46" s="620">
        <v>970000</v>
      </c>
      <c r="L46" s="620">
        <v>0</v>
      </c>
      <c r="M46" s="620">
        <v>0</v>
      </c>
      <c r="N46" s="620">
        <v>0</v>
      </c>
      <c r="O46" s="620">
        <v>0</v>
      </c>
      <c r="R46" s="620">
        <v>1</v>
      </c>
      <c r="S46" s="620">
        <v>7500</v>
      </c>
      <c r="T46" s="620">
        <v>990000</v>
      </c>
      <c r="U46" s="620">
        <v>999900</v>
      </c>
      <c r="V46" s="620">
        <v>7500</v>
      </c>
      <c r="W46" s="620">
        <v>1</v>
      </c>
    </row>
    <row r="47" spans="1:23" x14ac:dyDescent="0.25">
      <c r="A47" s="620" t="s">
        <v>664</v>
      </c>
      <c r="B47" s="620" t="s">
        <v>665</v>
      </c>
      <c r="C47" s="620">
        <v>0</v>
      </c>
      <c r="D47" s="620">
        <v>0</v>
      </c>
      <c r="E47" s="620">
        <v>0</v>
      </c>
      <c r="F47" s="620">
        <v>984751</v>
      </c>
      <c r="G47" s="620">
        <v>0</v>
      </c>
      <c r="H47" s="620">
        <v>984751</v>
      </c>
      <c r="I47" s="620">
        <v>0</v>
      </c>
      <c r="J47" s="620">
        <v>0</v>
      </c>
      <c r="K47" s="620">
        <v>984751</v>
      </c>
      <c r="L47" s="620">
        <v>0</v>
      </c>
      <c r="M47" s="620">
        <v>0</v>
      </c>
      <c r="N47" s="620">
        <v>0</v>
      </c>
      <c r="O47" s="620">
        <v>0</v>
      </c>
      <c r="R47" s="620">
        <v>1</v>
      </c>
      <c r="S47" s="620">
        <v>3750</v>
      </c>
      <c r="T47" s="620">
        <v>984750</v>
      </c>
      <c r="U47" s="620">
        <v>1004445</v>
      </c>
      <c r="V47" s="620">
        <v>3750</v>
      </c>
      <c r="W47" s="620">
        <v>1</v>
      </c>
    </row>
    <row r="48" spans="1:23" x14ac:dyDescent="0.25">
      <c r="A48" s="620" t="s">
        <v>666</v>
      </c>
      <c r="B48" s="620" t="s">
        <v>667</v>
      </c>
      <c r="C48" s="620">
        <v>297</v>
      </c>
      <c r="D48" s="620">
        <v>621087</v>
      </c>
      <c r="E48" s="620">
        <v>8146261532</v>
      </c>
      <c r="F48" s="620">
        <v>13558</v>
      </c>
      <c r="G48" s="620">
        <v>12890</v>
      </c>
      <c r="H48" s="620">
        <v>13200</v>
      </c>
      <c r="I48" s="620">
        <v>-358</v>
      </c>
      <c r="J48" s="620">
        <v>-2.64</v>
      </c>
      <c r="K48" s="620">
        <v>13116</v>
      </c>
      <c r="L48" s="620">
        <v>-442</v>
      </c>
      <c r="M48" s="620">
        <v>-3.26</v>
      </c>
      <c r="N48" s="620">
        <v>12881</v>
      </c>
      <c r="O48" s="620">
        <v>14000</v>
      </c>
      <c r="P48" s="620" t="s">
        <v>668</v>
      </c>
      <c r="Q48" s="620" t="s">
        <v>669</v>
      </c>
      <c r="R48" s="620">
        <v>1</v>
      </c>
      <c r="S48" s="620">
        <v>1000</v>
      </c>
      <c r="T48" s="620">
        <v>12882</v>
      </c>
      <c r="U48" s="620">
        <v>13550</v>
      </c>
      <c r="V48" s="620">
        <v>280</v>
      </c>
      <c r="W48" s="620">
        <v>1</v>
      </c>
    </row>
    <row r="49" spans="1:23" x14ac:dyDescent="0.25">
      <c r="A49" s="620" t="s">
        <v>670</v>
      </c>
      <c r="B49" s="620" t="s">
        <v>671</v>
      </c>
      <c r="C49" s="620">
        <v>732</v>
      </c>
      <c r="D49" s="620">
        <v>2067968</v>
      </c>
      <c r="E49" s="620">
        <v>22839791505</v>
      </c>
      <c r="F49" s="620">
        <v>10869</v>
      </c>
      <c r="G49" s="620">
        <v>10450</v>
      </c>
      <c r="H49" s="620">
        <v>11144</v>
      </c>
      <c r="I49" s="620">
        <v>275</v>
      </c>
      <c r="J49" s="620">
        <v>2.5299999999999998</v>
      </c>
      <c r="K49" s="620">
        <v>11045</v>
      </c>
      <c r="L49" s="620">
        <v>176</v>
      </c>
      <c r="M49" s="620">
        <v>1.62</v>
      </c>
      <c r="N49" s="620">
        <v>10450</v>
      </c>
      <c r="O49" s="620">
        <v>11290</v>
      </c>
      <c r="P49" s="620" t="s">
        <v>672</v>
      </c>
      <c r="Q49" s="620" t="s">
        <v>673</v>
      </c>
      <c r="R49" s="620">
        <v>2</v>
      </c>
      <c r="S49" s="620">
        <v>2787</v>
      </c>
      <c r="T49" s="620">
        <v>11101</v>
      </c>
      <c r="U49" s="620">
        <v>11150</v>
      </c>
      <c r="V49" s="620">
        <v>120</v>
      </c>
      <c r="W49" s="620">
        <v>1</v>
      </c>
    </row>
    <row r="50" spans="1:23" x14ac:dyDescent="0.25">
      <c r="A50" s="620" t="s">
        <v>674</v>
      </c>
      <c r="B50" s="620" t="s">
        <v>675</v>
      </c>
      <c r="C50" s="620">
        <v>0</v>
      </c>
      <c r="D50" s="620">
        <v>0</v>
      </c>
      <c r="E50" s="620">
        <v>0</v>
      </c>
      <c r="F50" s="620">
        <v>800</v>
      </c>
      <c r="G50" s="620">
        <v>0</v>
      </c>
      <c r="H50" s="620">
        <v>800</v>
      </c>
      <c r="I50" s="620">
        <v>0</v>
      </c>
      <c r="J50" s="620">
        <v>0</v>
      </c>
      <c r="K50" s="620">
        <v>800</v>
      </c>
      <c r="L50" s="620">
        <v>0</v>
      </c>
      <c r="M50" s="620">
        <v>0</v>
      </c>
      <c r="N50" s="620">
        <v>0</v>
      </c>
      <c r="O50" s="620">
        <v>0</v>
      </c>
      <c r="R50" s="620">
        <v>1</v>
      </c>
      <c r="S50" s="620">
        <v>100</v>
      </c>
      <c r="T50" s="620">
        <v>200</v>
      </c>
      <c r="U50" s="620">
        <v>0</v>
      </c>
      <c r="V50" s="620">
        <v>0</v>
      </c>
      <c r="W50" s="620">
        <v>0</v>
      </c>
    </row>
    <row r="51" spans="1:23" x14ac:dyDescent="0.25">
      <c r="A51" s="620" t="s">
        <v>676</v>
      </c>
      <c r="B51" s="620" t="s">
        <v>677</v>
      </c>
      <c r="C51" s="620">
        <v>165</v>
      </c>
      <c r="D51" s="620">
        <v>57255</v>
      </c>
      <c r="E51" s="620">
        <v>3330760681</v>
      </c>
      <c r="F51" s="620">
        <v>58959</v>
      </c>
      <c r="G51" s="620">
        <v>56012</v>
      </c>
      <c r="H51" s="620">
        <v>57300</v>
      </c>
      <c r="I51" s="620">
        <v>-1659</v>
      </c>
      <c r="J51" s="620">
        <v>-2.81</v>
      </c>
      <c r="K51" s="620">
        <v>58174</v>
      </c>
      <c r="L51" s="620">
        <v>-785</v>
      </c>
      <c r="M51" s="620">
        <v>-1.33</v>
      </c>
      <c r="N51" s="620">
        <v>56012</v>
      </c>
      <c r="O51" s="620">
        <v>60000</v>
      </c>
      <c r="P51" s="620" t="s">
        <v>678</v>
      </c>
      <c r="Q51" s="620" t="s">
        <v>679</v>
      </c>
      <c r="R51" s="620">
        <v>1</v>
      </c>
      <c r="S51" s="620">
        <v>905</v>
      </c>
      <c r="T51" s="620">
        <v>57012</v>
      </c>
      <c r="U51" s="620">
        <v>58540</v>
      </c>
      <c r="V51" s="620">
        <v>30</v>
      </c>
      <c r="W51" s="620">
        <v>1</v>
      </c>
    </row>
    <row r="52" spans="1:23" x14ac:dyDescent="0.25">
      <c r="A52" s="620" t="s">
        <v>680</v>
      </c>
      <c r="B52" s="620" t="s">
        <v>681</v>
      </c>
      <c r="C52" s="620">
        <v>448</v>
      </c>
      <c r="D52" s="620">
        <v>1996743</v>
      </c>
      <c r="E52" s="620">
        <v>14215628366</v>
      </c>
      <c r="F52" s="620">
        <v>7473</v>
      </c>
      <c r="G52" s="620">
        <v>7121</v>
      </c>
      <c r="H52" s="620">
        <v>7100</v>
      </c>
      <c r="I52" s="620">
        <v>-373</v>
      </c>
      <c r="J52" s="620">
        <v>-4.99</v>
      </c>
      <c r="K52" s="620">
        <v>7119</v>
      </c>
      <c r="L52" s="620">
        <v>-354</v>
      </c>
      <c r="M52" s="620">
        <v>-4.74</v>
      </c>
      <c r="N52" s="620">
        <v>7100</v>
      </c>
      <c r="O52" s="620">
        <v>7470</v>
      </c>
      <c r="P52" s="620" t="s">
        <v>682</v>
      </c>
      <c r="Q52" s="620" t="s">
        <v>683</v>
      </c>
      <c r="R52" s="620">
        <v>1</v>
      </c>
      <c r="S52" s="620">
        <v>300</v>
      </c>
      <c r="T52" s="620">
        <v>6220</v>
      </c>
      <c r="U52" s="620">
        <v>7100</v>
      </c>
      <c r="V52" s="620">
        <v>230001</v>
      </c>
      <c r="W52" s="620">
        <v>22</v>
      </c>
    </row>
    <row r="53" spans="1:23" x14ac:dyDescent="0.25">
      <c r="A53" s="620" t="s">
        <v>684</v>
      </c>
      <c r="B53" s="620" t="s">
        <v>685</v>
      </c>
      <c r="C53" s="620">
        <v>399</v>
      </c>
      <c r="D53" s="620">
        <v>1219598</v>
      </c>
      <c r="E53" s="620">
        <v>17188032720</v>
      </c>
      <c r="F53" s="620">
        <v>14783</v>
      </c>
      <c r="G53" s="620">
        <v>14044</v>
      </c>
      <c r="H53" s="620">
        <v>14044</v>
      </c>
      <c r="I53" s="620">
        <v>-739</v>
      </c>
      <c r="J53" s="620">
        <v>-5</v>
      </c>
      <c r="K53" s="620">
        <v>14093</v>
      </c>
      <c r="L53" s="620">
        <v>-690</v>
      </c>
      <c r="M53" s="620">
        <v>-4.67</v>
      </c>
      <c r="N53" s="620">
        <v>14044</v>
      </c>
      <c r="O53" s="620">
        <v>15000</v>
      </c>
      <c r="P53" s="620" t="s">
        <v>686</v>
      </c>
      <c r="Q53" s="620" t="s">
        <v>687</v>
      </c>
      <c r="R53" s="620">
        <v>0</v>
      </c>
      <c r="S53" s="620">
        <v>0</v>
      </c>
      <c r="T53" s="620">
        <v>0</v>
      </c>
      <c r="U53" s="620">
        <v>14044</v>
      </c>
      <c r="V53" s="620">
        <v>282885</v>
      </c>
      <c r="W53" s="620">
        <v>24</v>
      </c>
    </row>
    <row r="54" spans="1:23" x14ac:dyDescent="0.25">
      <c r="A54" s="620" t="s">
        <v>688</v>
      </c>
      <c r="B54" s="620" t="s">
        <v>689</v>
      </c>
      <c r="C54" s="620">
        <v>0</v>
      </c>
      <c r="D54" s="620">
        <v>0</v>
      </c>
      <c r="E54" s="620">
        <v>0</v>
      </c>
      <c r="F54" s="620">
        <v>1</v>
      </c>
      <c r="G54" s="620">
        <v>0</v>
      </c>
      <c r="H54" s="620">
        <v>1</v>
      </c>
      <c r="I54" s="620">
        <v>0</v>
      </c>
      <c r="J54" s="620">
        <v>0</v>
      </c>
      <c r="K54" s="620">
        <v>1</v>
      </c>
      <c r="L54" s="620">
        <v>0</v>
      </c>
      <c r="M54" s="620">
        <v>0</v>
      </c>
      <c r="N54" s="620">
        <v>0</v>
      </c>
      <c r="O54" s="620">
        <v>0</v>
      </c>
      <c r="R54" s="620">
        <v>1</v>
      </c>
      <c r="S54" s="620">
        <v>100</v>
      </c>
      <c r="T54" s="620">
        <v>10</v>
      </c>
      <c r="U54" s="620">
        <v>0</v>
      </c>
      <c r="V54" s="620">
        <v>0</v>
      </c>
      <c r="W54" s="620">
        <v>0</v>
      </c>
    </row>
    <row r="55" spans="1:23" x14ac:dyDescent="0.25">
      <c r="A55" s="620" t="s">
        <v>690</v>
      </c>
      <c r="B55" s="620" t="s">
        <v>691</v>
      </c>
      <c r="C55" s="620">
        <v>2136</v>
      </c>
      <c r="D55" s="620">
        <v>7347357</v>
      </c>
      <c r="E55" s="620">
        <v>141715172584</v>
      </c>
      <c r="F55" s="620">
        <v>19400</v>
      </c>
      <c r="G55" s="620">
        <v>18430</v>
      </c>
      <c r="H55" s="620">
        <v>19270</v>
      </c>
      <c r="I55" s="620">
        <v>-130</v>
      </c>
      <c r="J55" s="620">
        <v>-0.67</v>
      </c>
      <c r="K55" s="620">
        <v>19288</v>
      </c>
      <c r="L55" s="620">
        <v>-112</v>
      </c>
      <c r="M55" s="620">
        <v>-0.57999999999999996</v>
      </c>
      <c r="N55" s="620">
        <v>18430</v>
      </c>
      <c r="O55" s="620">
        <v>20150</v>
      </c>
      <c r="P55" s="620" t="s">
        <v>692</v>
      </c>
      <c r="Q55" s="620" t="s">
        <v>693</v>
      </c>
      <c r="R55" s="620">
        <v>1</v>
      </c>
      <c r="S55" s="620">
        <v>2000</v>
      </c>
      <c r="T55" s="620">
        <v>19301</v>
      </c>
      <c r="U55" s="620">
        <v>19900</v>
      </c>
      <c r="V55" s="620">
        <v>19386</v>
      </c>
      <c r="W55" s="620">
        <v>1</v>
      </c>
    </row>
    <row r="56" spans="1:23" x14ac:dyDescent="0.25">
      <c r="A56" s="620" t="s">
        <v>694</v>
      </c>
      <c r="B56" s="620" t="s">
        <v>695</v>
      </c>
      <c r="C56" s="620">
        <v>0</v>
      </c>
      <c r="D56" s="620">
        <v>0</v>
      </c>
      <c r="E56" s="620">
        <v>0</v>
      </c>
      <c r="F56" s="620">
        <v>206839</v>
      </c>
      <c r="G56" s="620">
        <v>0</v>
      </c>
      <c r="H56" s="620">
        <v>206839</v>
      </c>
      <c r="I56" s="620">
        <v>0</v>
      </c>
      <c r="J56" s="620">
        <v>0</v>
      </c>
      <c r="K56" s="620">
        <v>206839</v>
      </c>
      <c r="L56" s="620">
        <v>0</v>
      </c>
      <c r="M56" s="620">
        <v>0</v>
      </c>
      <c r="N56" s="620">
        <v>0</v>
      </c>
      <c r="O56" s="620">
        <v>0</v>
      </c>
      <c r="R56" s="620">
        <v>0</v>
      </c>
      <c r="S56" s="620">
        <v>0</v>
      </c>
      <c r="T56" s="620">
        <v>0</v>
      </c>
      <c r="U56" s="620">
        <v>206800</v>
      </c>
      <c r="V56" s="620">
        <v>55</v>
      </c>
      <c r="W56" s="620">
        <v>4</v>
      </c>
    </row>
    <row r="57" spans="1:23" x14ac:dyDescent="0.25">
      <c r="A57" s="620" t="s">
        <v>696</v>
      </c>
      <c r="B57" s="620" t="s">
        <v>697</v>
      </c>
      <c r="C57" s="620">
        <v>0</v>
      </c>
      <c r="D57" s="620">
        <v>0</v>
      </c>
      <c r="E57" s="620">
        <v>0</v>
      </c>
      <c r="F57" s="620">
        <v>1610</v>
      </c>
      <c r="G57" s="620">
        <v>0</v>
      </c>
      <c r="H57" s="620">
        <v>1000</v>
      </c>
      <c r="I57" s="620">
        <v>-610</v>
      </c>
      <c r="J57" s="620">
        <v>-37.89</v>
      </c>
      <c r="K57" s="620">
        <v>1610</v>
      </c>
      <c r="L57" s="620">
        <v>0</v>
      </c>
      <c r="M57" s="620">
        <v>0</v>
      </c>
      <c r="N57" s="620">
        <v>0</v>
      </c>
      <c r="O57" s="620">
        <v>0</v>
      </c>
      <c r="R57" s="620">
        <v>1</v>
      </c>
      <c r="S57" s="620">
        <v>20</v>
      </c>
      <c r="T57" s="620">
        <v>506</v>
      </c>
      <c r="U57" s="620">
        <v>1650</v>
      </c>
      <c r="V57" s="620">
        <v>10</v>
      </c>
      <c r="W57" s="620">
        <v>1</v>
      </c>
    </row>
    <row r="58" spans="1:23" x14ac:dyDescent="0.25">
      <c r="A58" s="620" t="s">
        <v>698</v>
      </c>
      <c r="B58" s="620" t="s">
        <v>699</v>
      </c>
      <c r="C58" s="620">
        <v>0</v>
      </c>
      <c r="D58" s="620">
        <v>0</v>
      </c>
      <c r="E58" s="620">
        <v>0</v>
      </c>
      <c r="F58" s="620">
        <v>550</v>
      </c>
      <c r="G58" s="620">
        <v>0</v>
      </c>
      <c r="H58" s="620">
        <v>550</v>
      </c>
      <c r="I58" s="620">
        <v>0</v>
      </c>
      <c r="J58" s="620">
        <v>0</v>
      </c>
      <c r="K58" s="620">
        <v>550</v>
      </c>
      <c r="L58" s="620">
        <v>0</v>
      </c>
      <c r="M58" s="620">
        <v>0</v>
      </c>
      <c r="N58" s="620">
        <v>0</v>
      </c>
      <c r="O58" s="620">
        <v>0</v>
      </c>
      <c r="R58" s="620">
        <v>1</v>
      </c>
      <c r="S58" s="620">
        <v>15</v>
      </c>
      <c r="T58" s="620">
        <v>266</v>
      </c>
      <c r="U58" s="620">
        <v>1300</v>
      </c>
      <c r="V58" s="620">
        <v>20</v>
      </c>
      <c r="W58" s="620">
        <v>2</v>
      </c>
    </row>
    <row r="59" spans="1:23" x14ac:dyDescent="0.25">
      <c r="A59" s="620" t="s">
        <v>700</v>
      </c>
      <c r="B59" s="620" t="s">
        <v>701</v>
      </c>
      <c r="C59" s="620">
        <v>1470</v>
      </c>
      <c r="D59" s="620">
        <v>23774249</v>
      </c>
      <c r="E59" s="620">
        <v>40583871091</v>
      </c>
      <c r="F59" s="620">
        <v>1787</v>
      </c>
      <c r="G59" s="620">
        <v>1698</v>
      </c>
      <c r="H59" s="620">
        <v>1698</v>
      </c>
      <c r="I59" s="620">
        <v>-89</v>
      </c>
      <c r="J59" s="620">
        <v>-4.9800000000000004</v>
      </c>
      <c r="K59" s="620">
        <v>1707</v>
      </c>
      <c r="L59" s="620">
        <v>-80</v>
      </c>
      <c r="M59" s="620">
        <v>-4.4800000000000004</v>
      </c>
      <c r="N59" s="620">
        <v>1698</v>
      </c>
      <c r="O59" s="620">
        <v>1750</v>
      </c>
      <c r="P59" s="620" t="s">
        <v>702</v>
      </c>
      <c r="Q59" s="620" t="s">
        <v>703</v>
      </c>
      <c r="R59" s="620">
        <v>1</v>
      </c>
      <c r="S59" s="620">
        <v>688</v>
      </c>
      <c r="T59" s="620">
        <v>1517</v>
      </c>
      <c r="U59" s="620">
        <v>1698</v>
      </c>
      <c r="V59" s="620">
        <v>3535397</v>
      </c>
      <c r="W59" s="620">
        <v>82</v>
      </c>
    </row>
    <row r="60" spans="1:23" x14ac:dyDescent="0.25">
      <c r="A60" s="620" t="s">
        <v>704</v>
      </c>
      <c r="B60" s="620" t="s">
        <v>705</v>
      </c>
      <c r="C60" s="620">
        <v>6</v>
      </c>
      <c r="D60" s="620">
        <v>5000</v>
      </c>
      <c r="E60" s="620">
        <v>4590168000</v>
      </c>
      <c r="F60" s="620">
        <v>945000</v>
      </c>
      <c r="G60" s="620">
        <v>945000</v>
      </c>
      <c r="H60" s="620">
        <v>913500</v>
      </c>
      <c r="I60" s="620">
        <v>-31500</v>
      </c>
      <c r="J60" s="620">
        <v>-3.33</v>
      </c>
      <c r="K60" s="620">
        <v>918034</v>
      </c>
      <c r="L60" s="620">
        <v>-26966</v>
      </c>
      <c r="M60" s="620">
        <v>-2.85</v>
      </c>
      <c r="N60" s="620">
        <v>913500</v>
      </c>
      <c r="O60" s="620">
        <v>945000</v>
      </c>
      <c r="R60" s="620">
        <v>1</v>
      </c>
      <c r="S60" s="620">
        <v>2</v>
      </c>
      <c r="T60" s="620">
        <v>915500</v>
      </c>
      <c r="U60" s="620">
        <v>969990</v>
      </c>
      <c r="V60" s="620">
        <v>235</v>
      </c>
      <c r="W60" s="620">
        <v>1</v>
      </c>
    </row>
    <row r="61" spans="1:23" x14ac:dyDescent="0.25">
      <c r="A61" s="620" t="s">
        <v>706</v>
      </c>
      <c r="B61" s="620" t="s">
        <v>707</v>
      </c>
      <c r="C61" s="620">
        <v>0</v>
      </c>
      <c r="D61" s="620">
        <v>0</v>
      </c>
      <c r="E61" s="620">
        <v>0</v>
      </c>
      <c r="F61" s="620">
        <v>1990</v>
      </c>
      <c r="G61" s="620">
        <v>2049</v>
      </c>
      <c r="H61" s="620">
        <v>1990</v>
      </c>
      <c r="I61" s="620">
        <v>0</v>
      </c>
      <c r="J61" s="620">
        <v>0</v>
      </c>
      <c r="K61" s="620">
        <v>1990</v>
      </c>
      <c r="L61" s="620">
        <v>0</v>
      </c>
      <c r="M61" s="620">
        <v>0</v>
      </c>
      <c r="N61" s="620">
        <v>2049</v>
      </c>
      <c r="O61" s="620">
        <v>2049</v>
      </c>
      <c r="P61" s="620" t="s">
        <v>627</v>
      </c>
      <c r="R61" s="620">
        <v>4</v>
      </c>
      <c r="S61" s="620">
        <v>11100</v>
      </c>
      <c r="T61" s="620">
        <v>2049</v>
      </c>
      <c r="U61" s="620">
        <v>0</v>
      </c>
      <c r="V61" s="620">
        <v>0</v>
      </c>
      <c r="W61" s="620">
        <v>0</v>
      </c>
    </row>
    <row r="62" spans="1:23" x14ac:dyDescent="0.25">
      <c r="A62" s="620" t="s">
        <v>708</v>
      </c>
      <c r="B62" s="620" t="s">
        <v>709</v>
      </c>
      <c r="C62" s="620">
        <v>383</v>
      </c>
      <c r="D62" s="620">
        <v>2388511</v>
      </c>
      <c r="E62" s="620">
        <v>19496417526</v>
      </c>
      <c r="F62" s="620">
        <v>8575</v>
      </c>
      <c r="G62" s="620">
        <v>8147</v>
      </c>
      <c r="H62" s="620">
        <v>8147</v>
      </c>
      <c r="I62" s="620">
        <v>-428</v>
      </c>
      <c r="J62" s="620">
        <v>-4.99</v>
      </c>
      <c r="K62" s="620">
        <v>8163</v>
      </c>
      <c r="L62" s="620">
        <v>-412</v>
      </c>
      <c r="M62" s="620">
        <v>-4.8</v>
      </c>
      <c r="N62" s="620">
        <v>8147</v>
      </c>
      <c r="O62" s="620">
        <v>8484</v>
      </c>
      <c r="P62" s="620" t="s">
        <v>710</v>
      </c>
      <c r="Q62" s="620" t="s">
        <v>711</v>
      </c>
      <c r="R62" s="620">
        <v>0</v>
      </c>
      <c r="S62" s="620">
        <v>0</v>
      </c>
      <c r="T62" s="620">
        <v>0</v>
      </c>
      <c r="U62" s="620">
        <v>8147</v>
      </c>
      <c r="V62" s="620">
        <v>127346</v>
      </c>
      <c r="W62" s="620">
        <v>15</v>
      </c>
    </row>
    <row r="63" spans="1:23" x14ac:dyDescent="0.25">
      <c r="A63" s="620" t="s">
        <v>712</v>
      </c>
      <c r="B63" s="620" t="s">
        <v>713</v>
      </c>
      <c r="C63" s="620">
        <v>2</v>
      </c>
      <c r="D63" s="620">
        <v>15460</v>
      </c>
      <c r="E63" s="620">
        <v>14996200000</v>
      </c>
      <c r="F63" s="620">
        <v>960000</v>
      </c>
      <c r="G63" s="620">
        <v>970000</v>
      </c>
      <c r="H63" s="620">
        <v>970000</v>
      </c>
      <c r="I63" s="620">
        <v>10000</v>
      </c>
      <c r="J63" s="620">
        <v>1.04</v>
      </c>
      <c r="K63" s="620">
        <v>970000</v>
      </c>
      <c r="L63" s="620">
        <v>10000</v>
      </c>
      <c r="M63" s="620">
        <v>1.04</v>
      </c>
      <c r="N63" s="620">
        <v>970000</v>
      </c>
      <c r="O63" s="620">
        <v>970000</v>
      </c>
      <c r="R63" s="620">
        <v>1</v>
      </c>
      <c r="S63" s="620">
        <v>5000</v>
      </c>
      <c r="T63" s="620">
        <v>970000</v>
      </c>
      <c r="U63" s="620">
        <v>0</v>
      </c>
      <c r="V63" s="620">
        <v>0</v>
      </c>
      <c r="W63" s="620">
        <v>0</v>
      </c>
    </row>
    <row r="64" spans="1:23" x14ac:dyDescent="0.25">
      <c r="A64" s="620" t="s">
        <v>714</v>
      </c>
      <c r="B64" s="620" t="s">
        <v>715</v>
      </c>
      <c r="C64" s="620">
        <v>285</v>
      </c>
      <c r="D64" s="620">
        <v>361560</v>
      </c>
      <c r="E64" s="620">
        <v>11956892158</v>
      </c>
      <c r="F64" s="620">
        <v>32737</v>
      </c>
      <c r="G64" s="620">
        <v>31355</v>
      </c>
      <c r="H64" s="620">
        <v>33383</v>
      </c>
      <c r="I64" s="620">
        <v>646</v>
      </c>
      <c r="J64" s="620">
        <v>1.97</v>
      </c>
      <c r="K64" s="620">
        <v>33070</v>
      </c>
      <c r="L64" s="620">
        <v>333</v>
      </c>
      <c r="M64" s="620">
        <v>1.02</v>
      </c>
      <c r="N64" s="620">
        <v>31355</v>
      </c>
      <c r="O64" s="620">
        <v>34000</v>
      </c>
      <c r="P64" s="620" t="s">
        <v>716</v>
      </c>
      <c r="Q64" s="620" t="s">
        <v>717</v>
      </c>
      <c r="R64" s="620">
        <v>1</v>
      </c>
      <c r="S64" s="620">
        <v>500</v>
      </c>
      <c r="T64" s="620">
        <v>32900</v>
      </c>
      <c r="U64" s="620">
        <v>33398</v>
      </c>
      <c r="V64" s="620">
        <v>2708</v>
      </c>
      <c r="W64" s="620">
        <v>1</v>
      </c>
    </row>
    <row r="65" spans="1:23" x14ac:dyDescent="0.25">
      <c r="A65" s="620" t="s">
        <v>718</v>
      </c>
      <c r="B65" s="620" t="s">
        <v>719</v>
      </c>
      <c r="C65" s="620">
        <v>70</v>
      </c>
      <c r="D65" s="620">
        <v>51906</v>
      </c>
      <c r="E65" s="620">
        <v>1006408791</v>
      </c>
      <c r="F65" s="620">
        <v>20404</v>
      </c>
      <c r="G65" s="620">
        <v>19385</v>
      </c>
      <c r="H65" s="620">
        <v>19384</v>
      </c>
      <c r="I65" s="620">
        <v>-1020</v>
      </c>
      <c r="J65" s="620">
        <v>-5</v>
      </c>
      <c r="K65" s="620">
        <v>19389</v>
      </c>
      <c r="L65" s="620">
        <v>-1015</v>
      </c>
      <c r="M65" s="620">
        <v>-4.97</v>
      </c>
      <c r="N65" s="620">
        <v>19384</v>
      </c>
      <c r="O65" s="620">
        <v>19999</v>
      </c>
      <c r="P65" s="620" t="s">
        <v>720</v>
      </c>
      <c r="Q65" s="620" t="s">
        <v>721</v>
      </c>
      <c r="R65" s="620">
        <v>0</v>
      </c>
      <c r="S65" s="620">
        <v>0</v>
      </c>
      <c r="T65" s="620">
        <v>0</v>
      </c>
      <c r="U65" s="620">
        <v>19384</v>
      </c>
      <c r="V65" s="620">
        <v>7687</v>
      </c>
      <c r="W65" s="620">
        <v>5</v>
      </c>
    </row>
    <row r="66" spans="1:23" x14ac:dyDescent="0.25">
      <c r="A66" s="620" t="s">
        <v>722</v>
      </c>
      <c r="B66" s="620" t="s">
        <v>723</v>
      </c>
      <c r="C66" s="620">
        <v>536</v>
      </c>
      <c r="D66" s="620">
        <v>1236925</v>
      </c>
      <c r="E66" s="620">
        <v>14894313636</v>
      </c>
      <c r="F66" s="620">
        <v>12652</v>
      </c>
      <c r="G66" s="620">
        <v>12020</v>
      </c>
      <c r="H66" s="620">
        <v>12020</v>
      </c>
      <c r="I66" s="620">
        <v>-632</v>
      </c>
      <c r="J66" s="620">
        <v>-5</v>
      </c>
      <c r="K66" s="620">
        <v>12041</v>
      </c>
      <c r="L66" s="620">
        <v>-611</v>
      </c>
      <c r="M66" s="620">
        <v>-4.83</v>
      </c>
      <c r="N66" s="620">
        <v>12020</v>
      </c>
      <c r="O66" s="620">
        <v>12350</v>
      </c>
      <c r="P66" s="620" t="s">
        <v>724</v>
      </c>
      <c r="Q66" s="620" t="s">
        <v>725</v>
      </c>
      <c r="R66" s="620">
        <v>1</v>
      </c>
      <c r="S66" s="620">
        <v>200</v>
      </c>
      <c r="T66" s="620">
        <v>8945</v>
      </c>
      <c r="U66" s="620">
        <v>12020</v>
      </c>
      <c r="V66" s="620">
        <v>118501</v>
      </c>
      <c r="W66" s="620">
        <v>30</v>
      </c>
    </row>
    <row r="67" spans="1:23" x14ac:dyDescent="0.25">
      <c r="A67" s="620" t="s">
        <v>726</v>
      </c>
      <c r="B67" s="620" t="s">
        <v>727</v>
      </c>
      <c r="C67" s="620">
        <v>100</v>
      </c>
      <c r="D67" s="620">
        <v>237135</v>
      </c>
      <c r="E67" s="620">
        <v>3108775262</v>
      </c>
      <c r="F67" s="620">
        <v>13345</v>
      </c>
      <c r="G67" s="620">
        <v>12679</v>
      </c>
      <c r="H67" s="620">
        <v>13240</v>
      </c>
      <c r="I67" s="620">
        <v>-105</v>
      </c>
      <c r="J67" s="620">
        <v>-0.79</v>
      </c>
      <c r="K67" s="620">
        <v>13110</v>
      </c>
      <c r="L67" s="620">
        <v>-235</v>
      </c>
      <c r="M67" s="620">
        <v>-1.76</v>
      </c>
      <c r="N67" s="620">
        <v>12679</v>
      </c>
      <c r="O67" s="620">
        <v>13890</v>
      </c>
      <c r="P67" s="620" t="s">
        <v>728</v>
      </c>
      <c r="Q67" s="620" t="s">
        <v>729</v>
      </c>
      <c r="R67" s="620">
        <v>1</v>
      </c>
      <c r="S67" s="620">
        <v>1107</v>
      </c>
      <c r="T67" s="620">
        <v>12801</v>
      </c>
      <c r="U67" s="620">
        <v>13240</v>
      </c>
      <c r="V67" s="620">
        <v>350</v>
      </c>
      <c r="W67" s="620">
        <v>1</v>
      </c>
    </row>
    <row r="68" spans="1:23" x14ac:dyDescent="0.25">
      <c r="A68" s="620" t="s">
        <v>730</v>
      </c>
      <c r="B68" s="620" t="s">
        <v>731</v>
      </c>
      <c r="C68" s="620">
        <v>76</v>
      </c>
      <c r="D68" s="620">
        <v>308220</v>
      </c>
      <c r="E68" s="620">
        <v>1290825360</v>
      </c>
      <c r="F68" s="620">
        <v>4408</v>
      </c>
      <c r="G68" s="620">
        <v>4188</v>
      </c>
      <c r="H68" s="620">
        <v>4188</v>
      </c>
      <c r="I68" s="620">
        <v>-220</v>
      </c>
      <c r="J68" s="620">
        <v>-4.99</v>
      </c>
      <c r="K68" s="620">
        <v>4220</v>
      </c>
      <c r="L68" s="620">
        <v>-188</v>
      </c>
      <c r="M68" s="620">
        <v>-4.26</v>
      </c>
      <c r="N68" s="620">
        <v>4188</v>
      </c>
      <c r="O68" s="620">
        <v>4188</v>
      </c>
      <c r="P68" s="620" t="s">
        <v>732</v>
      </c>
      <c r="Q68" s="620" t="s">
        <v>733</v>
      </c>
      <c r="R68" s="620">
        <v>7</v>
      </c>
      <c r="S68" s="620">
        <v>316862</v>
      </c>
      <c r="T68" s="620">
        <v>3251</v>
      </c>
      <c r="U68" s="620">
        <v>4188</v>
      </c>
      <c r="V68" s="620">
        <v>2771545</v>
      </c>
      <c r="W68" s="620">
        <v>156</v>
      </c>
    </row>
    <row r="69" spans="1:23" x14ac:dyDescent="0.25">
      <c r="A69" s="620" t="s">
        <v>734</v>
      </c>
      <c r="B69" s="620" t="s">
        <v>735</v>
      </c>
      <c r="C69" s="620">
        <v>694</v>
      </c>
      <c r="D69" s="620">
        <v>1804980</v>
      </c>
      <c r="E69" s="620">
        <v>26190259800</v>
      </c>
      <c r="F69" s="620">
        <v>15273</v>
      </c>
      <c r="G69" s="620">
        <v>14510</v>
      </c>
      <c r="H69" s="620">
        <v>14510</v>
      </c>
      <c r="I69" s="620">
        <v>-763</v>
      </c>
      <c r="J69" s="620">
        <v>-5</v>
      </c>
      <c r="K69" s="620">
        <v>14510</v>
      </c>
      <c r="L69" s="620">
        <v>-763</v>
      </c>
      <c r="M69" s="620">
        <v>-5</v>
      </c>
      <c r="N69" s="620">
        <v>14510</v>
      </c>
      <c r="O69" s="620">
        <v>14510</v>
      </c>
      <c r="P69" s="620" t="s">
        <v>736</v>
      </c>
      <c r="Q69" s="620" t="s">
        <v>737</v>
      </c>
      <c r="R69" s="620">
        <v>1</v>
      </c>
      <c r="S69" s="620">
        <v>1000</v>
      </c>
      <c r="T69" s="620">
        <v>12000</v>
      </c>
      <c r="U69" s="620">
        <v>14510</v>
      </c>
      <c r="V69" s="620">
        <v>3082916</v>
      </c>
      <c r="W69" s="620">
        <v>365</v>
      </c>
    </row>
    <row r="70" spans="1:23" x14ac:dyDescent="0.25">
      <c r="A70" s="620" t="s">
        <v>738</v>
      </c>
      <c r="B70" s="620" t="s">
        <v>739</v>
      </c>
      <c r="C70" s="620">
        <v>3</v>
      </c>
      <c r="D70" s="620">
        <v>2500</v>
      </c>
      <c r="E70" s="620">
        <v>2533998000</v>
      </c>
      <c r="F70" s="620">
        <v>1000000</v>
      </c>
      <c r="G70" s="620">
        <v>1011900</v>
      </c>
      <c r="H70" s="620">
        <v>1022712</v>
      </c>
      <c r="I70" s="620">
        <v>22712</v>
      </c>
      <c r="J70" s="620">
        <v>2.27</v>
      </c>
      <c r="K70" s="620">
        <v>1013599</v>
      </c>
      <c r="L70" s="620">
        <v>13599</v>
      </c>
      <c r="M70" s="620">
        <v>1.36</v>
      </c>
      <c r="N70" s="620">
        <v>1011900</v>
      </c>
      <c r="O70" s="620">
        <v>1022712</v>
      </c>
      <c r="R70" s="620">
        <v>1</v>
      </c>
      <c r="S70" s="620">
        <v>250</v>
      </c>
      <c r="T70" s="620">
        <v>1012587</v>
      </c>
      <c r="U70" s="620">
        <v>1022712</v>
      </c>
      <c r="V70" s="620">
        <v>50</v>
      </c>
      <c r="W70" s="620">
        <v>1</v>
      </c>
    </row>
    <row r="71" spans="1:23" x14ac:dyDescent="0.25">
      <c r="A71" s="620" t="s">
        <v>740</v>
      </c>
      <c r="B71" s="620" t="s">
        <v>741</v>
      </c>
      <c r="C71" s="620">
        <v>63</v>
      </c>
      <c r="D71" s="620">
        <v>342138</v>
      </c>
      <c r="E71" s="620">
        <v>770541674</v>
      </c>
      <c r="F71" s="620">
        <v>2295</v>
      </c>
      <c r="G71" s="620">
        <v>2250</v>
      </c>
      <c r="H71" s="620">
        <v>2250</v>
      </c>
      <c r="I71" s="620">
        <v>-45</v>
      </c>
      <c r="J71" s="620">
        <v>-1.96</v>
      </c>
      <c r="K71" s="620">
        <v>2252</v>
      </c>
      <c r="L71" s="620">
        <v>-43</v>
      </c>
      <c r="M71" s="620">
        <v>-1.87</v>
      </c>
      <c r="N71" s="620">
        <v>2250</v>
      </c>
      <c r="O71" s="620">
        <v>2339</v>
      </c>
      <c r="P71" s="620" t="s">
        <v>742</v>
      </c>
      <c r="Q71" s="620" t="s">
        <v>743</v>
      </c>
      <c r="R71" s="620">
        <v>1</v>
      </c>
      <c r="S71" s="620">
        <v>883</v>
      </c>
      <c r="T71" s="620">
        <v>2250</v>
      </c>
      <c r="U71" s="620">
        <v>2319</v>
      </c>
      <c r="V71" s="620">
        <v>1000</v>
      </c>
      <c r="W71" s="620">
        <v>1</v>
      </c>
    </row>
    <row r="72" spans="1:23" x14ac:dyDescent="0.25">
      <c r="A72" s="620" t="s">
        <v>744</v>
      </c>
      <c r="B72" s="620" t="s">
        <v>745</v>
      </c>
      <c r="C72" s="620">
        <v>0</v>
      </c>
      <c r="D72" s="620">
        <v>0</v>
      </c>
      <c r="E72" s="620">
        <v>0</v>
      </c>
      <c r="F72" s="620">
        <v>1</v>
      </c>
      <c r="G72" s="620">
        <v>0</v>
      </c>
      <c r="H72" s="620">
        <v>1</v>
      </c>
      <c r="I72" s="620">
        <v>0</v>
      </c>
      <c r="J72" s="620">
        <v>0</v>
      </c>
      <c r="K72" s="620">
        <v>1</v>
      </c>
      <c r="L72" s="620">
        <v>0</v>
      </c>
      <c r="M72" s="620">
        <v>0</v>
      </c>
      <c r="N72" s="620">
        <v>0</v>
      </c>
      <c r="O72" s="620">
        <v>0</v>
      </c>
      <c r="R72" s="620">
        <v>5</v>
      </c>
      <c r="S72" s="620">
        <v>500</v>
      </c>
      <c r="T72" s="620">
        <v>1</v>
      </c>
      <c r="U72" s="620">
        <v>0</v>
      </c>
      <c r="V72" s="620">
        <v>0</v>
      </c>
      <c r="W72" s="620">
        <v>0</v>
      </c>
    </row>
    <row r="73" spans="1:23" x14ac:dyDescent="0.25">
      <c r="A73" s="620" t="s">
        <v>347</v>
      </c>
      <c r="B73" s="620" t="s">
        <v>746</v>
      </c>
      <c r="C73" s="620">
        <v>177</v>
      </c>
      <c r="D73" s="620">
        <v>398497</v>
      </c>
      <c r="E73" s="620">
        <v>6208368512</v>
      </c>
      <c r="F73" s="620">
        <v>15467</v>
      </c>
      <c r="G73" s="620">
        <v>15327</v>
      </c>
      <c r="H73" s="620">
        <v>16240</v>
      </c>
      <c r="I73" s="620">
        <v>773</v>
      </c>
      <c r="J73" s="620">
        <v>5</v>
      </c>
      <c r="K73" s="620">
        <v>15537</v>
      </c>
      <c r="L73" s="620">
        <v>70</v>
      </c>
      <c r="M73" s="620">
        <v>0.45</v>
      </c>
      <c r="N73" s="620">
        <v>15003</v>
      </c>
      <c r="O73" s="620">
        <v>16240</v>
      </c>
      <c r="P73" s="620" t="s">
        <v>747</v>
      </c>
      <c r="Q73" s="620" t="s">
        <v>748</v>
      </c>
      <c r="R73" s="620">
        <v>1</v>
      </c>
      <c r="S73" s="620">
        <v>454</v>
      </c>
      <c r="T73" s="620">
        <v>15400</v>
      </c>
      <c r="U73" s="620">
        <v>16240</v>
      </c>
      <c r="V73" s="620">
        <v>18309</v>
      </c>
      <c r="W73" s="620">
        <v>10</v>
      </c>
    </row>
    <row r="74" spans="1:23" x14ac:dyDescent="0.25">
      <c r="A74" s="620" t="s">
        <v>749</v>
      </c>
      <c r="B74" s="620" t="s">
        <v>750</v>
      </c>
      <c r="C74" s="620">
        <v>73</v>
      </c>
      <c r="D74" s="620">
        <v>30531</v>
      </c>
      <c r="E74" s="620">
        <v>1607151840</v>
      </c>
      <c r="F74" s="620">
        <v>55410</v>
      </c>
      <c r="G74" s="620">
        <v>52640</v>
      </c>
      <c r="H74" s="620">
        <v>52640</v>
      </c>
      <c r="I74" s="620">
        <v>-2770</v>
      </c>
      <c r="J74" s="620">
        <v>-5</v>
      </c>
      <c r="K74" s="620">
        <v>53296</v>
      </c>
      <c r="L74" s="620">
        <v>-2114</v>
      </c>
      <c r="M74" s="620">
        <v>-3.82</v>
      </c>
      <c r="N74" s="620">
        <v>52640</v>
      </c>
      <c r="O74" s="620">
        <v>52640</v>
      </c>
      <c r="P74" s="620" t="s">
        <v>751</v>
      </c>
      <c r="Q74" s="620" t="s">
        <v>752</v>
      </c>
      <c r="R74" s="620">
        <v>1</v>
      </c>
      <c r="S74" s="620">
        <v>250</v>
      </c>
      <c r="T74" s="620">
        <v>51046</v>
      </c>
      <c r="U74" s="620">
        <v>52640</v>
      </c>
      <c r="V74" s="620">
        <v>18564</v>
      </c>
      <c r="W74" s="620">
        <v>12</v>
      </c>
    </row>
    <row r="75" spans="1:23" x14ac:dyDescent="0.25">
      <c r="A75" s="620" t="s">
        <v>753</v>
      </c>
      <c r="B75" s="620" t="s">
        <v>754</v>
      </c>
      <c r="C75" s="620">
        <v>580</v>
      </c>
      <c r="D75" s="620">
        <v>1214453</v>
      </c>
      <c r="E75" s="620">
        <v>18381101364</v>
      </c>
      <c r="F75" s="620">
        <v>15500</v>
      </c>
      <c r="G75" s="620">
        <v>15000</v>
      </c>
      <c r="H75" s="620">
        <v>15199</v>
      </c>
      <c r="I75" s="620">
        <v>-301</v>
      </c>
      <c r="J75" s="620">
        <v>-1.94</v>
      </c>
      <c r="K75" s="620">
        <v>15135</v>
      </c>
      <c r="L75" s="620">
        <v>-365</v>
      </c>
      <c r="M75" s="620">
        <v>-2.35</v>
      </c>
      <c r="N75" s="620">
        <v>14900</v>
      </c>
      <c r="O75" s="620">
        <v>15396</v>
      </c>
      <c r="P75" s="620" t="s">
        <v>755</v>
      </c>
      <c r="Q75" s="620" t="s">
        <v>756</v>
      </c>
      <c r="R75" s="620">
        <v>1</v>
      </c>
      <c r="S75" s="620">
        <v>1521</v>
      </c>
      <c r="T75" s="620">
        <v>15199</v>
      </c>
      <c r="U75" s="620">
        <v>15200</v>
      </c>
      <c r="V75" s="620">
        <v>64</v>
      </c>
      <c r="W75" s="620">
        <v>1</v>
      </c>
    </row>
    <row r="76" spans="1:23" x14ac:dyDescent="0.25">
      <c r="A76" s="620" t="s">
        <v>757</v>
      </c>
      <c r="B76" s="620" t="s">
        <v>758</v>
      </c>
      <c r="C76" s="620">
        <v>33</v>
      </c>
      <c r="D76" s="620">
        <v>87707</v>
      </c>
      <c r="E76" s="620">
        <v>1130806351</v>
      </c>
      <c r="F76" s="620">
        <v>13571</v>
      </c>
      <c r="G76" s="620">
        <v>12893</v>
      </c>
      <c r="H76" s="620">
        <v>12893</v>
      </c>
      <c r="I76" s="620">
        <v>-678</v>
      </c>
      <c r="J76" s="620">
        <v>-5</v>
      </c>
      <c r="K76" s="620">
        <v>13075</v>
      </c>
      <c r="L76" s="620">
        <v>-496</v>
      </c>
      <c r="M76" s="620">
        <v>-3.65</v>
      </c>
      <c r="N76" s="620">
        <v>12893</v>
      </c>
      <c r="O76" s="620">
        <v>12893</v>
      </c>
      <c r="P76" s="620" t="s">
        <v>759</v>
      </c>
      <c r="Q76" s="620" t="s">
        <v>760</v>
      </c>
      <c r="R76" s="620">
        <v>1</v>
      </c>
      <c r="S76" s="620">
        <v>100</v>
      </c>
      <c r="T76" s="620">
        <v>11567</v>
      </c>
      <c r="U76" s="620">
        <v>12893</v>
      </c>
      <c r="V76" s="620">
        <v>704930</v>
      </c>
      <c r="W76" s="620">
        <v>114</v>
      </c>
    </row>
    <row r="77" spans="1:23" x14ac:dyDescent="0.25">
      <c r="A77" s="620" t="s">
        <v>761</v>
      </c>
      <c r="B77" s="620" t="s">
        <v>762</v>
      </c>
      <c r="C77" s="620">
        <v>31</v>
      </c>
      <c r="D77" s="620">
        <v>39194</v>
      </c>
      <c r="E77" s="620">
        <v>28143652825</v>
      </c>
      <c r="F77" s="620">
        <v>716250</v>
      </c>
      <c r="G77" s="620">
        <v>716990</v>
      </c>
      <c r="H77" s="620">
        <v>718022</v>
      </c>
      <c r="I77" s="620">
        <v>1772</v>
      </c>
      <c r="J77" s="620">
        <v>0.25</v>
      </c>
      <c r="K77" s="620">
        <v>718060</v>
      </c>
      <c r="L77" s="620">
        <v>1810</v>
      </c>
      <c r="M77" s="620">
        <v>0.25</v>
      </c>
      <c r="N77" s="620">
        <v>716112</v>
      </c>
      <c r="O77" s="620">
        <v>719487</v>
      </c>
      <c r="R77" s="620">
        <v>1</v>
      </c>
      <c r="S77" s="620">
        <v>3986</v>
      </c>
      <c r="T77" s="620">
        <v>716200</v>
      </c>
      <c r="U77" s="620">
        <v>719499</v>
      </c>
      <c r="V77" s="620">
        <v>25000</v>
      </c>
      <c r="W77" s="620">
        <v>1</v>
      </c>
    </row>
    <row r="78" spans="1:23" x14ac:dyDescent="0.25">
      <c r="A78" s="620" t="s">
        <v>763</v>
      </c>
      <c r="B78" s="620" t="s">
        <v>764</v>
      </c>
      <c r="C78" s="620">
        <v>441</v>
      </c>
      <c r="D78" s="620">
        <v>693450</v>
      </c>
      <c r="E78" s="620">
        <v>9770127151</v>
      </c>
      <c r="F78" s="620">
        <v>14165</v>
      </c>
      <c r="G78" s="620">
        <v>13750</v>
      </c>
      <c r="H78" s="620">
        <v>13741</v>
      </c>
      <c r="I78" s="620">
        <v>-424</v>
      </c>
      <c r="J78" s="620">
        <v>-2.99</v>
      </c>
      <c r="K78" s="620">
        <v>14089</v>
      </c>
      <c r="L78" s="620">
        <v>-76</v>
      </c>
      <c r="M78" s="620">
        <v>-0.54</v>
      </c>
      <c r="N78" s="620">
        <v>13741</v>
      </c>
      <c r="O78" s="620">
        <v>14589</v>
      </c>
      <c r="P78" s="620" t="s">
        <v>765</v>
      </c>
      <c r="Q78" s="620" t="s">
        <v>766</v>
      </c>
      <c r="R78" s="620">
        <v>0</v>
      </c>
      <c r="S78" s="620">
        <v>0</v>
      </c>
      <c r="T78" s="620">
        <v>0</v>
      </c>
      <c r="U78" s="620">
        <v>13741</v>
      </c>
      <c r="V78" s="620">
        <v>6369</v>
      </c>
      <c r="W78" s="620">
        <v>3</v>
      </c>
    </row>
    <row r="79" spans="1:23" x14ac:dyDescent="0.25">
      <c r="A79" s="620" t="s">
        <v>767</v>
      </c>
      <c r="B79" s="620" t="s">
        <v>768</v>
      </c>
      <c r="C79" s="620">
        <v>203</v>
      </c>
      <c r="D79" s="620">
        <v>677509</v>
      </c>
      <c r="E79" s="620">
        <v>15258857698</v>
      </c>
      <c r="F79" s="620">
        <v>23707</v>
      </c>
      <c r="G79" s="620">
        <v>22522</v>
      </c>
      <c r="H79" s="620">
        <v>22522</v>
      </c>
      <c r="I79" s="620">
        <v>-1185</v>
      </c>
      <c r="J79" s="620">
        <v>-5</v>
      </c>
      <c r="K79" s="620">
        <v>22522</v>
      </c>
      <c r="L79" s="620">
        <v>-1185</v>
      </c>
      <c r="M79" s="620">
        <v>-5</v>
      </c>
      <c r="N79" s="620">
        <v>22522</v>
      </c>
      <c r="O79" s="620">
        <v>22522</v>
      </c>
      <c r="P79" s="620" t="s">
        <v>769</v>
      </c>
      <c r="Q79" s="620" t="s">
        <v>770</v>
      </c>
      <c r="R79" s="620">
        <v>0</v>
      </c>
      <c r="S79" s="620">
        <v>0</v>
      </c>
      <c r="T79" s="620">
        <v>0</v>
      </c>
      <c r="U79" s="620">
        <v>22522</v>
      </c>
      <c r="V79" s="620">
        <v>494642</v>
      </c>
      <c r="W79" s="620">
        <v>200</v>
      </c>
    </row>
    <row r="80" spans="1:23" x14ac:dyDescent="0.25">
      <c r="A80" s="620" t="s">
        <v>771</v>
      </c>
      <c r="B80" s="620" t="s">
        <v>772</v>
      </c>
      <c r="C80" s="620">
        <v>10</v>
      </c>
      <c r="D80" s="620">
        <v>4290</v>
      </c>
      <c r="E80" s="620">
        <v>2937142285</v>
      </c>
      <c r="F80" s="620">
        <v>683420</v>
      </c>
      <c r="G80" s="620">
        <v>684302</v>
      </c>
      <c r="H80" s="620">
        <v>686000</v>
      </c>
      <c r="I80" s="620">
        <v>2580</v>
      </c>
      <c r="J80" s="620">
        <v>0.38</v>
      </c>
      <c r="K80" s="620">
        <v>684649</v>
      </c>
      <c r="L80" s="620">
        <v>1229</v>
      </c>
      <c r="M80" s="620">
        <v>0.18</v>
      </c>
      <c r="N80" s="620">
        <v>684102</v>
      </c>
      <c r="O80" s="620">
        <v>691000</v>
      </c>
      <c r="R80" s="620">
        <v>1</v>
      </c>
      <c r="S80" s="620">
        <v>6</v>
      </c>
      <c r="T80" s="620">
        <v>686001</v>
      </c>
      <c r="U80" s="620">
        <v>690987</v>
      </c>
      <c r="V80" s="620">
        <v>300</v>
      </c>
      <c r="W80" s="620">
        <v>1</v>
      </c>
    </row>
    <row r="81" spans="1:23" x14ac:dyDescent="0.25">
      <c r="A81" s="620" t="s">
        <v>773</v>
      </c>
      <c r="B81" s="620" t="s">
        <v>774</v>
      </c>
      <c r="C81" s="620">
        <v>49</v>
      </c>
      <c r="D81" s="620">
        <v>76838</v>
      </c>
      <c r="E81" s="620">
        <v>1042845336</v>
      </c>
      <c r="F81" s="620">
        <v>14286</v>
      </c>
      <c r="G81" s="620">
        <v>13572</v>
      </c>
      <c r="H81" s="620">
        <v>13572</v>
      </c>
      <c r="I81" s="620">
        <v>-714</v>
      </c>
      <c r="J81" s="620">
        <v>-5</v>
      </c>
      <c r="K81" s="620">
        <v>13572</v>
      </c>
      <c r="L81" s="620">
        <v>-714</v>
      </c>
      <c r="M81" s="620">
        <v>-5</v>
      </c>
      <c r="N81" s="620">
        <v>13572</v>
      </c>
      <c r="O81" s="620">
        <v>13572</v>
      </c>
      <c r="P81" s="620" t="s">
        <v>775</v>
      </c>
      <c r="Q81" s="620" t="s">
        <v>776</v>
      </c>
      <c r="R81" s="620">
        <v>0</v>
      </c>
      <c r="S81" s="620">
        <v>0</v>
      </c>
      <c r="T81" s="620">
        <v>0</v>
      </c>
      <c r="U81" s="620">
        <v>13572</v>
      </c>
      <c r="V81" s="620">
        <v>8311802</v>
      </c>
      <c r="W81" s="620">
        <v>740</v>
      </c>
    </row>
    <row r="82" spans="1:23" x14ac:dyDescent="0.25">
      <c r="A82" s="620" t="s">
        <v>777</v>
      </c>
      <c r="B82" s="620" t="s">
        <v>778</v>
      </c>
      <c r="C82" s="620">
        <v>3734</v>
      </c>
      <c r="D82" s="620">
        <v>2903899</v>
      </c>
      <c r="E82" s="620">
        <v>80727804594</v>
      </c>
      <c r="F82" s="620">
        <v>29174</v>
      </c>
      <c r="G82" s="620">
        <v>27716</v>
      </c>
      <c r="H82" s="620">
        <v>27716</v>
      </c>
      <c r="I82" s="620">
        <v>-1458</v>
      </c>
      <c r="J82" s="620">
        <v>-5</v>
      </c>
      <c r="K82" s="620">
        <v>27800</v>
      </c>
      <c r="L82" s="620">
        <v>-1374</v>
      </c>
      <c r="M82" s="620">
        <v>-4.71</v>
      </c>
      <c r="N82" s="620">
        <v>27716</v>
      </c>
      <c r="O82" s="620">
        <v>28500</v>
      </c>
      <c r="P82" s="620" t="s">
        <v>779</v>
      </c>
      <c r="Q82" s="620" t="s">
        <v>780</v>
      </c>
      <c r="R82" s="620">
        <v>2</v>
      </c>
      <c r="S82" s="620">
        <v>100</v>
      </c>
      <c r="T82" s="620">
        <v>27716</v>
      </c>
      <c r="U82" s="620">
        <v>27716</v>
      </c>
      <c r="V82" s="620">
        <v>270015</v>
      </c>
      <c r="W82" s="620">
        <v>201</v>
      </c>
    </row>
    <row r="83" spans="1:23" x14ac:dyDescent="0.25">
      <c r="A83" s="620" t="s">
        <v>781</v>
      </c>
      <c r="B83" s="620" t="s">
        <v>782</v>
      </c>
      <c r="C83" s="620">
        <v>0</v>
      </c>
      <c r="D83" s="620">
        <v>0</v>
      </c>
      <c r="E83" s="620">
        <v>0</v>
      </c>
      <c r="F83" s="620">
        <v>1</v>
      </c>
      <c r="G83" s="620">
        <v>0</v>
      </c>
      <c r="H83" s="620">
        <v>1</v>
      </c>
      <c r="I83" s="620">
        <v>0</v>
      </c>
      <c r="J83" s="620">
        <v>0</v>
      </c>
      <c r="K83" s="620">
        <v>1</v>
      </c>
      <c r="L83" s="620">
        <v>0</v>
      </c>
      <c r="M83" s="620">
        <v>0</v>
      </c>
      <c r="N83" s="620">
        <v>0</v>
      </c>
      <c r="O83" s="620">
        <v>0</v>
      </c>
      <c r="R83" s="620">
        <v>1</v>
      </c>
      <c r="S83" s="620">
        <v>50</v>
      </c>
      <c r="T83" s="620">
        <v>1</v>
      </c>
      <c r="U83" s="620">
        <v>0</v>
      </c>
      <c r="V83" s="620">
        <v>0</v>
      </c>
      <c r="W83" s="620">
        <v>0</v>
      </c>
    </row>
    <row r="84" spans="1:23" x14ac:dyDescent="0.25">
      <c r="A84" s="620" t="s">
        <v>783</v>
      </c>
      <c r="B84" s="620" t="s">
        <v>784</v>
      </c>
      <c r="C84" s="620">
        <v>899</v>
      </c>
      <c r="D84" s="620">
        <v>1274315</v>
      </c>
      <c r="E84" s="620">
        <v>22788214390</v>
      </c>
      <c r="F84" s="620">
        <v>18774</v>
      </c>
      <c r="G84" s="620">
        <v>17836</v>
      </c>
      <c r="H84" s="620">
        <v>17836</v>
      </c>
      <c r="I84" s="620">
        <v>-938</v>
      </c>
      <c r="J84" s="620">
        <v>-5</v>
      </c>
      <c r="K84" s="620">
        <v>17883</v>
      </c>
      <c r="L84" s="620">
        <v>-891</v>
      </c>
      <c r="M84" s="620">
        <v>-4.75</v>
      </c>
      <c r="N84" s="620">
        <v>17836</v>
      </c>
      <c r="O84" s="620">
        <v>18371</v>
      </c>
      <c r="P84" s="620" t="s">
        <v>785</v>
      </c>
      <c r="Q84" s="620" t="s">
        <v>786</v>
      </c>
      <c r="R84" s="620">
        <v>0</v>
      </c>
      <c r="S84" s="620">
        <v>0</v>
      </c>
      <c r="T84" s="620">
        <v>0</v>
      </c>
      <c r="U84" s="620">
        <v>17836</v>
      </c>
      <c r="V84" s="620">
        <v>333722</v>
      </c>
      <c r="W84" s="620">
        <v>58</v>
      </c>
    </row>
    <row r="85" spans="1:23" x14ac:dyDescent="0.25">
      <c r="A85" s="620" t="s">
        <v>787</v>
      </c>
      <c r="B85" s="620" t="s">
        <v>788</v>
      </c>
      <c r="C85" s="620">
        <v>707</v>
      </c>
      <c r="D85" s="620">
        <v>2583011</v>
      </c>
      <c r="E85" s="620">
        <v>37512878191</v>
      </c>
      <c r="F85" s="620">
        <v>15271</v>
      </c>
      <c r="G85" s="620">
        <v>14508</v>
      </c>
      <c r="H85" s="620">
        <v>14508</v>
      </c>
      <c r="I85" s="620">
        <v>-763</v>
      </c>
      <c r="J85" s="620">
        <v>-5</v>
      </c>
      <c r="K85" s="620">
        <v>14523</v>
      </c>
      <c r="L85" s="620">
        <v>-748</v>
      </c>
      <c r="M85" s="620">
        <v>-4.9000000000000004</v>
      </c>
      <c r="N85" s="620">
        <v>14508</v>
      </c>
      <c r="O85" s="620">
        <v>15200</v>
      </c>
      <c r="P85" s="620" t="s">
        <v>789</v>
      </c>
      <c r="Q85" s="620" t="s">
        <v>790</v>
      </c>
      <c r="R85" s="620">
        <v>0</v>
      </c>
      <c r="S85" s="620">
        <v>0</v>
      </c>
      <c r="T85" s="620">
        <v>0</v>
      </c>
      <c r="U85" s="620">
        <v>14508</v>
      </c>
      <c r="V85" s="620">
        <v>207553</v>
      </c>
      <c r="W85" s="620">
        <v>33</v>
      </c>
    </row>
    <row r="86" spans="1:23" x14ac:dyDescent="0.25">
      <c r="A86" s="620" t="s">
        <v>791</v>
      </c>
      <c r="B86" s="620" t="s">
        <v>792</v>
      </c>
      <c r="C86" s="620">
        <v>1723</v>
      </c>
      <c r="D86" s="620">
        <v>11515884</v>
      </c>
      <c r="E86" s="620">
        <v>37678591357</v>
      </c>
      <c r="F86" s="620">
        <v>3438</v>
      </c>
      <c r="G86" s="620">
        <v>3267</v>
      </c>
      <c r="H86" s="620">
        <v>3267</v>
      </c>
      <c r="I86" s="620">
        <v>-171</v>
      </c>
      <c r="J86" s="620">
        <v>-4.97</v>
      </c>
      <c r="K86" s="620">
        <v>3272</v>
      </c>
      <c r="L86" s="620">
        <v>-166</v>
      </c>
      <c r="M86" s="620">
        <v>-4.83</v>
      </c>
      <c r="N86" s="620">
        <v>3267</v>
      </c>
      <c r="O86" s="620">
        <v>3341</v>
      </c>
      <c r="P86" s="620" t="s">
        <v>793</v>
      </c>
      <c r="Q86" s="620" t="s">
        <v>794</v>
      </c>
      <c r="R86" s="620">
        <v>0</v>
      </c>
      <c r="S86" s="620">
        <v>0</v>
      </c>
      <c r="T86" s="620">
        <v>0</v>
      </c>
      <c r="U86" s="620">
        <v>3267</v>
      </c>
      <c r="V86" s="620">
        <v>2623403</v>
      </c>
      <c r="W86" s="620">
        <v>163</v>
      </c>
    </row>
    <row r="87" spans="1:23" x14ac:dyDescent="0.25">
      <c r="A87" s="620" t="s">
        <v>795</v>
      </c>
      <c r="B87" s="620" t="s">
        <v>796</v>
      </c>
      <c r="C87" s="620">
        <v>293</v>
      </c>
      <c r="D87" s="620">
        <v>3964</v>
      </c>
      <c r="E87" s="620">
        <v>1530850553</v>
      </c>
      <c r="F87" s="620">
        <v>388737</v>
      </c>
      <c r="G87" s="620">
        <v>388736</v>
      </c>
      <c r="H87" s="620">
        <v>395000</v>
      </c>
      <c r="I87" s="620">
        <v>6263</v>
      </c>
      <c r="J87" s="620">
        <v>1.61</v>
      </c>
      <c r="K87" s="620">
        <v>386188</v>
      </c>
      <c r="L87" s="620">
        <v>-2549</v>
      </c>
      <c r="M87" s="620">
        <v>-0.66</v>
      </c>
      <c r="N87" s="620">
        <v>372000</v>
      </c>
      <c r="O87" s="620">
        <v>399000</v>
      </c>
      <c r="R87" s="620">
        <v>0</v>
      </c>
      <c r="S87" s="620">
        <v>0</v>
      </c>
      <c r="T87" s="620">
        <v>0</v>
      </c>
      <c r="U87" s="620">
        <v>400000</v>
      </c>
      <c r="V87" s="620">
        <v>9</v>
      </c>
      <c r="W87" s="620">
        <v>1</v>
      </c>
    </row>
    <row r="88" spans="1:23" x14ac:dyDescent="0.25">
      <c r="A88" s="620" t="s">
        <v>797</v>
      </c>
      <c r="B88" s="620" t="s">
        <v>798</v>
      </c>
      <c r="C88" s="620">
        <v>5</v>
      </c>
      <c r="D88" s="620">
        <v>655</v>
      </c>
      <c r="E88" s="620">
        <v>570990000</v>
      </c>
      <c r="F88" s="620">
        <v>858036</v>
      </c>
      <c r="G88" s="620">
        <v>869180</v>
      </c>
      <c r="H88" s="620">
        <v>880000</v>
      </c>
      <c r="I88" s="620">
        <v>21964</v>
      </c>
      <c r="J88" s="620">
        <v>2.56</v>
      </c>
      <c r="K88" s="620">
        <v>871740</v>
      </c>
      <c r="L88" s="620">
        <v>13704</v>
      </c>
      <c r="M88" s="620">
        <v>1.6</v>
      </c>
      <c r="N88" s="620">
        <v>869180</v>
      </c>
      <c r="O88" s="620">
        <v>880000</v>
      </c>
      <c r="R88" s="620">
        <v>1</v>
      </c>
      <c r="S88" s="620">
        <v>100</v>
      </c>
      <c r="T88" s="620">
        <v>825000</v>
      </c>
      <c r="U88" s="620">
        <v>0</v>
      </c>
      <c r="V88" s="620">
        <v>0</v>
      </c>
      <c r="W88" s="620">
        <v>0</v>
      </c>
    </row>
    <row r="89" spans="1:23" x14ac:dyDescent="0.25">
      <c r="A89" s="620" t="s">
        <v>799</v>
      </c>
      <c r="B89" s="620" t="s">
        <v>800</v>
      </c>
      <c r="C89" s="620">
        <v>328</v>
      </c>
      <c r="D89" s="620">
        <v>973356</v>
      </c>
      <c r="E89" s="620">
        <v>8758257288</v>
      </c>
      <c r="F89" s="620">
        <v>9471</v>
      </c>
      <c r="G89" s="620">
        <v>8998</v>
      </c>
      <c r="H89" s="620">
        <v>8998</v>
      </c>
      <c r="I89" s="620">
        <v>-473</v>
      </c>
      <c r="J89" s="620">
        <v>-4.99</v>
      </c>
      <c r="K89" s="620">
        <v>8998</v>
      </c>
      <c r="L89" s="620">
        <v>-473</v>
      </c>
      <c r="M89" s="620">
        <v>-4.99</v>
      </c>
      <c r="N89" s="620">
        <v>8998</v>
      </c>
      <c r="O89" s="620">
        <v>8998</v>
      </c>
      <c r="P89" s="620" t="s">
        <v>627</v>
      </c>
      <c r="R89" s="620">
        <v>1</v>
      </c>
      <c r="S89" s="620">
        <v>1500</v>
      </c>
      <c r="T89" s="620">
        <v>8000</v>
      </c>
      <c r="U89" s="620">
        <v>8998</v>
      </c>
      <c r="V89" s="620">
        <v>1604241</v>
      </c>
      <c r="W89" s="620">
        <v>241</v>
      </c>
    </row>
    <row r="90" spans="1:23" x14ac:dyDescent="0.25">
      <c r="A90" s="620" t="s">
        <v>801</v>
      </c>
      <c r="B90" s="620" t="s">
        <v>802</v>
      </c>
      <c r="C90" s="620">
        <v>0</v>
      </c>
      <c r="D90" s="620">
        <v>0</v>
      </c>
      <c r="E90" s="620">
        <v>0</v>
      </c>
      <c r="F90" s="620">
        <v>50960</v>
      </c>
      <c r="G90" s="620">
        <v>0</v>
      </c>
      <c r="H90" s="620">
        <v>50828</v>
      </c>
      <c r="I90" s="620">
        <v>-132</v>
      </c>
      <c r="J90" s="620">
        <v>-0.26</v>
      </c>
      <c r="K90" s="620">
        <v>49799</v>
      </c>
      <c r="L90" s="620">
        <v>-1161</v>
      </c>
      <c r="M90" s="620">
        <v>-2.2799999999999998</v>
      </c>
      <c r="N90" s="620">
        <v>0</v>
      </c>
      <c r="O90" s="620">
        <v>0</v>
      </c>
      <c r="R90" s="620">
        <v>1</v>
      </c>
      <c r="S90" s="620">
        <v>1</v>
      </c>
      <c r="T90" s="620">
        <v>48600</v>
      </c>
      <c r="U90" s="620">
        <v>0</v>
      </c>
      <c r="V90" s="620">
        <v>0</v>
      </c>
      <c r="W90" s="620">
        <v>0</v>
      </c>
    </row>
    <row r="91" spans="1:23" x14ac:dyDescent="0.25">
      <c r="A91" s="620" t="s">
        <v>803</v>
      </c>
      <c r="B91" s="620" t="s">
        <v>804</v>
      </c>
      <c r="C91" s="620">
        <v>73</v>
      </c>
      <c r="D91" s="620">
        <v>279567</v>
      </c>
      <c r="E91" s="620">
        <v>700315335</v>
      </c>
      <c r="F91" s="620">
        <v>2636</v>
      </c>
      <c r="G91" s="620">
        <v>2505</v>
      </c>
      <c r="H91" s="620">
        <v>2505</v>
      </c>
      <c r="I91" s="620">
        <v>-131</v>
      </c>
      <c r="J91" s="620">
        <v>-4.97</v>
      </c>
      <c r="K91" s="620">
        <v>2534</v>
      </c>
      <c r="L91" s="620">
        <v>-102</v>
      </c>
      <c r="M91" s="620">
        <v>-3.87</v>
      </c>
      <c r="N91" s="620">
        <v>2505</v>
      </c>
      <c r="O91" s="620">
        <v>2505</v>
      </c>
      <c r="P91" s="620" t="s">
        <v>805</v>
      </c>
      <c r="Q91" s="620" t="s">
        <v>806</v>
      </c>
      <c r="R91" s="620">
        <v>1</v>
      </c>
      <c r="S91" s="620">
        <v>1367</v>
      </c>
      <c r="T91" s="620">
        <v>2450</v>
      </c>
      <c r="U91" s="620">
        <v>2505</v>
      </c>
      <c r="V91" s="620">
        <v>6973022</v>
      </c>
      <c r="W91" s="620">
        <v>239</v>
      </c>
    </row>
    <row r="92" spans="1:23" x14ac:dyDescent="0.25">
      <c r="A92" s="620" t="s">
        <v>807</v>
      </c>
      <c r="B92" s="620" t="s">
        <v>808</v>
      </c>
      <c r="C92" s="620">
        <v>848</v>
      </c>
      <c r="D92" s="620">
        <v>1446182</v>
      </c>
      <c r="E92" s="620">
        <v>78159990882</v>
      </c>
      <c r="F92" s="620">
        <v>53418</v>
      </c>
      <c r="G92" s="620">
        <v>53500</v>
      </c>
      <c r="H92" s="620">
        <v>54001</v>
      </c>
      <c r="I92" s="620">
        <v>583</v>
      </c>
      <c r="J92" s="620">
        <v>1.0900000000000001</v>
      </c>
      <c r="K92" s="620">
        <v>54046</v>
      </c>
      <c r="L92" s="620">
        <v>628</v>
      </c>
      <c r="M92" s="620">
        <v>1.18</v>
      </c>
      <c r="N92" s="620">
        <v>53500</v>
      </c>
      <c r="O92" s="620">
        <v>55439</v>
      </c>
      <c r="P92" s="620" t="s">
        <v>809</v>
      </c>
      <c r="Q92" s="620" t="s">
        <v>810</v>
      </c>
      <c r="R92" s="620">
        <v>2</v>
      </c>
      <c r="S92" s="620">
        <v>259</v>
      </c>
      <c r="T92" s="620">
        <v>53950</v>
      </c>
      <c r="U92" s="620">
        <v>54480</v>
      </c>
      <c r="V92" s="620">
        <v>3500</v>
      </c>
      <c r="W92" s="620">
        <v>1</v>
      </c>
    </row>
    <row r="93" spans="1:23" x14ac:dyDescent="0.25">
      <c r="A93" s="620" t="s">
        <v>811</v>
      </c>
      <c r="B93" s="620" t="s">
        <v>812</v>
      </c>
      <c r="C93" s="620">
        <v>53</v>
      </c>
      <c r="D93" s="620">
        <v>41803</v>
      </c>
      <c r="E93" s="620">
        <v>1586632865</v>
      </c>
      <c r="F93" s="620">
        <v>39952</v>
      </c>
      <c r="G93" s="620">
        <v>37955</v>
      </c>
      <c r="H93" s="620">
        <v>37955</v>
      </c>
      <c r="I93" s="620">
        <v>-1997</v>
      </c>
      <c r="J93" s="620">
        <v>-5</v>
      </c>
      <c r="K93" s="620">
        <v>37955</v>
      </c>
      <c r="L93" s="620">
        <v>-1997</v>
      </c>
      <c r="M93" s="620">
        <v>-5</v>
      </c>
      <c r="N93" s="620">
        <v>37955</v>
      </c>
      <c r="O93" s="620">
        <v>37955</v>
      </c>
      <c r="P93" s="620" t="s">
        <v>813</v>
      </c>
      <c r="Q93" s="620" t="s">
        <v>814</v>
      </c>
      <c r="R93" s="620">
        <v>1</v>
      </c>
      <c r="S93" s="620">
        <v>50</v>
      </c>
      <c r="T93" s="620">
        <v>37955</v>
      </c>
      <c r="U93" s="620">
        <v>37955</v>
      </c>
      <c r="V93" s="620">
        <v>135077</v>
      </c>
      <c r="W93" s="620">
        <v>69</v>
      </c>
    </row>
    <row r="94" spans="1:23" x14ac:dyDescent="0.25">
      <c r="A94" s="620" t="s">
        <v>815</v>
      </c>
      <c r="B94" s="620" t="s">
        <v>816</v>
      </c>
      <c r="C94" s="620">
        <v>111</v>
      </c>
      <c r="D94" s="620">
        <v>6640</v>
      </c>
      <c r="E94" s="620">
        <v>26330601990</v>
      </c>
      <c r="F94" s="620">
        <v>3973697</v>
      </c>
      <c r="G94" s="620">
        <v>3962000</v>
      </c>
      <c r="H94" s="620">
        <v>3972000</v>
      </c>
      <c r="I94" s="620">
        <v>-1697</v>
      </c>
      <c r="J94" s="620">
        <v>-0.04</v>
      </c>
      <c r="K94" s="620">
        <v>3965452</v>
      </c>
      <c r="L94" s="620">
        <v>-8245</v>
      </c>
      <c r="M94" s="620">
        <v>-0.21</v>
      </c>
      <c r="N94" s="620">
        <v>3959000</v>
      </c>
      <c r="O94" s="620">
        <v>3973000</v>
      </c>
      <c r="R94" s="620">
        <v>1</v>
      </c>
      <c r="S94" s="620">
        <v>10</v>
      </c>
      <c r="T94" s="620">
        <v>3967000</v>
      </c>
      <c r="U94" s="620">
        <v>3972000</v>
      </c>
      <c r="V94" s="620">
        <v>180</v>
      </c>
      <c r="W94" s="620">
        <v>2</v>
      </c>
    </row>
    <row r="95" spans="1:23" x14ac:dyDescent="0.25">
      <c r="A95" s="620" t="s">
        <v>817</v>
      </c>
      <c r="B95" s="620" t="s">
        <v>818</v>
      </c>
      <c r="C95" s="620">
        <v>0</v>
      </c>
      <c r="D95" s="620">
        <v>0</v>
      </c>
      <c r="E95" s="620">
        <v>0</v>
      </c>
      <c r="F95" s="620">
        <v>1</v>
      </c>
      <c r="G95" s="620">
        <v>0</v>
      </c>
      <c r="H95" s="620">
        <v>1</v>
      </c>
      <c r="I95" s="620">
        <v>0</v>
      </c>
      <c r="J95" s="620">
        <v>0</v>
      </c>
      <c r="K95" s="620">
        <v>1</v>
      </c>
      <c r="L95" s="620">
        <v>0</v>
      </c>
      <c r="M95" s="620">
        <v>0</v>
      </c>
      <c r="N95" s="620">
        <v>0</v>
      </c>
      <c r="O95" s="620">
        <v>0</v>
      </c>
      <c r="R95" s="620">
        <v>1</v>
      </c>
      <c r="S95" s="620">
        <v>100</v>
      </c>
      <c r="T95" s="620">
        <v>5</v>
      </c>
      <c r="U95" s="620">
        <v>0</v>
      </c>
      <c r="V95" s="620">
        <v>0</v>
      </c>
      <c r="W95" s="620">
        <v>0</v>
      </c>
    </row>
    <row r="96" spans="1:23" x14ac:dyDescent="0.25">
      <c r="A96" s="620" t="s">
        <v>819</v>
      </c>
      <c r="B96" s="620" t="s">
        <v>820</v>
      </c>
      <c r="C96" s="620">
        <v>0</v>
      </c>
      <c r="D96" s="620">
        <v>0</v>
      </c>
      <c r="E96" s="620">
        <v>0</v>
      </c>
      <c r="F96" s="620">
        <v>1</v>
      </c>
      <c r="G96" s="620">
        <v>0</v>
      </c>
      <c r="H96" s="620">
        <v>1</v>
      </c>
      <c r="I96" s="620">
        <v>0</v>
      </c>
      <c r="J96" s="620">
        <v>0</v>
      </c>
      <c r="K96" s="620">
        <v>1</v>
      </c>
      <c r="L96" s="620">
        <v>0</v>
      </c>
      <c r="M96" s="620">
        <v>0</v>
      </c>
      <c r="N96" s="620">
        <v>0</v>
      </c>
      <c r="O96" s="620">
        <v>0</v>
      </c>
      <c r="R96" s="620">
        <v>1</v>
      </c>
      <c r="S96" s="620">
        <v>50</v>
      </c>
      <c r="T96" s="620">
        <v>1120</v>
      </c>
      <c r="U96" s="620">
        <v>0</v>
      </c>
      <c r="V96" s="620">
        <v>0</v>
      </c>
      <c r="W96" s="620">
        <v>0</v>
      </c>
    </row>
    <row r="97" spans="1:23" x14ac:dyDescent="0.25">
      <c r="A97" s="620" t="s">
        <v>821</v>
      </c>
      <c r="B97" s="620" t="s">
        <v>822</v>
      </c>
      <c r="C97" s="620">
        <v>0</v>
      </c>
      <c r="D97" s="620">
        <v>0</v>
      </c>
      <c r="E97" s="620">
        <v>0</v>
      </c>
      <c r="F97" s="620">
        <v>7184</v>
      </c>
      <c r="G97" s="620">
        <v>7399</v>
      </c>
      <c r="H97" s="620">
        <v>7184</v>
      </c>
      <c r="I97" s="620">
        <v>0</v>
      </c>
      <c r="J97" s="620">
        <v>0</v>
      </c>
      <c r="K97" s="620">
        <v>7184</v>
      </c>
      <c r="L97" s="620">
        <v>0</v>
      </c>
      <c r="M97" s="620">
        <v>0</v>
      </c>
      <c r="N97" s="620">
        <v>7399</v>
      </c>
      <c r="O97" s="620">
        <v>7399</v>
      </c>
      <c r="P97" s="620" t="s">
        <v>823</v>
      </c>
      <c r="Q97" s="620" t="s">
        <v>824</v>
      </c>
      <c r="R97" s="620">
        <v>9</v>
      </c>
      <c r="S97" s="620">
        <v>2038</v>
      </c>
      <c r="T97" s="620">
        <v>7399</v>
      </c>
      <c r="U97" s="620">
        <v>0</v>
      </c>
      <c r="V97" s="620">
        <v>0</v>
      </c>
      <c r="W97" s="620">
        <v>0</v>
      </c>
    </row>
    <row r="98" spans="1:23" x14ac:dyDescent="0.25">
      <c r="A98" s="620" t="s">
        <v>825</v>
      </c>
      <c r="B98" s="620" t="s">
        <v>826</v>
      </c>
      <c r="C98" s="620">
        <v>2118</v>
      </c>
      <c r="D98" s="620">
        <v>3067643</v>
      </c>
      <c r="E98" s="620">
        <v>50527746888</v>
      </c>
      <c r="F98" s="620">
        <v>17308</v>
      </c>
      <c r="G98" s="620">
        <v>16443</v>
      </c>
      <c r="H98" s="620">
        <v>16443</v>
      </c>
      <c r="I98" s="620">
        <v>-865</v>
      </c>
      <c r="J98" s="620">
        <v>-5</v>
      </c>
      <c r="K98" s="620">
        <v>16471</v>
      </c>
      <c r="L98" s="620">
        <v>-837</v>
      </c>
      <c r="M98" s="620">
        <v>-4.84</v>
      </c>
      <c r="N98" s="620">
        <v>16443</v>
      </c>
      <c r="O98" s="620">
        <v>16920</v>
      </c>
      <c r="P98" s="620" t="s">
        <v>827</v>
      </c>
      <c r="Q98" s="620" t="s">
        <v>828</v>
      </c>
      <c r="R98" s="620">
        <v>1</v>
      </c>
      <c r="S98" s="620">
        <v>2000</v>
      </c>
      <c r="T98" s="620">
        <v>14800</v>
      </c>
      <c r="U98" s="620">
        <v>16443</v>
      </c>
      <c r="V98" s="620">
        <v>294112</v>
      </c>
      <c r="W98" s="620">
        <v>84</v>
      </c>
    </row>
    <row r="99" spans="1:23" x14ac:dyDescent="0.25">
      <c r="A99" s="620" t="s">
        <v>829</v>
      </c>
      <c r="B99" s="620" t="s">
        <v>830</v>
      </c>
      <c r="C99" s="620">
        <v>1246</v>
      </c>
      <c r="D99" s="620">
        <v>20252369</v>
      </c>
      <c r="E99" s="620">
        <v>43167758130</v>
      </c>
      <c r="F99" s="620">
        <v>2196</v>
      </c>
      <c r="G99" s="620">
        <v>2131</v>
      </c>
      <c r="H99" s="620">
        <v>2131</v>
      </c>
      <c r="I99" s="620">
        <v>-65</v>
      </c>
      <c r="J99" s="620">
        <v>-2.96</v>
      </c>
      <c r="K99" s="620">
        <v>2131</v>
      </c>
      <c r="L99" s="620">
        <v>-65</v>
      </c>
      <c r="M99" s="620">
        <v>-2.96</v>
      </c>
      <c r="N99" s="620">
        <v>2131</v>
      </c>
      <c r="O99" s="620">
        <v>2187</v>
      </c>
      <c r="P99" s="620" t="s">
        <v>831</v>
      </c>
      <c r="Q99" s="620" t="s">
        <v>832</v>
      </c>
      <c r="R99" s="620">
        <v>0</v>
      </c>
      <c r="S99" s="620">
        <v>0</v>
      </c>
      <c r="T99" s="620">
        <v>0</v>
      </c>
      <c r="U99" s="620">
        <v>2131</v>
      </c>
      <c r="V99" s="620">
        <v>561436</v>
      </c>
      <c r="W99" s="620">
        <v>12</v>
      </c>
    </row>
    <row r="100" spans="1:23" x14ac:dyDescent="0.25">
      <c r="A100" s="620" t="s">
        <v>833</v>
      </c>
      <c r="B100" s="620" t="s">
        <v>834</v>
      </c>
      <c r="C100" s="620">
        <v>256</v>
      </c>
      <c r="D100" s="620">
        <v>1922</v>
      </c>
      <c r="E100" s="620">
        <v>751986509</v>
      </c>
      <c r="F100" s="620">
        <v>391631</v>
      </c>
      <c r="G100" s="620">
        <v>400000</v>
      </c>
      <c r="H100" s="620">
        <v>373830</v>
      </c>
      <c r="I100" s="620">
        <v>-17801</v>
      </c>
      <c r="J100" s="620">
        <v>-4.55</v>
      </c>
      <c r="K100" s="620">
        <v>391252</v>
      </c>
      <c r="L100" s="620">
        <v>-379</v>
      </c>
      <c r="M100" s="620">
        <v>-0.1</v>
      </c>
      <c r="N100" s="620">
        <v>373830</v>
      </c>
      <c r="O100" s="620">
        <v>400000</v>
      </c>
      <c r="R100" s="620">
        <v>0</v>
      </c>
      <c r="S100" s="620">
        <v>0</v>
      </c>
      <c r="T100" s="620">
        <v>0</v>
      </c>
      <c r="U100" s="620">
        <v>400000</v>
      </c>
      <c r="V100" s="620">
        <v>1</v>
      </c>
      <c r="W100" s="620">
        <v>1</v>
      </c>
    </row>
    <row r="101" spans="1:23" x14ac:dyDescent="0.25">
      <c r="A101" s="620" t="s">
        <v>835</v>
      </c>
      <c r="B101" s="620" t="s">
        <v>836</v>
      </c>
      <c r="C101" s="620">
        <v>241</v>
      </c>
      <c r="D101" s="620">
        <v>1404670</v>
      </c>
      <c r="E101" s="620">
        <v>4721450278</v>
      </c>
      <c r="F101" s="620">
        <v>3534</v>
      </c>
      <c r="G101" s="620">
        <v>3360</v>
      </c>
      <c r="H101" s="620">
        <v>3358</v>
      </c>
      <c r="I101" s="620">
        <v>-176</v>
      </c>
      <c r="J101" s="620">
        <v>-4.9800000000000004</v>
      </c>
      <c r="K101" s="620">
        <v>3361</v>
      </c>
      <c r="L101" s="620">
        <v>-173</v>
      </c>
      <c r="M101" s="620">
        <v>-4.9000000000000004</v>
      </c>
      <c r="N101" s="620">
        <v>3358</v>
      </c>
      <c r="O101" s="620">
        <v>3500</v>
      </c>
      <c r="P101" s="620" t="s">
        <v>837</v>
      </c>
      <c r="Q101" s="620" t="s">
        <v>838</v>
      </c>
      <c r="R101" s="620">
        <v>1</v>
      </c>
      <c r="S101" s="620">
        <v>2000</v>
      </c>
      <c r="T101" s="620">
        <v>1589</v>
      </c>
      <c r="U101" s="620">
        <v>3358</v>
      </c>
      <c r="V101" s="620">
        <v>372157</v>
      </c>
      <c r="W101" s="620">
        <v>20</v>
      </c>
    </row>
    <row r="102" spans="1:23" x14ac:dyDescent="0.25">
      <c r="A102" s="620" t="s">
        <v>839</v>
      </c>
      <c r="B102" s="620" t="s">
        <v>840</v>
      </c>
      <c r="C102" s="620">
        <v>415</v>
      </c>
      <c r="D102" s="620">
        <v>2616465</v>
      </c>
      <c r="E102" s="620">
        <v>10294928529</v>
      </c>
      <c r="F102" s="620">
        <v>4134</v>
      </c>
      <c r="G102" s="620">
        <v>3928</v>
      </c>
      <c r="H102" s="620">
        <v>3928</v>
      </c>
      <c r="I102" s="620">
        <v>-206</v>
      </c>
      <c r="J102" s="620">
        <v>-4.9800000000000004</v>
      </c>
      <c r="K102" s="620">
        <v>3935</v>
      </c>
      <c r="L102" s="620">
        <v>-199</v>
      </c>
      <c r="M102" s="620">
        <v>-4.8099999999999996</v>
      </c>
      <c r="N102" s="620">
        <v>3928</v>
      </c>
      <c r="O102" s="620">
        <v>4045</v>
      </c>
      <c r="P102" s="620" t="s">
        <v>841</v>
      </c>
      <c r="Q102" s="620" t="s">
        <v>842</v>
      </c>
      <c r="R102" s="620">
        <v>0</v>
      </c>
      <c r="S102" s="620">
        <v>0</v>
      </c>
      <c r="T102" s="620">
        <v>0</v>
      </c>
      <c r="U102" s="620">
        <v>3928</v>
      </c>
      <c r="V102" s="620">
        <v>1499995</v>
      </c>
      <c r="W102" s="620">
        <v>40</v>
      </c>
    </row>
    <row r="103" spans="1:23" x14ac:dyDescent="0.25">
      <c r="A103" s="620" t="s">
        <v>843</v>
      </c>
      <c r="B103" s="620" t="s">
        <v>844</v>
      </c>
      <c r="C103" s="620">
        <v>0</v>
      </c>
      <c r="D103" s="620">
        <v>0</v>
      </c>
      <c r="E103" s="620">
        <v>0</v>
      </c>
      <c r="F103" s="620">
        <v>1006424</v>
      </c>
      <c r="G103" s="620">
        <v>0</v>
      </c>
      <c r="H103" s="620">
        <v>1006424</v>
      </c>
      <c r="I103" s="620">
        <v>0</v>
      </c>
      <c r="J103" s="620">
        <v>0</v>
      </c>
      <c r="K103" s="620">
        <v>1006424</v>
      </c>
      <c r="L103" s="620">
        <v>0</v>
      </c>
      <c r="M103" s="620">
        <v>0</v>
      </c>
      <c r="N103" s="620">
        <v>0</v>
      </c>
      <c r="O103" s="620">
        <v>0</v>
      </c>
      <c r="R103" s="620">
        <v>1</v>
      </c>
      <c r="S103" s="620">
        <v>5000</v>
      </c>
      <c r="T103" s="620">
        <v>986691</v>
      </c>
      <c r="U103" s="620">
        <v>1001000</v>
      </c>
      <c r="V103" s="620">
        <v>846</v>
      </c>
      <c r="W103" s="620">
        <v>1</v>
      </c>
    </row>
    <row r="104" spans="1:23" x14ac:dyDescent="0.25">
      <c r="A104" s="620" t="s">
        <v>845</v>
      </c>
      <c r="B104" s="620" t="s">
        <v>846</v>
      </c>
      <c r="C104" s="620">
        <v>1</v>
      </c>
      <c r="D104" s="620">
        <v>126300</v>
      </c>
      <c r="E104" s="620">
        <v>114933000000</v>
      </c>
      <c r="F104" s="620">
        <v>920000</v>
      </c>
      <c r="G104" s="620">
        <v>910000</v>
      </c>
      <c r="H104" s="620">
        <v>910000</v>
      </c>
      <c r="I104" s="620">
        <v>-10000</v>
      </c>
      <c r="J104" s="620">
        <v>-1.0900000000000001</v>
      </c>
      <c r="K104" s="620">
        <v>910000</v>
      </c>
      <c r="L104" s="620">
        <v>-10000</v>
      </c>
      <c r="M104" s="620">
        <v>-1.0900000000000001</v>
      </c>
      <c r="N104" s="620">
        <v>910000</v>
      </c>
      <c r="O104" s="620">
        <v>910000</v>
      </c>
      <c r="R104" s="620">
        <v>0</v>
      </c>
      <c r="S104" s="620">
        <v>0</v>
      </c>
      <c r="T104" s="620">
        <v>0</v>
      </c>
      <c r="U104" s="620">
        <v>0</v>
      </c>
      <c r="V104" s="620">
        <v>0</v>
      </c>
      <c r="W104" s="620">
        <v>0</v>
      </c>
    </row>
    <row r="105" spans="1:23" x14ac:dyDescent="0.25">
      <c r="A105" s="620" t="s">
        <v>847</v>
      </c>
      <c r="B105" s="620" t="s">
        <v>848</v>
      </c>
      <c r="C105" s="620">
        <v>68</v>
      </c>
      <c r="D105" s="620">
        <v>199453</v>
      </c>
      <c r="E105" s="620">
        <v>8020005130</v>
      </c>
      <c r="F105" s="620">
        <v>42326</v>
      </c>
      <c r="G105" s="620">
        <v>40210</v>
      </c>
      <c r="H105" s="620">
        <v>40210</v>
      </c>
      <c r="I105" s="620">
        <v>-2116</v>
      </c>
      <c r="J105" s="620">
        <v>-5</v>
      </c>
      <c r="K105" s="620">
        <v>40210</v>
      </c>
      <c r="L105" s="620">
        <v>-2116</v>
      </c>
      <c r="M105" s="620">
        <v>-5</v>
      </c>
      <c r="N105" s="620">
        <v>40210</v>
      </c>
      <c r="O105" s="620">
        <v>40210</v>
      </c>
      <c r="P105" s="620" t="s">
        <v>849</v>
      </c>
      <c r="Q105" s="620" t="s">
        <v>850</v>
      </c>
      <c r="R105" s="620">
        <v>3</v>
      </c>
      <c r="S105" s="620">
        <v>2100</v>
      </c>
      <c r="T105" s="620">
        <v>39819</v>
      </c>
      <c r="U105" s="620">
        <v>40210</v>
      </c>
      <c r="V105" s="620">
        <v>319314</v>
      </c>
      <c r="W105" s="620">
        <v>58</v>
      </c>
    </row>
    <row r="106" spans="1:23" x14ac:dyDescent="0.25">
      <c r="A106" s="620" t="s">
        <v>851</v>
      </c>
      <c r="B106" s="620" t="s">
        <v>852</v>
      </c>
      <c r="C106" s="620">
        <v>472</v>
      </c>
      <c r="D106" s="620">
        <v>2258740</v>
      </c>
      <c r="E106" s="620">
        <v>16243440357</v>
      </c>
      <c r="F106" s="620">
        <v>7555</v>
      </c>
      <c r="G106" s="620">
        <v>7178</v>
      </c>
      <c r="H106" s="620">
        <v>7178</v>
      </c>
      <c r="I106" s="620">
        <v>-377</v>
      </c>
      <c r="J106" s="620">
        <v>-4.99</v>
      </c>
      <c r="K106" s="620">
        <v>7191</v>
      </c>
      <c r="L106" s="620">
        <v>-364</v>
      </c>
      <c r="M106" s="620">
        <v>-4.82</v>
      </c>
      <c r="N106" s="620">
        <v>7178</v>
      </c>
      <c r="O106" s="620">
        <v>7399</v>
      </c>
      <c r="P106" s="620" t="s">
        <v>853</v>
      </c>
      <c r="Q106" s="620" t="s">
        <v>854</v>
      </c>
      <c r="R106" s="620">
        <v>0</v>
      </c>
      <c r="S106" s="620">
        <v>0</v>
      </c>
      <c r="T106" s="620">
        <v>0</v>
      </c>
      <c r="U106" s="620">
        <v>7178</v>
      </c>
      <c r="V106" s="620">
        <v>122985</v>
      </c>
      <c r="W106" s="620">
        <v>19</v>
      </c>
    </row>
    <row r="107" spans="1:23" x14ac:dyDescent="0.25">
      <c r="A107" s="620" t="s">
        <v>855</v>
      </c>
      <c r="B107" s="620" t="s">
        <v>856</v>
      </c>
      <c r="C107" s="620">
        <v>1</v>
      </c>
      <c r="D107" s="620">
        <v>8</v>
      </c>
      <c r="E107" s="620">
        <v>7120000</v>
      </c>
      <c r="F107" s="620">
        <v>320</v>
      </c>
      <c r="G107" s="620">
        <v>890</v>
      </c>
      <c r="H107" s="620">
        <v>890</v>
      </c>
      <c r="I107" s="620">
        <v>570</v>
      </c>
      <c r="J107" s="620">
        <v>178.13</v>
      </c>
      <c r="K107" s="620">
        <v>890</v>
      </c>
      <c r="L107" s="620">
        <v>570</v>
      </c>
      <c r="M107" s="620">
        <v>178.13</v>
      </c>
      <c r="N107" s="620">
        <v>890</v>
      </c>
      <c r="O107" s="620">
        <v>890</v>
      </c>
      <c r="R107" s="620">
        <v>1</v>
      </c>
      <c r="S107" s="620">
        <v>1</v>
      </c>
      <c r="T107" s="620">
        <v>890</v>
      </c>
      <c r="U107" s="620">
        <v>1050</v>
      </c>
      <c r="V107" s="620">
        <v>1</v>
      </c>
      <c r="W107" s="620">
        <v>1</v>
      </c>
    </row>
    <row r="108" spans="1:23" x14ac:dyDescent="0.25">
      <c r="A108" s="620" t="s">
        <v>857</v>
      </c>
      <c r="B108" s="620" t="s">
        <v>858</v>
      </c>
      <c r="C108" s="620">
        <v>136</v>
      </c>
      <c r="D108" s="620">
        <v>492828</v>
      </c>
      <c r="E108" s="620">
        <v>13056985032</v>
      </c>
      <c r="F108" s="620">
        <v>25233</v>
      </c>
      <c r="G108" s="620">
        <v>26494</v>
      </c>
      <c r="H108" s="620">
        <v>26494</v>
      </c>
      <c r="I108" s="620">
        <v>1261</v>
      </c>
      <c r="J108" s="620">
        <v>5</v>
      </c>
      <c r="K108" s="620">
        <v>26494</v>
      </c>
      <c r="L108" s="620">
        <v>1261</v>
      </c>
      <c r="M108" s="620">
        <v>5</v>
      </c>
      <c r="N108" s="620">
        <v>26494</v>
      </c>
      <c r="O108" s="620">
        <v>26494</v>
      </c>
      <c r="P108" s="620" t="s">
        <v>859</v>
      </c>
      <c r="Q108" s="620" t="s">
        <v>860</v>
      </c>
      <c r="R108" s="620">
        <v>101</v>
      </c>
      <c r="S108" s="620">
        <v>259288</v>
      </c>
      <c r="T108" s="620">
        <v>26494</v>
      </c>
      <c r="U108" s="620">
        <v>0</v>
      </c>
      <c r="V108" s="620">
        <v>0</v>
      </c>
      <c r="W108" s="620">
        <v>0</v>
      </c>
    </row>
    <row r="109" spans="1:23" x14ac:dyDescent="0.25">
      <c r="A109" s="620" t="s">
        <v>861</v>
      </c>
      <c r="B109" s="620" t="s">
        <v>862</v>
      </c>
      <c r="C109" s="620">
        <v>1932</v>
      </c>
      <c r="D109" s="620">
        <v>27822879</v>
      </c>
      <c r="E109" s="620">
        <v>40216018305</v>
      </c>
      <c r="F109" s="620">
        <v>1507</v>
      </c>
      <c r="G109" s="620">
        <v>1435</v>
      </c>
      <c r="H109" s="620">
        <v>1432</v>
      </c>
      <c r="I109" s="620">
        <v>-75</v>
      </c>
      <c r="J109" s="620">
        <v>-4.9800000000000004</v>
      </c>
      <c r="K109" s="620">
        <v>1445</v>
      </c>
      <c r="L109" s="620">
        <v>-62</v>
      </c>
      <c r="M109" s="620">
        <v>-4.1100000000000003</v>
      </c>
      <c r="N109" s="620">
        <v>1432</v>
      </c>
      <c r="O109" s="620">
        <v>1500</v>
      </c>
      <c r="P109" s="620" t="s">
        <v>863</v>
      </c>
      <c r="Q109" s="620" t="s">
        <v>864</v>
      </c>
      <c r="R109" s="620">
        <v>1</v>
      </c>
      <c r="S109" s="620">
        <v>800</v>
      </c>
      <c r="T109" s="620">
        <v>1421</v>
      </c>
      <c r="U109" s="620">
        <v>1432</v>
      </c>
      <c r="V109" s="620">
        <v>269213</v>
      </c>
      <c r="W109" s="620">
        <v>6</v>
      </c>
    </row>
    <row r="110" spans="1:23" x14ac:dyDescent="0.25">
      <c r="A110" s="620" t="s">
        <v>865</v>
      </c>
      <c r="B110" s="620" t="s">
        <v>866</v>
      </c>
      <c r="C110" s="620">
        <v>0</v>
      </c>
      <c r="D110" s="620">
        <v>0</v>
      </c>
      <c r="E110" s="620">
        <v>0</v>
      </c>
      <c r="F110" s="620">
        <v>1</v>
      </c>
      <c r="G110" s="620">
        <v>0</v>
      </c>
      <c r="H110" s="620">
        <v>1</v>
      </c>
      <c r="I110" s="620">
        <v>0</v>
      </c>
      <c r="J110" s="620">
        <v>0</v>
      </c>
      <c r="K110" s="620">
        <v>1</v>
      </c>
      <c r="L110" s="620">
        <v>0</v>
      </c>
      <c r="M110" s="620">
        <v>0</v>
      </c>
      <c r="N110" s="620">
        <v>0</v>
      </c>
      <c r="O110" s="620">
        <v>0</v>
      </c>
      <c r="R110" s="620">
        <v>1</v>
      </c>
      <c r="S110" s="620">
        <v>100</v>
      </c>
      <c r="T110" s="620">
        <v>50</v>
      </c>
      <c r="U110" s="620">
        <v>0</v>
      </c>
      <c r="V110" s="620">
        <v>0</v>
      </c>
      <c r="W110" s="620">
        <v>0</v>
      </c>
    </row>
    <row r="111" spans="1:23" x14ac:dyDescent="0.25">
      <c r="A111" s="620" t="s">
        <v>867</v>
      </c>
      <c r="B111" s="620" t="s">
        <v>868</v>
      </c>
      <c r="C111" s="620">
        <v>0</v>
      </c>
      <c r="D111" s="620">
        <v>0</v>
      </c>
      <c r="E111" s="620">
        <v>0</v>
      </c>
      <c r="F111" s="620">
        <v>1</v>
      </c>
      <c r="G111" s="620">
        <v>0</v>
      </c>
      <c r="H111" s="620">
        <v>1</v>
      </c>
      <c r="I111" s="620">
        <v>0</v>
      </c>
      <c r="J111" s="620">
        <v>0</v>
      </c>
      <c r="K111" s="620">
        <v>1</v>
      </c>
      <c r="L111" s="620">
        <v>0</v>
      </c>
      <c r="M111" s="620">
        <v>0</v>
      </c>
      <c r="N111" s="620">
        <v>0</v>
      </c>
      <c r="O111" s="620">
        <v>0</v>
      </c>
      <c r="R111" s="620">
        <v>1</v>
      </c>
      <c r="S111" s="620">
        <v>100</v>
      </c>
      <c r="T111" s="620">
        <v>22</v>
      </c>
      <c r="U111" s="620">
        <v>0</v>
      </c>
      <c r="V111" s="620">
        <v>0</v>
      </c>
      <c r="W111" s="620">
        <v>0</v>
      </c>
    </row>
    <row r="112" spans="1:23" x14ac:dyDescent="0.25">
      <c r="A112" s="620" t="s">
        <v>869</v>
      </c>
      <c r="B112" s="620" t="s">
        <v>870</v>
      </c>
      <c r="C112" s="620">
        <v>134</v>
      </c>
      <c r="D112" s="620">
        <v>292408</v>
      </c>
      <c r="E112" s="620">
        <v>2882594290</v>
      </c>
      <c r="F112" s="620">
        <v>10328</v>
      </c>
      <c r="G112" s="620">
        <v>9812</v>
      </c>
      <c r="H112" s="620">
        <v>9812</v>
      </c>
      <c r="I112" s="620">
        <v>-516</v>
      </c>
      <c r="J112" s="620">
        <v>-5</v>
      </c>
      <c r="K112" s="620">
        <v>9858</v>
      </c>
      <c r="L112" s="620">
        <v>-470</v>
      </c>
      <c r="M112" s="620">
        <v>-4.55</v>
      </c>
      <c r="N112" s="620">
        <v>9812</v>
      </c>
      <c r="O112" s="620">
        <v>10328</v>
      </c>
      <c r="P112" s="620" t="s">
        <v>871</v>
      </c>
      <c r="Q112" s="620" t="s">
        <v>872</v>
      </c>
      <c r="R112" s="620">
        <v>0</v>
      </c>
      <c r="S112" s="620">
        <v>0</v>
      </c>
      <c r="T112" s="620">
        <v>0</v>
      </c>
      <c r="U112" s="620">
        <v>9812</v>
      </c>
      <c r="V112" s="620">
        <v>134255</v>
      </c>
      <c r="W112" s="620">
        <v>16</v>
      </c>
    </row>
    <row r="113" spans="1:23" x14ac:dyDescent="0.25">
      <c r="A113" s="620" t="s">
        <v>873</v>
      </c>
      <c r="B113" s="620" t="s">
        <v>874</v>
      </c>
      <c r="C113" s="620">
        <v>873</v>
      </c>
      <c r="D113" s="620">
        <v>5471383</v>
      </c>
      <c r="E113" s="620">
        <v>30956526768</v>
      </c>
      <c r="F113" s="620">
        <v>5946</v>
      </c>
      <c r="G113" s="620">
        <v>5649</v>
      </c>
      <c r="H113" s="620">
        <v>5649</v>
      </c>
      <c r="I113" s="620">
        <v>-297</v>
      </c>
      <c r="J113" s="620">
        <v>-4.99</v>
      </c>
      <c r="K113" s="620">
        <v>5658</v>
      </c>
      <c r="L113" s="620">
        <v>-288</v>
      </c>
      <c r="M113" s="620">
        <v>-4.84</v>
      </c>
      <c r="N113" s="620">
        <v>5649</v>
      </c>
      <c r="O113" s="620">
        <v>5800</v>
      </c>
      <c r="P113" s="620" t="s">
        <v>875</v>
      </c>
      <c r="Q113" s="620" t="s">
        <v>876</v>
      </c>
      <c r="R113" s="620">
        <v>1</v>
      </c>
      <c r="S113" s="620">
        <v>188</v>
      </c>
      <c r="T113" s="620">
        <v>5340</v>
      </c>
      <c r="U113" s="620">
        <v>5649</v>
      </c>
      <c r="V113" s="620">
        <v>2145158</v>
      </c>
      <c r="W113" s="620">
        <v>100</v>
      </c>
    </row>
    <row r="114" spans="1:23" x14ac:dyDescent="0.25">
      <c r="A114" s="620" t="s">
        <v>877</v>
      </c>
      <c r="B114" s="620" t="s">
        <v>878</v>
      </c>
      <c r="C114" s="620">
        <v>26</v>
      </c>
      <c r="D114" s="620">
        <v>46492</v>
      </c>
      <c r="E114" s="620">
        <v>207633272</v>
      </c>
      <c r="F114" s="620">
        <v>4604</v>
      </c>
      <c r="G114" s="620">
        <v>4466</v>
      </c>
      <c r="H114" s="620">
        <v>4466</v>
      </c>
      <c r="I114" s="620">
        <v>-138</v>
      </c>
      <c r="J114" s="620">
        <v>-3</v>
      </c>
      <c r="K114" s="620">
        <v>4466</v>
      </c>
      <c r="L114" s="620">
        <v>-138</v>
      </c>
      <c r="M114" s="620">
        <v>-3</v>
      </c>
      <c r="N114" s="620">
        <v>4466</v>
      </c>
      <c r="O114" s="620">
        <v>4466</v>
      </c>
      <c r="P114" s="620" t="s">
        <v>879</v>
      </c>
      <c r="Q114" s="620" t="s">
        <v>823</v>
      </c>
      <c r="R114" s="620">
        <v>0</v>
      </c>
      <c r="S114" s="620">
        <v>0</v>
      </c>
      <c r="T114" s="620">
        <v>0</v>
      </c>
      <c r="U114" s="620">
        <v>4466</v>
      </c>
      <c r="V114" s="620">
        <v>154876</v>
      </c>
      <c r="W114" s="620">
        <v>16</v>
      </c>
    </row>
    <row r="115" spans="1:23" x14ac:dyDescent="0.25">
      <c r="A115" s="620" t="s">
        <v>880</v>
      </c>
      <c r="B115" s="620" t="s">
        <v>881</v>
      </c>
      <c r="C115" s="620">
        <v>424</v>
      </c>
      <c r="D115" s="620">
        <v>3529241</v>
      </c>
      <c r="E115" s="620">
        <v>8633478201</v>
      </c>
      <c r="F115" s="620">
        <v>2448</v>
      </c>
      <c r="G115" s="620">
        <v>2375</v>
      </c>
      <c r="H115" s="620">
        <v>2386</v>
      </c>
      <c r="I115" s="620">
        <v>-62</v>
      </c>
      <c r="J115" s="620">
        <v>-2.5299999999999998</v>
      </c>
      <c r="K115" s="620">
        <v>2446</v>
      </c>
      <c r="L115" s="620">
        <v>-2</v>
      </c>
      <c r="M115" s="620">
        <v>-0.08</v>
      </c>
      <c r="N115" s="620">
        <v>2375</v>
      </c>
      <c r="O115" s="620">
        <v>2521</v>
      </c>
      <c r="P115" s="620" t="s">
        <v>882</v>
      </c>
      <c r="Q115" s="620" t="s">
        <v>883</v>
      </c>
      <c r="R115" s="620">
        <v>2</v>
      </c>
      <c r="S115" s="620">
        <v>25000</v>
      </c>
      <c r="T115" s="620">
        <v>2381</v>
      </c>
      <c r="U115" s="620">
        <v>2386</v>
      </c>
      <c r="V115" s="620">
        <v>23583</v>
      </c>
      <c r="W115" s="620">
        <v>2</v>
      </c>
    </row>
    <row r="116" spans="1:23" x14ac:dyDescent="0.25">
      <c r="A116" s="620" t="s">
        <v>884</v>
      </c>
      <c r="B116" s="620" t="s">
        <v>885</v>
      </c>
      <c r="C116" s="620">
        <v>133</v>
      </c>
      <c r="D116" s="620">
        <v>203727</v>
      </c>
      <c r="E116" s="620">
        <v>2499730290</v>
      </c>
      <c r="F116" s="620">
        <v>12915</v>
      </c>
      <c r="G116" s="620">
        <v>12270</v>
      </c>
      <c r="H116" s="620">
        <v>12270</v>
      </c>
      <c r="I116" s="620">
        <v>-645</v>
      </c>
      <c r="J116" s="620">
        <v>-4.99</v>
      </c>
      <c r="K116" s="620">
        <v>12270</v>
      </c>
      <c r="L116" s="620">
        <v>-645</v>
      </c>
      <c r="M116" s="620">
        <v>-4.99</v>
      </c>
      <c r="N116" s="620">
        <v>12270</v>
      </c>
      <c r="O116" s="620">
        <v>12270</v>
      </c>
      <c r="P116" s="620" t="s">
        <v>886</v>
      </c>
      <c r="Q116" s="620" t="s">
        <v>887</v>
      </c>
      <c r="R116" s="620">
        <v>0</v>
      </c>
      <c r="S116" s="620">
        <v>0</v>
      </c>
      <c r="T116" s="620">
        <v>0</v>
      </c>
      <c r="U116" s="620">
        <v>12270</v>
      </c>
      <c r="V116" s="620">
        <v>932956</v>
      </c>
      <c r="W116" s="620">
        <v>92</v>
      </c>
    </row>
    <row r="117" spans="1:23" x14ac:dyDescent="0.25">
      <c r="A117" s="620" t="s">
        <v>888</v>
      </c>
      <c r="B117" s="620" t="s">
        <v>889</v>
      </c>
      <c r="C117" s="620">
        <v>9</v>
      </c>
      <c r="D117" s="620">
        <v>21874</v>
      </c>
      <c r="E117" s="620">
        <v>19047483000</v>
      </c>
      <c r="F117" s="620">
        <v>867216</v>
      </c>
      <c r="G117" s="620">
        <v>870602</v>
      </c>
      <c r="H117" s="620">
        <v>871000</v>
      </c>
      <c r="I117" s="620">
        <v>3784</v>
      </c>
      <c r="J117" s="620">
        <v>0.44</v>
      </c>
      <c r="K117" s="620">
        <v>870782</v>
      </c>
      <c r="L117" s="620">
        <v>3566</v>
      </c>
      <c r="M117" s="620">
        <v>0.41</v>
      </c>
      <c r="N117" s="620">
        <v>870602</v>
      </c>
      <c r="O117" s="620">
        <v>871005</v>
      </c>
      <c r="R117" s="620">
        <v>0</v>
      </c>
      <c r="S117" s="620">
        <v>0</v>
      </c>
      <c r="T117" s="620">
        <v>0</v>
      </c>
      <c r="U117" s="620">
        <v>0</v>
      </c>
      <c r="V117" s="620">
        <v>0</v>
      </c>
      <c r="W117" s="620">
        <v>0</v>
      </c>
    </row>
    <row r="118" spans="1:23" x14ac:dyDescent="0.25">
      <c r="A118" s="620" t="s">
        <v>890</v>
      </c>
      <c r="B118" s="620" t="s">
        <v>891</v>
      </c>
      <c r="C118" s="620">
        <v>874</v>
      </c>
      <c r="D118" s="620">
        <v>3196622</v>
      </c>
      <c r="E118" s="620">
        <v>25282988796</v>
      </c>
      <c r="F118" s="620">
        <v>7673</v>
      </c>
      <c r="G118" s="620">
        <v>7731</v>
      </c>
      <c r="H118" s="620">
        <v>7836</v>
      </c>
      <c r="I118" s="620">
        <v>163</v>
      </c>
      <c r="J118" s="620">
        <v>2.12</v>
      </c>
      <c r="K118" s="620">
        <v>7909</v>
      </c>
      <c r="L118" s="620">
        <v>236</v>
      </c>
      <c r="M118" s="620">
        <v>3.08</v>
      </c>
      <c r="N118" s="620">
        <v>7621</v>
      </c>
      <c r="O118" s="620">
        <v>8055</v>
      </c>
      <c r="P118" s="620" t="s">
        <v>892</v>
      </c>
      <c r="Q118" s="620" t="s">
        <v>893</v>
      </c>
      <c r="R118" s="620">
        <v>1</v>
      </c>
      <c r="S118" s="620">
        <v>1000</v>
      </c>
      <c r="T118" s="620">
        <v>7825</v>
      </c>
      <c r="U118" s="620">
        <v>7861</v>
      </c>
      <c r="V118" s="620">
        <v>500</v>
      </c>
      <c r="W118" s="620">
        <v>1</v>
      </c>
    </row>
    <row r="119" spans="1:23" x14ac:dyDescent="0.25">
      <c r="A119" s="620" t="s">
        <v>894</v>
      </c>
      <c r="B119" s="620" t="s">
        <v>895</v>
      </c>
      <c r="C119" s="620">
        <v>0</v>
      </c>
      <c r="D119" s="620">
        <v>0</v>
      </c>
      <c r="E119" s="620">
        <v>0</v>
      </c>
      <c r="F119" s="620">
        <v>987030</v>
      </c>
      <c r="G119" s="620">
        <v>0</v>
      </c>
      <c r="H119" s="620">
        <v>987030</v>
      </c>
      <c r="I119" s="620">
        <v>0</v>
      </c>
      <c r="J119" s="620">
        <v>0</v>
      </c>
      <c r="K119" s="620">
        <v>987030</v>
      </c>
      <c r="L119" s="620">
        <v>0</v>
      </c>
      <c r="M119" s="620">
        <v>0</v>
      </c>
      <c r="N119" s="620">
        <v>0</v>
      </c>
      <c r="O119" s="620">
        <v>0</v>
      </c>
      <c r="R119" s="620">
        <v>1</v>
      </c>
      <c r="S119" s="620">
        <v>500</v>
      </c>
      <c r="T119" s="620">
        <v>987030</v>
      </c>
      <c r="U119" s="620">
        <v>997000</v>
      </c>
      <c r="V119" s="620">
        <v>46236</v>
      </c>
      <c r="W119" s="620">
        <v>3</v>
      </c>
    </row>
    <row r="120" spans="1:23" x14ac:dyDescent="0.25">
      <c r="A120" s="620" t="s">
        <v>896</v>
      </c>
      <c r="B120" s="620" t="s">
        <v>897</v>
      </c>
      <c r="C120" s="620">
        <v>7316</v>
      </c>
      <c r="D120" s="620">
        <v>56281252</v>
      </c>
      <c r="E120" s="620">
        <v>321033920439</v>
      </c>
      <c r="F120" s="620">
        <v>5525</v>
      </c>
      <c r="G120" s="620">
        <v>5580</v>
      </c>
      <c r="H120" s="620">
        <v>5688</v>
      </c>
      <c r="I120" s="620">
        <v>163</v>
      </c>
      <c r="J120" s="620">
        <v>2.95</v>
      </c>
      <c r="K120" s="620">
        <v>5704</v>
      </c>
      <c r="L120" s="620">
        <v>179</v>
      </c>
      <c r="M120" s="620">
        <v>3.24</v>
      </c>
      <c r="N120" s="620">
        <v>5525</v>
      </c>
      <c r="O120" s="620">
        <v>5787</v>
      </c>
      <c r="P120" s="620" t="s">
        <v>898</v>
      </c>
      <c r="Q120" s="620" t="s">
        <v>899</v>
      </c>
      <c r="R120" s="620">
        <v>1</v>
      </c>
      <c r="S120" s="620">
        <v>20000</v>
      </c>
      <c r="T120" s="620">
        <v>5687</v>
      </c>
      <c r="U120" s="620">
        <v>5689</v>
      </c>
      <c r="V120" s="620">
        <v>1000</v>
      </c>
      <c r="W120" s="620">
        <v>1</v>
      </c>
    </row>
    <row r="121" spans="1:23" x14ac:dyDescent="0.25">
      <c r="A121" s="620" t="s">
        <v>900</v>
      </c>
      <c r="B121" s="620" t="s">
        <v>901</v>
      </c>
      <c r="C121" s="620">
        <v>0</v>
      </c>
      <c r="D121" s="620">
        <v>0</v>
      </c>
      <c r="E121" s="620">
        <v>0</v>
      </c>
      <c r="F121" s="620">
        <v>2307</v>
      </c>
      <c r="G121" s="620">
        <v>2284</v>
      </c>
      <c r="H121" s="620">
        <v>2305</v>
      </c>
      <c r="I121" s="620">
        <v>-2</v>
      </c>
      <c r="J121" s="620">
        <v>-0.09</v>
      </c>
      <c r="K121" s="620">
        <v>2307</v>
      </c>
      <c r="L121" s="620">
        <v>0</v>
      </c>
      <c r="M121" s="620">
        <v>0</v>
      </c>
      <c r="N121" s="620">
        <v>2284</v>
      </c>
      <c r="O121" s="620">
        <v>2284</v>
      </c>
      <c r="P121" s="620" t="s">
        <v>902</v>
      </c>
      <c r="Q121" s="620" t="s">
        <v>903</v>
      </c>
      <c r="R121" s="620">
        <v>0</v>
      </c>
      <c r="S121" s="620">
        <v>0</v>
      </c>
      <c r="T121" s="620">
        <v>0</v>
      </c>
      <c r="U121" s="620">
        <v>2284</v>
      </c>
      <c r="V121" s="620">
        <v>96397</v>
      </c>
      <c r="W121" s="620">
        <v>7</v>
      </c>
    </row>
    <row r="122" spans="1:23" x14ac:dyDescent="0.25">
      <c r="A122" s="620" t="s">
        <v>904</v>
      </c>
      <c r="B122" s="620" t="s">
        <v>905</v>
      </c>
      <c r="C122" s="620">
        <v>0</v>
      </c>
      <c r="D122" s="620">
        <v>0</v>
      </c>
      <c r="E122" s="620">
        <v>0</v>
      </c>
      <c r="F122" s="620">
        <v>910000</v>
      </c>
      <c r="G122" s="620">
        <v>0</v>
      </c>
      <c r="H122" s="620">
        <v>910000</v>
      </c>
      <c r="I122" s="620">
        <v>0</v>
      </c>
      <c r="J122" s="620">
        <v>0</v>
      </c>
      <c r="K122" s="620">
        <v>910000</v>
      </c>
      <c r="L122" s="620">
        <v>0</v>
      </c>
      <c r="M122" s="620">
        <v>0</v>
      </c>
      <c r="N122" s="620">
        <v>0</v>
      </c>
      <c r="O122" s="620">
        <v>0</v>
      </c>
      <c r="R122" s="620">
        <v>1</v>
      </c>
      <c r="S122" s="620">
        <v>4800</v>
      </c>
      <c r="T122" s="620">
        <v>875000</v>
      </c>
      <c r="U122" s="620">
        <v>939999</v>
      </c>
      <c r="V122" s="620">
        <v>1000</v>
      </c>
      <c r="W122" s="620">
        <v>1</v>
      </c>
    </row>
    <row r="123" spans="1:23" x14ac:dyDescent="0.25">
      <c r="A123" s="620" t="s">
        <v>906</v>
      </c>
      <c r="B123" s="620" t="s">
        <v>907</v>
      </c>
      <c r="C123" s="620">
        <v>172</v>
      </c>
      <c r="D123" s="620">
        <v>1952699</v>
      </c>
      <c r="E123" s="620">
        <v>3329327516</v>
      </c>
      <c r="F123" s="620">
        <v>1735</v>
      </c>
      <c r="G123" s="620">
        <v>1768</v>
      </c>
      <c r="H123" s="620">
        <v>1701</v>
      </c>
      <c r="I123" s="620">
        <v>-34</v>
      </c>
      <c r="J123" s="620">
        <v>-1.96</v>
      </c>
      <c r="K123" s="620">
        <v>1705</v>
      </c>
      <c r="L123" s="620">
        <v>-30</v>
      </c>
      <c r="M123" s="620">
        <v>-1.73</v>
      </c>
      <c r="N123" s="620">
        <v>1701</v>
      </c>
      <c r="O123" s="620">
        <v>1768</v>
      </c>
      <c r="P123" s="620" t="s">
        <v>908</v>
      </c>
      <c r="Q123" s="620" t="s">
        <v>909</v>
      </c>
      <c r="R123" s="620">
        <v>0</v>
      </c>
      <c r="S123" s="620">
        <v>0</v>
      </c>
      <c r="T123" s="620">
        <v>0</v>
      </c>
      <c r="U123" s="620">
        <v>1701</v>
      </c>
      <c r="V123" s="620">
        <v>822927</v>
      </c>
      <c r="W123" s="620">
        <v>26</v>
      </c>
    </row>
    <row r="124" spans="1:23" x14ac:dyDescent="0.25">
      <c r="A124" s="620" t="s">
        <v>910</v>
      </c>
      <c r="B124" s="620" t="s">
        <v>911</v>
      </c>
      <c r="C124" s="620">
        <v>0</v>
      </c>
      <c r="D124" s="620">
        <v>0</v>
      </c>
      <c r="E124" s="620">
        <v>0</v>
      </c>
      <c r="F124" s="620">
        <v>1010000</v>
      </c>
      <c r="G124" s="620">
        <v>0</v>
      </c>
      <c r="H124" s="620">
        <v>1010000</v>
      </c>
      <c r="I124" s="620">
        <v>0</v>
      </c>
      <c r="J124" s="620">
        <v>0</v>
      </c>
      <c r="K124" s="620">
        <v>1010000</v>
      </c>
      <c r="L124" s="620">
        <v>0</v>
      </c>
      <c r="M124" s="620">
        <v>0</v>
      </c>
      <c r="N124" s="620">
        <v>0</v>
      </c>
      <c r="O124" s="620">
        <v>0</v>
      </c>
      <c r="R124" s="620">
        <v>1</v>
      </c>
      <c r="S124" s="620">
        <v>15</v>
      </c>
      <c r="T124" s="620">
        <v>1010100</v>
      </c>
      <c r="U124" s="620">
        <v>1015000</v>
      </c>
      <c r="V124" s="620">
        <v>112</v>
      </c>
      <c r="W124" s="620">
        <v>2</v>
      </c>
    </row>
    <row r="125" spans="1:23" x14ac:dyDescent="0.25">
      <c r="A125" s="620" t="s">
        <v>912</v>
      </c>
      <c r="B125" s="620" t="s">
        <v>913</v>
      </c>
      <c r="C125" s="620">
        <v>0</v>
      </c>
      <c r="D125" s="620">
        <v>0</v>
      </c>
      <c r="E125" s="620">
        <v>0</v>
      </c>
      <c r="F125" s="620">
        <v>999</v>
      </c>
      <c r="G125" s="620">
        <v>0</v>
      </c>
      <c r="H125" s="620">
        <v>999</v>
      </c>
      <c r="I125" s="620">
        <v>0</v>
      </c>
      <c r="J125" s="620">
        <v>0</v>
      </c>
      <c r="K125" s="620">
        <v>999</v>
      </c>
      <c r="L125" s="620">
        <v>0</v>
      </c>
      <c r="M125" s="620">
        <v>0</v>
      </c>
      <c r="N125" s="620">
        <v>0</v>
      </c>
      <c r="O125" s="620">
        <v>0</v>
      </c>
      <c r="R125" s="620">
        <v>1</v>
      </c>
      <c r="S125" s="620">
        <v>1</v>
      </c>
      <c r="T125" s="620">
        <v>700</v>
      </c>
      <c r="U125" s="620">
        <v>1999</v>
      </c>
      <c r="V125" s="620">
        <v>4</v>
      </c>
      <c r="W125" s="620">
        <v>1</v>
      </c>
    </row>
    <row r="126" spans="1:23" x14ac:dyDescent="0.25">
      <c r="A126" s="620" t="s">
        <v>914</v>
      </c>
      <c r="B126" s="620" t="s">
        <v>915</v>
      </c>
      <c r="C126" s="620">
        <v>0</v>
      </c>
      <c r="D126" s="620">
        <v>0</v>
      </c>
      <c r="E126" s="620">
        <v>0</v>
      </c>
      <c r="F126" s="620">
        <v>999600</v>
      </c>
      <c r="G126" s="620">
        <v>0</v>
      </c>
      <c r="H126" s="620">
        <v>999600</v>
      </c>
      <c r="I126" s="620">
        <v>0</v>
      </c>
      <c r="J126" s="620">
        <v>0</v>
      </c>
      <c r="K126" s="620">
        <v>999600</v>
      </c>
      <c r="L126" s="620">
        <v>0</v>
      </c>
      <c r="M126" s="620">
        <v>0</v>
      </c>
      <c r="N126" s="620">
        <v>0</v>
      </c>
      <c r="O126" s="620">
        <v>0</v>
      </c>
      <c r="R126" s="620">
        <v>1</v>
      </c>
      <c r="S126" s="620">
        <v>1250</v>
      </c>
      <c r="T126" s="620">
        <v>999600</v>
      </c>
      <c r="U126" s="620">
        <v>1019592</v>
      </c>
      <c r="V126" s="620">
        <v>1250</v>
      </c>
      <c r="W126" s="620">
        <v>1</v>
      </c>
    </row>
    <row r="127" spans="1:23" x14ac:dyDescent="0.25">
      <c r="A127" s="620" t="s">
        <v>916</v>
      </c>
      <c r="B127" s="620" t="s">
        <v>917</v>
      </c>
      <c r="C127" s="620">
        <v>33</v>
      </c>
      <c r="D127" s="620">
        <v>1229</v>
      </c>
      <c r="E127" s="620">
        <v>403265000</v>
      </c>
      <c r="F127" s="620">
        <v>619</v>
      </c>
      <c r="G127" s="620">
        <v>450</v>
      </c>
      <c r="H127" s="620">
        <v>303</v>
      </c>
      <c r="I127" s="620">
        <v>-316</v>
      </c>
      <c r="J127" s="620">
        <v>-51.05</v>
      </c>
      <c r="K127" s="620">
        <v>328</v>
      </c>
      <c r="L127" s="620">
        <v>-291</v>
      </c>
      <c r="M127" s="620">
        <v>-47.01</v>
      </c>
      <c r="N127" s="620">
        <v>300</v>
      </c>
      <c r="O127" s="620">
        <v>500</v>
      </c>
      <c r="R127" s="620">
        <v>1</v>
      </c>
      <c r="S127" s="620">
        <v>50</v>
      </c>
      <c r="T127" s="620">
        <v>303</v>
      </c>
      <c r="U127" s="620">
        <v>390</v>
      </c>
      <c r="V127" s="620">
        <v>20</v>
      </c>
      <c r="W127" s="620">
        <v>1</v>
      </c>
    </row>
    <row r="128" spans="1:23" x14ac:dyDescent="0.25">
      <c r="A128" s="620" t="s">
        <v>918</v>
      </c>
      <c r="B128" s="620" t="s">
        <v>919</v>
      </c>
      <c r="C128" s="620">
        <v>0</v>
      </c>
      <c r="D128" s="620">
        <v>0</v>
      </c>
      <c r="E128" s="620">
        <v>0</v>
      </c>
      <c r="F128" s="620">
        <v>999999</v>
      </c>
      <c r="G128" s="620">
        <v>0</v>
      </c>
      <c r="H128" s="620">
        <v>999999</v>
      </c>
      <c r="I128" s="620">
        <v>0</v>
      </c>
      <c r="J128" s="620">
        <v>0</v>
      </c>
      <c r="K128" s="620">
        <v>999999</v>
      </c>
      <c r="L128" s="620">
        <v>0</v>
      </c>
      <c r="M128" s="620">
        <v>0</v>
      </c>
      <c r="N128" s="620">
        <v>0</v>
      </c>
      <c r="O128" s="620">
        <v>0</v>
      </c>
      <c r="R128" s="620">
        <v>1</v>
      </c>
      <c r="S128" s="620">
        <v>6250</v>
      </c>
      <c r="T128" s="620">
        <v>981000</v>
      </c>
      <c r="U128" s="620">
        <v>1000000</v>
      </c>
      <c r="V128" s="620">
        <v>6250</v>
      </c>
      <c r="W128" s="620">
        <v>1</v>
      </c>
    </row>
    <row r="129" spans="1:23" x14ac:dyDescent="0.25">
      <c r="A129" s="620" t="s">
        <v>920</v>
      </c>
      <c r="B129" s="620" t="s">
        <v>921</v>
      </c>
      <c r="C129" s="620">
        <v>0</v>
      </c>
      <c r="D129" s="620">
        <v>0</v>
      </c>
      <c r="E129" s="620">
        <v>0</v>
      </c>
      <c r="F129" s="620">
        <v>1000000</v>
      </c>
      <c r="G129" s="620">
        <v>0</v>
      </c>
      <c r="H129" s="620">
        <v>1000000</v>
      </c>
      <c r="I129" s="620">
        <v>0</v>
      </c>
      <c r="J129" s="620">
        <v>0</v>
      </c>
      <c r="K129" s="620">
        <v>1000000</v>
      </c>
      <c r="L129" s="620">
        <v>0</v>
      </c>
      <c r="M129" s="620">
        <v>0</v>
      </c>
      <c r="N129" s="620">
        <v>0</v>
      </c>
      <c r="O129" s="620">
        <v>0</v>
      </c>
      <c r="R129" s="620">
        <v>1</v>
      </c>
      <c r="S129" s="620">
        <v>8880</v>
      </c>
      <c r="T129" s="620">
        <v>990000</v>
      </c>
      <c r="U129" s="620">
        <v>1000000</v>
      </c>
      <c r="V129" s="620">
        <v>6417</v>
      </c>
      <c r="W129" s="620">
        <v>1</v>
      </c>
    </row>
    <row r="130" spans="1:23" x14ac:dyDescent="0.25">
      <c r="A130" s="620" t="s">
        <v>922</v>
      </c>
      <c r="B130" s="620" t="s">
        <v>923</v>
      </c>
      <c r="C130" s="620">
        <v>0</v>
      </c>
      <c r="D130" s="620">
        <v>0</v>
      </c>
      <c r="E130" s="620">
        <v>0</v>
      </c>
      <c r="F130" s="620">
        <v>1</v>
      </c>
      <c r="G130" s="620">
        <v>0</v>
      </c>
      <c r="H130" s="620">
        <v>1</v>
      </c>
      <c r="I130" s="620">
        <v>0</v>
      </c>
      <c r="J130" s="620">
        <v>0</v>
      </c>
      <c r="K130" s="620">
        <v>1</v>
      </c>
      <c r="L130" s="620">
        <v>0</v>
      </c>
      <c r="M130" s="620">
        <v>0</v>
      </c>
      <c r="N130" s="620">
        <v>0</v>
      </c>
      <c r="O130" s="620">
        <v>0</v>
      </c>
      <c r="R130" s="620">
        <v>1</v>
      </c>
      <c r="S130" s="620">
        <v>10</v>
      </c>
      <c r="T130" s="620">
        <v>104</v>
      </c>
      <c r="U130" s="620">
        <v>0</v>
      </c>
      <c r="V130" s="620">
        <v>0</v>
      </c>
      <c r="W130" s="620">
        <v>0</v>
      </c>
    </row>
    <row r="131" spans="1:23" x14ac:dyDescent="0.25">
      <c r="A131" s="620" t="s">
        <v>924</v>
      </c>
      <c r="B131" s="620" t="s">
        <v>925</v>
      </c>
      <c r="C131" s="620">
        <v>10</v>
      </c>
      <c r="D131" s="620">
        <v>463</v>
      </c>
      <c r="E131" s="620">
        <v>36335600</v>
      </c>
      <c r="F131" s="620">
        <v>78792</v>
      </c>
      <c r="G131" s="620">
        <v>80000</v>
      </c>
      <c r="H131" s="620">
        <v>81600</v>
      </c>
      <c r="I131" s="620">
        <v>2808</v>
      </c>
      <c r="J131" s="620">
        <v>3.56</v>
      </c>
      <c r="K131" s="620">
        <v>78479</v>
      </c>
      <c r="L131" s="620">
        <v>-313</v>
      </c>
      <c r="M131" s="620">
        <v>-0.4</v>
      </c>
      <c r="N131" s="620">
        <v>74900</v>
      </c>
      <c r="O131" s="620">
        <v>81600</v>
      </c>
      <c r="R131" s="620">
        <v>1</v>
      </c>
      <c r="S131" s="620">
        <v>100</v>
      </c>
      <c r="T131" s="620">
        <v>75000</v>
      </c>
      <c r="U131" s="620">
        <v>79998</v>
      </c>
      <c r="V131" s="620">
        <v>100</v>
      </c>
      <c r="W131" s="620">
        <v>1</v>
      </c>
    </row>
    <row r="132" spans="1:23" x14ac:dyDescent="0.25">
      <c r="A132" s="620" t="s">
        <v>926</v>
      </c>
      <c r="B132" s="620" t="s">
        <v>927</v>
      </c>
      <c r="C132" s="620">
        <v>0</v>
      </c>
      <c r="D132" s="620">
        <v>0</v>
      </c>
      <c r="E132" s="620">
        <v>0</v>
      </c>
      <c r="F132" s="620">
        <v>1</v>
      </c>
      <c r="G132" s="620">
        <v>0</v>
      </c>
      <c r="H132" s="620">
        <v>1</v>
      </c>
      <c r="I132" s="620">
        <v>0</v>
      </c>
      <c r="J132" s="620">
        <v>0</v>
      </c>
      <c r="K132" s="620">
        <v>1</v>
      </c>
      <c r="L132" s="620">
        <v>0</v>
      </c>
      <c r="M132" s="620">
        <v>0</v>
      </c>
      <c r="N132" s="620">
        <v>0</v>
      </c>
      <c r="O132" s="620">
        <v>0</v>
      </c>
      <c r="R132" s="620">
        <v>1</v>
      </c>
      <c r="S132" s="620">
        <v>100</v>
      </c>
      <c r="T132" s="620">
        <v>2</v>
      </c>
      <c r="U132" s="620">
        <v>0</v>
      </c>
      <c r="V132" s="620">
        <v>0</v>
      </c>
      <c r="W132" s="620">
        <v>0</v>
      </c>
    </row>
    <row r="133" spans="1:23" x14ac:dyDescent="0.25">
      <c r="A133" s="620" t="s">
        <v>928</v>
      </c>
      <c r="B133" s="620" t="s">
        <v>929</v>
      </c>
      <c r="C133" s="620">
        <v>354</v>
      </c>
      <c r="D133" s="620">
        <v>997018</v>
      </c>
      <c r="E133" s="620">
        <v>11780951477</v>
      </c>
      <c r="F133" s="620">
        <v>12437</v>
      </c>
      <c r="G133" s="620">
        <v>11816</v>
      </c>
      <c r="H133" s="620">
        <v>11816</v>
      </c>
      <c r="I133" s="620">
        <v>-621</v>
      </c>
      <c r="J133" s="620">
        <v>-4.99</v>
      </c>
      <c r="K133" s="620">
        <v>11816</v>
      </c>
      <c r="L133" s="620">
        <v>-621</v>
      </c>
      <c r="M133" s="620">
        <v>-4.99</v>
      </c>
      <c r="N133" s="620">
        <v>11816</v>
      </c>
      <c r="O133" s="620">
        <v>12190</v>
      </c>
      <c r="P133" s="620" t="s">
        <v>930</v>
      </c>
      <c r="Q133" s="620" t="s">
        <v>931</v>
      </c>
      <c r="R133" s="620">
        <v>0</v>
      </c>
      <c r="S133" s="620">
        <v>0</v>
      </c>
      <c r="T133" s="620">
        <v>0</v>
      </c>
      <c r="U133" s="620">
        <v>11816</v>
      </c>
      <c r="V133" s="620">
        <v>519728</v>
      </c>
      <c r="W133" s="620">
        <v>36</v>
      </c>
    </row>
    <row r="134" spans="1:23" x14ac:dyDescent="0.25">
      <c r="A134" s="620" t="s">
        <v>932</v>
      </c>
      <c r="B134" s="620" t="s">
        <v>933</v>
      </c>
      <c r="C134" s="620">
        <v>0</v>
      </c>
      <c r="D134" s="620">
        <v>0</v>
      </c>
      <c r="E134" s="620">
        <v>0</v>
      </c>
      <c r="F134" s="620">
        <v>1</v>
      </c>
      <c r="G134" s="620">
        <v>0</v>
      </c>
      <c r="H134" s="620">
        <v>1</v>
      </c>
      <c r="I134" s="620">
        <v>0</v>
      </c>
      <c r="J134" s="620">
        <v>0</v>
      </c>
      <c r="K134" s="620">
        <v>1</v>
      </c>
      <c r="L134" s="620">
        <v>0</v>
      </c>
      <c r="M134" s="620">
        <v>0</v>
      </c>
      <c r="N134" s="620">
        <v>0</v>
      </c>
      <c r="O134" s="620">
        <v>0</v>
      </c>
      <c r="R134" s="620">
        <v>1</v>
      </c>
      <c r="S134" s="620">
        <v>20</v>
      </c>
      <c r="T134" s="620">
        <v>10</v>
      </c>
      <c r="U134" s="620">
        <v>0</v>
      </c>
      <c r="V134" s="620">
        <v>0</v>
      </c>
      <c r="W134" s="620">
        <v>0</v>
      </c>
    </row>
    <row r="135" spans="1:23" x14ac:dyDescent="0.25">
      <c r="A135" s="620" t="s">
        <v>934</v>
      </c>
      <c r="B135" s="620" t="s">
        <v>935</v>
      </c>
      <c r="C135" s="620">
        <v>0</v>
      </c>
      <c r="D135" s="620">
        <v>0</v>
      </c>
      <c r="E135" s="620">
        <v>0</v>
      </c>
      <c r="F135" s="620">
        <v>1</v>
      </c>
      <c r="G135" s="620">
        <v>0</v>
      </c>
      <c r="H135" s="620">
        <v>1</v>
      </c>
      <c r="I135" s="620">
        <v>0</v>
      </c>
      <c r="J135" s="620">
        <v>0</v>
      </c>
      <c r="K135" s="620">
        <v>1</v>
      </c>
      <c r="L135" s="620">
        <v>0</v>
      </c>
      <c r="M135" s="620">
        <v>0</v>
      </c>
      <c r="N135" s="620">
        <v>0</v>
      </c>
      <c r="O135" s="620">
        <v>0</v>
      </c>
      <c r="R135" s="620">
        <v>3</v>
      </c>
      <c r="S135" s="620">
        <v>15</v>
      </c>
      <c r="T135" s="620">
        <v>50</v>
      </c>
      <c r="U135" s="620">
        <v>0</v>
      </c>
      <c r="V135" s="620">
        <v>0</v>
      </c>
      <c r="W135" s="620">
        <v>0</v>
      </c>
    </row>
    <row r="136" spans="1:23" x14ac:dyDescent="0.25">
      <c r="A136" s="620" t="s">
        <v>936</v>
      </c>
      <c r="B136" s="620" t="s">
        <v>937</v>
      </c>
      <c r="C136" s="620">
        <v>338</v>
      </c>
      <c r="D136" s="620">
        <v>630533</v>
      </c>
      <c r="E136" s="620">
        <v>4765568414</v>
      </c>
      <c r="F136" s="620">
        <v>7955</v>
      </c>
      <c r="G136" s="620">
        <v>7558</v>
      </c>
      <c r="H136" s="620">
        <v>7558</v>
      </c>
      <c r="I136" s="620">
        <v>-397</v>
      </c>
      <c r="J136" s="620">
        <v>-4.99</v>
      </c>
      <c r="K136" s="620">
        <v>7705</v>
      </c>
      <c r="L136" s="620">
        <v>-250</v>
      </c>
      <c r="M136" s="620">
        <v>-3.14</v>
      </c>
      <c r="N136" s="620">
        <v>7558</v>
      </c>
      <c r="O136" s="620">
        <v>7558</v>
      </c>
      <c r="P136" s="620" t="s">
        <v>938</v>
      </c>
      <c r="Q136" s="620" t="s">
        <v>939</v>
      </c>
      <c r="R136" s="620">
        <v>1</v>
      </c>
      <c r="S136" s="620">
        <v>5147</v>
      </c>
      <c r="T136" s="620">
        <v>4070</v>
      </c>
      <c r="U136" s="620">
        <v>7558</v>
      </c>
      <c r="V136" s="620">
        <v>9157437</v>
      </c>
      <c r="W136" s="620">
        <v>808</v>
      </c>
    </row>
    <row r="137" spans="1:23" x14ac:dyDescent="0.25">
      <c r="A137" s="620" t="s">
        <v>940</v>
      </c>
      <c r="B137" s="620" t="s">
        <v>941</v>
      </c>
      <c r="C137" s="620">
        <v>698</v>
      </c>
      <c r="D137" s="620">
        <v>1009272</v>
      </c>
      <c r="E137" s="620">
        <v>15943702639</v>
      </c>
      <c r="F137" s="620">
        <v>16491</v>
      </c>
      <c r="G137" s="620">
        <v>15800</v>
      </c>
      <c r="H137" s="620">
        <v>15667</v>
      </c>
      <c r="I137" s="620">
        <v>-824</v>
      </c>
      <c r="J137" s="620">
        <v>-5</v>
      </c>
      <c r="K137" s="620">
        <v>15797</v>
      </c>
      <c r="L137" s="620">
        <v>-694</v>
      </c>
      <c r="M137" s="620">
        <v>-4.21</v>
      </c>
      <c r="N137" s="620">
        <v>15667</v>
      </c>
      <c r="O137" s="620">
        <v>16400</v>
      </c>
      <c r="P137" s="620" t="s">
        <v>942</v>
      </c>
      <c r="Q137" s="620" t="s">
        <v>943</v>
      </c>
      <c r="R137" s="620">
        <v>1</v>
      </c>
      <c r="S137" s="620">
        <v>250</v>
      </c>
      <c r="T137" s="620">
        <v>12300</v>
      </c>
      <c r="U137" s="620">
        <v>15667</v>
      </c>
      <c r="V137" s="620">
        <v>157401</v>
      </c>
      <c r="W137" s="620">
        <v>24</v>
      </c>
    </row>
    <row r="138" spans="1:23" x14ac:dyDescent="0.25">
      <c r="A138" s="620" t="s">
        <v>944</v>
      </c>
      <c r="B138" s="620" t="s">
        <v>945</v>
      </c>
      <c r="C138" s="620">
        <v>257</v>
      </c>
      <c r="D138" s="620">
        <v>691607</v>
      </c>
      <c r="E138" s="620">
        <v>7974234105</v>
      </c>
      <c r="F138" s="620">
        <v>11834</v>
      </c>
      <c r="G138" s="620">
        <v>11501</v>
      </c>
      <c r="H138" s="620">
        <v>11600</v>
      </c>
      <c r="I138" s="620">
        <v>-234</v>
      </c>
      <c r="J138" s="620">
        <v>-1.98</v>
      </c>
      <c r="K138" s="620">
        <v>11530</v>
      </c>
      <c r="L138" s="620">
        <v>-304</v>
      </c>
      <c r="M138" s="620">
        <v>-2.57</v>
      </c>
      <c r="N138" s="620">
        <v>11430</v>
      </c>
      <c r="O138" s="620">
        <v>11869</v>
      </c>
      <c r="P138" s="620" t="s">
        <v>946</v>
      </c>
      <c r="Q138" s="620" t="s">
        <v>947</v>
      </c>
      <c r="R138" s="620">
        <v>1</v>
      </c>
      <c r="S138" s="620">
        <v>16500</v>
      </c>
      <c r="T138" s="620">
        <v>11351</v>
      </c>
      <c r="U138" s="620">
        <v>11699</v>
      </c>
      <c r="V138" s="620">
        <v>6850</v>
      </c>
      <c r="W138" s="620">
        <v>1</v>
      </c>
    </row>
    <row r="139" spans="1:23" x14ac:dyDescent="0.25">
      <c r="A139" s="620" t="s">
        <v>948</v>
      </c>
      <c r="B139" s="620" t="s">
        <v>949</v>
      </c>
      <c r="C139" s="620">
        <v>126</v>
      </c>
      <c r="D139" s="620">
        <v>616091</v>
      </c>
      <c r="E139" s="620">
        <v>2812091063</v>
      </c>
      <c r="F139" s="620">
        <v>4683</v>
      </c>
      <c r="G139" s="620">
        <v>4543</v>
      </c>
      <c r="H139" s="620">
        <v>4543</v>
      </c>
      <c r="I139" s="620">
        <v>-140</v>
      </c>
      <c r="J139" s="620">
        <v>-2.99</v>
      </c>
      <c r="K139" s="620">
        <v>4564</v>
      </c>
      <c r="L139" s="620">
        <v>-119</v>
      </c>
      <c r="M139" s="620">
        <v>-2.54</v>
      </c>
      <c r="N139" s="620">
        <v>4543</v>
      </c>
      <c r="O139" s="620">
        <v>4669</v>
      </c>
      <c r="P139" s="620" t="s">
        <v>950</v>
      </c>
      <c r="Q139" s="620" t="s">
        <v>951</v>
      </c>
      <c r="R139" s="620">
        <v>0</v>
      </c>
      <c r="S139" s="620">
        <v>0</v>
      </c>
      <c r="T139" s="620">
        <v>0</v>
      </c>
      <c r="U139" s="620">
        <v>4669</v>
      </c>
      <c r="V139" s="620">
        <v>2000</v>
      </c>
      <c r="W139" s="620">
        <v>1</v>
      </c>
    </row>
    <row r="140" spans="1:23" x14ac:dyDescent="0.25">
      <c r="A140" s="620" t="s">
        <v>336</v>
      </c>
      <c r="B140" s="620" t="s">
        <v>952</v>
      </c>
      <c r="C140" s="620">
        <v>15985</v>
      </c>
      <c r="D140" s="620">
        <v>221994142</v>
      </c>
      <c r="E140" s="620">
        <v>418548732529</v>
      </c>
      <c r="F140" s="620">
        <v>1917</v>
      </c>
      <c r="G140" s="620">
        <v>1863</v>
      </c>
      <c r="H140" s="620">
        <v>1866</v>
      </c>
      <c r="I140" s="620">
        <v>-51</v>
      </c>
      <c r="J140" s="620">
        <v>-2.66</v>
      </c>
      <c r="K140" s="620">
        <v>1885</v>
      </c>
      <c r="L140" s="620">
        <v>-32</v>
      </c>
      <c r="M140" s="620">
        <v>-1.67</v>
      </c>
      <c r="N140" s="620">
        <v>1822</v>
      </c>
      <c r="O140" s="620">
        <v>1972</v>
      </c>
      <c r="P140" s="620" t="s">
        <v>953</v>
      </c>
      <c r="Q140" s="620" t="s">
        <v>954</v>
      </c>
      <c r="R140" s="620">
        <v>1</v>
      </c>
      <c r="S140" s="620">
        <v>12500</v>
      </c>
      <c r="T140" s="620">
        <v>1866</v>
      </c>
      <c r="U140" s="620">
        <v>1870</v>
      </c>
      <c r="V140" s="620">
        <v>5180</v>
      </c>
      <c r="W140" s="620">
        <v>1</v>
      </c>
    </row>
    <row r="141" spans="1:23" x14ac:dyDescent="0.25">
      <c r="A141" s="620" t="s">
        <v>955</v>
      </c>
      <c r="B141" s="620" t="s">
        <v>956</v>
      </c>
      <c r="C141" s="620">
        <v>0</v>
      </c>
      <c r="D141" s="620">
        <v>0</v>
      </c>
      <c r="E141" s="620">
        <v>0</v>
      </c>
      <c r="F141" s="620">
        <v>55007</v>
      </c>
      <c r="G141" s="620">
        <v>0</v>
      </c>
      <c r="H141" s="620">
        <v>67320</v>
      </c>
      <c r="I141" s="620">
        <v>12313</v>
      </c>
      <c r="J141" s="620">
        <v>22.38</v>
      </c>
      <c r="K141" s="620">
        <v>52500</v>
      </c>
      <c r="L141" s="620">
        <v>-2507</v>
      </c>
      <c r="M141" s="620">
        <v>-4.5599999999999996</v>
      </c>
      <c r="N141" s="620">
        <v>0</v>
      </c>
      <c r="O141" s="620">
        <v>0</v>
      </c>
      <c r="R141" s="620">
        <v>1</v>
      </c>
      <c r="S141" s="620">
        <v>1</v>
      </c>
      <c r="T141" s="620">
        <v>52500</v>
      </c>
      <c r="U141" s="620">
        <v>0</v>
      </c>
      <c r="V141" s="620">
        <v>0</v>
      </c>
      <c r="W141" s="620">
        <v>0</v>
      </c>
    </row>
    <row r="142" spans="1:23" x14ac:dyDescent="0.25">
      <c r="A142" s="620" t="s">
        <v>957</v>
      </c>
      <c r="B142" s="620" t="s">
        <v>958</v>
      </c>
      <c r="C142" s="620">
        <v>142</v>
      </c>
      <c r="D142" s="620">
        <v>54200</v>
      </c>
      <c r="E142" s="620">
        <v>4374293642</v>
      </c>
      <c r="F142" s="620">
        <v>80918</v>
      </c>
      <c r="G142" s="620">
        <v>80029</v>
      </c>
      <c r="H142" s="620">
        <v>80800</v>
      </c>
      <c r="I142" s="620">
        <v>-118</v>
      </c>
      <c r="J142" s="620">
        <v>-0.15</v>
      </c>
      <c r="K142" s="620">
        <v>80707</v>
      </c>
      <c r="L142" s="620">
        <v>-211</v>
      </c>
      <c r="M142" s="620">
        <v>-0.26</v>
      </c>
      <c r="N142" s="620">
        <v>80000</v>
      </c>
      <c r="O142" s="620">
        <v>81140</v>
      </c>
      <c r="R142" s="620">
        <v>1</v>
      </c>
      <c r="S142" s="620">
        <v>30</v>
      </c>
      <c r="T142" s="620">
        <v>80116</v>
      </c>
      <c r="U142" s="620">
        <v>80800</v>
      </c>
      <c r="V142" s="620">
        <v>108</v>
      </c>
      <c r="W142" s="620">
        <v>1</v>
      </c>
    </row>
    <row r="143" spans="1:23" x14ac:dyDescent="0.25">
      <c r="A143" s="620" t="s">
        <v>959</v>
      </c>
      <c r="B143" s="620" t="s">
        <v>960</v>
      </c>
      <c r="C143" s="620">
        <v>376</v>
      </c>
      <c r="D143" s="620">
        <v>3397544</v>
      </c>
      <c r="E143" s="620">
        <v>9382420487</v>
      </c>
      <c r="F143" s="620">
        <v>2723</v>
      </c>
      <c r="G143" s="620">
        <v>2708</v>
      </c>
      <c r="H143" s="620">
        <v>2760</v>
      </c>
      <c r="I143" s="620">
        <v>37</v>
      </c>
      <c r="J143" s="620">
        <v>1.36</v>
      </c>
      <c r="K143" s="620">
        <v>2762</v>
      </c>
      <c r="L143" s="620">
        <v>39</v>
      </c>
      <c r="M143" s="620">
        <v>1.43</v>
      </c>
      <c r="N143" s="620">
        <v>2694</v>
      </c>
      <c r="O143" s="620">
        <v>2841</v>
      </c>
      <c r="P143" s="620" t="s">
        <v>961</v>
      </c>
      <c r="Q143" s="620" t="s">
        <v>962</v>
      </c>
      <c r="R143" s="620">
        <v>1</v>
      </c>
      <c r="S143" s="620">
        <v>500</v>
      </c>
      <c r="T143" s="620">
        <v>2760</v>
      </c>
      <c r="U143" s="620">
        <v>2760</v>
      </c>
      <c r="V143" s="620">
        <v>9648</v>
      </c>
      <c r="W143" s="620">
        <v>1</v>
      </c>
    </row>
    <row r="144" spans="1:23" x14ac:dyDescent="0.25">
      <c r="A144" s="620" t="s">
        <v>963</v>
      </c>
      <c r="B144" s="620" t="s">
        <v>964</v>
      </c>
      <c r="C144" s="620">
        <v>4209</v>
      </c>
      <c r="D144" s="620">
        <v>49705383</v>
      </c>
      <c r="E144" s="620">
        <v>106089417577</v>
      </c>
      <c r="F144" s="620">
        <v>2143</v>
      </c>
      <c r="G144" s="620">
        <v>2143</v>
      </c>
      <c r="H144" s="620">
        <v>2147</v>
      </c>
      <c r="I144" s="620">
        <v>4</v>
      </c>
      <c r="J144" s="620">
        <v>0.19</v>
      </c>
      <c r="K144" s="620">
        <v>2134</v>
      </c>
      <c r="L144" s="620">
        <v>-9</v>
      </c>
      <c r="M144" s="620">
        <v>-0.42</v>
      </c>
      <c r="N144" s="620">
        <v>2092</v>
      </c>
      <c r="O144" s="620">
        <v>2180</v>
      </c>
      <c r="P144" s="620" t="s">
        <v>965</v>
      </c>
      <c r="Q144" s="620" t="s">
        <v>966</v>
      </c>
      <c r="R144" s="620">
        <v>1</v>
      </c>
      <c r="S144" s="620">
        <v>10000</v>
      </c>
      <c r="T144" s="620">
        <v>2108</v>
      </c>
      <c r="U144" s="620">
        <v>2147</v>
      </c>
      <c r="V144" s="620">
        <v>56582</v>
      </c>
      <c r="W144" s="620">
        <v>2</v>
      </c>
    </row>
    <row r="145" spans="1:23" x14ac:dyDescent="0.25">
      <c r="A145" s="620" t="s">
        <v>967</v>
      </c>
      <c r="B145" s="620" t="s">
        <v>968</v>
      </c>
      <c r="C145" s="620">
        <v>27</v>
      </c>
      <c r="D145" s="620">
        <v>22901</v>
      </c>
      <c r="E145" s="620">
        <v>20607213371</v>
      </c>
      <c r="F145" s="620">
        <v>899607</v>
      </c>
      <c r="G145" s="620">
        <v>898555</v>
      </c>
      <c r="H145" s="620">
        <v>900500</v>
      </c>
      <c r="I145" s="620">
        <v>893</v>
      </c>
      <c r="J145" s="620">
        <v>0.1</v>
      </c>
      <c r="K145" s="620">
        <v>899839</v>
      </c>
      <c r="L145" s="620">
        <v>232</v>
      </c>
      <c r="M145" s="620">
        <v>0.03</v>
      </c>
      <c r="N145" s="620">
        <v>898555</v>
      </c>
      <c r="O145" s="620">
        <v>901000</v>
      </c>
      <c r="R145" s="620">
        <v>1</v>
      </c>
      <c r="S145" s="620">
        <v>10</v>
      </c>
      <c r="T145" s="620">
        <v>900000</v>
      </c>
      <c r="U145" s="620">
        <v>904994</v>
      </c>
      <c r="V145" s="620">
        <v>386</v>
      </c>
      <c r="W145" s="620">
        <v>1</v>
      </c>
    </row>
    <row r="146" spans="1:23" x14ac:dyDescent="0.25">
      <c r="A146" s="620" t="s">
        <v>969</v>
      </c>
      <c r="B146" s="620" t="s">
        <v>970</v>
      </c>
      <c r="C146" s="620">
        <v>4</v>
      </c>
      <c r="D146" s="620">
        <v>40</v>
      </c>
      <c r="E146" s="620">
        <v>158719990</v>
      </c>
      <c r="F146" s="620">
        <v>3966994</v>
      </c>
      <c r="G146" s="620">
        <v>3971999</v>
      </c>
      <c r="H146" s="620">
        <v>3965000</v>
      </c>
      <c r="I146" s="620">
        <v>-1994</v>
      </c>
      <c r="J146" s="620">
        <v>-0.05</v>
      </c>
      <c r="K146" s="620">
        <v>3968000</v>
      </c>
      <c r="L146" s="620">
        <v>1006</v>
      </c>
      <c r="M146" s="620">
        <v>0.03</v>
      </c>
      <c r="N146" s="620">
        <v>3965000</v>
      </c>
      <c r="O146" s="620">
        <v>3971999</v>
      </c>
      <c r="R146" s="620">
        <v>1</v>
      </c>
      <c r="S146" s="620">
        <v>80</v>
      </c>
      <c r="T146" s="620">
        <v>3965000</v>
      </c>
      <c r="U146" s="620">
        <v>3970000</v>
      </c>
      <c r="V146" s="620">
        <v>90</v>
      </c>
      <c r="W146" s="620">
        <v>2</v>
      </c>
    </row>
    <row r="147" spans="1:23" x14ac:dyDescent="0.25">
      <c r="A147" s="620" t="s">
        <v>971</v>
      </c>
      <c r="B147" s="620" t="s">
        <v>972</v>
      </c>
      <c r="C147" s="620">
        <v>133</v>
      </c>
      <c r="D147" s="620">
        <v>409412</v>
      </c>
      <c r="E147" s="620">
        <v>7689218087</v>
      </c>
      <c r="F147" s="620">
        <v>19769</v>
      </c>
      <c r="G147" s="620">
        <v>18781</v>
      </c>
      <c r="H147" s="620">
        <v>18781</v>
      </c>
      <c r="I147" s="620">
        <v>-988</v>
      </c>
      <c r="J147" s="620">
        <v>-5</v>
      </c>
      <c r="K147" s="620">
        <v>18781</v>
      </c>
      <c r="L147" s="620">
        <v>-988</v>
      </c>
      <c r="M147" s="620">
        <v>-5</v>
      </c>
      <c r="N147" s="620">
        <v>18781</v>
      </c>
      <c r="O147" s="620">
        <v>19495</v>
      </c>
      <c r="P147" s="620" t="s">
        <v>973</v>
      </c>
      <c r="Q147" s="620" t="s">
        <v>974</v>
      </c>
      <c r="R147" s="620">
        <v>0</v>
      </c>
      <c r="S147" s="620">
        <v>0</v>
      </c>
      <c r="T147" s="620">
        <v>0</v>
      </c>
      <c r="U147" s="620">
        <v>18781</v>
      </c>
      <c r="V147" s="620">
        <v>387712</v>
      </c>
      <c r="W147" s="620">
        <v>40</v>
      </c>
    </row>
    <row r="148" spans="1:23" x14ac:dyDescent="0.25">
      <c r="A148" s="620" t="s">
        <v>975</v>
      </c>
      <c r="B148" s="620" t="s">
        <v>976</v>
      </c>
      <c r="C148" s="620">
        <v>12</v>
      </c>
      <c r="D148" s="620">
        <v>21297</v>
      </c>
      <c r="E148" s="620">
        <v>54307350</v>
      </c>
      <c r="F148" s="620">
        <v>2628</v>
      </c>
      <c r="G148" s="620">
        <v>2550</v>
      </c>
      <c r="H148" s="620">
        <v>2550</v>
      </c>
      <c r="I148" s="620">
        <v>-78</v>
      </c>
      <c r="J148" s="620">
        <v>-2.97</v>
      </c>
      <c r="K148" s="620">
        <v>2550</v>
      </c>
      <c r="L148" s="620">
        <v>-78</v>
      </c>
      <c r="M148" s="620">
        <v>-2.97</v>
      </c>
      <c r="N148" s="620">
        <v>2550</v>
      </c>
      <c r="O148" s="620">
        <v>2550</v>
      </c>
      <c r="P148" s="620" t="s">
        <v>977</v>
      </c>
      <c r="Q148" s="620" t="s">
        <v>978</v>
      </c>
      <c r="R148" s="620">
        <v>0</v>
      </c>
      <c r="S148" s="620">
        <v>0</v>
      </c>
      <c r="T148" s="620">
        <v>0</v>
      </c>
      <c r="U148" s="620">
        <v>2550</v>
      </c>
      <c r="V148" s="620">
        <v>36202</v>
      </c>
      <c r="W148" s="620">
        <v>9</v>
      </c>
    </row>
    <row r="149" spans="1:23" x14ac:dyDescent="0.25">
      <c r="A149" s="620" t="s">
        <v>979</v>
      </c>
      <c r="B149" s="620" t="s">
        <v>980</v>
      </c>
      <c r="C149" s="620">
        <v>59</v>
      </c>
      <c r="D149" s="620">
        <v>30500</v>
      </c>
      <c r="E149" s="620">
        <v>2433751718</v>
      </c>
      <c r="F149" s="620">
        <v>80210</v>
      </c>
      <c r="G149" s="620">
        <v>79500</v>
      </c>
      <c r="H149" s="620">
        <v>78200</v>
      </c>
      <c r="I149" s="620">
        <v>-2010</v>
      </c>
      <c r="J149" s="620">
        <v>-2.5099999999999998</v>
      </c>
      <c r="K149" s="620">
        <v>79795</v>
      </c>
      <c r="L149" s="620">
        <v>-415</v>
      </c>
      <c r="M149" s="620">
        <v>-0.52</v>
      </c>
      <c r="N149" s="620">
        <v>78105</v>
      </c>
      <c r="O149" s="620">
        <v>80998</v>
      </c>
      <c r="R149" s="620">
        <v>2</v>
      </c>
      <c r="S149" s="620">
        <v>200</v>
      </c>
      <c r="T149" s="620">
        <v>78401</v>
      </c>
      <c r="U149" s="620">
        <v>80012</v>
      </c>
      <c r="V149" s="620">
        <v>147</v>
      </c>
      <c r="W149" s="620">
        <v>1</v>
      </c>
    </row>
    <row r="150" spans="1:23" x14ac:dyDescent="0.25">
      <c r="A150" s="620" t="s">
        <v>981</v>
      </c>
      <c r="B150" s="620" t="s">
        <v>982</v>
      </c>
      <c r="C150" s="620">
        <v>857</v>
      </c>
      <c r="D150" s="620">
        <v>1942034</v>
      </c>
      <c r="E150" s="620">
        <v>18532428925</v>
      </c>
      <c r="F150" s="620">
        <v>9770</v>
      </c>
      <c r="G150" s="620">
        <v>9700</v>
      </c>
      <c r="H150" s="620">
        <v>9477</v>
      </c>
      <c r="I150" s="620">
        <v>-293</v>
      </c>
      <c r="J150" s="620">
        <v>-3</v>
      </c>
      <c r="K150" s="620">
        <v>9543</v>
      </c>
      <c r="L150" s="620">
        <v>-227</v>
      </c>
      <c r="M150" s="620">
        <v>-2.3199999999999998</v>
      </c>
      <c r="N150" s="620">
        <v>9477</v>
      </c>
      <c r="O150" s="620">
        <v>9764</v>
      </c>
      <c r="P150" s="620" t="s">
        <v>983</v>
      </c>
      <c r="Q150" s="620" t="s">
        <v>984</v>
      </c>
      <c r="R150" s="620">
        <v>0</v>
      </c>
      <c r="S150" s="620">
        <v>0</v>
      </c>
      <c r="T150" s="620">
        <v>0</v>
      </c>
      <c r="U150" s="620">
        <v>9477</v>
      </c>
      <c r="V150" s="620">
        <v>26237</v>
      </c>
      <c r="W150" s="620">
        <v>10</v>
      </c>
    </row>
    <row r="151" spans="1:23" x14ac:dyDescent="0.25">
      <c r="A151" s="620" t="s">
        <v>985</v>
      </c>
      <c r="B151" s="620" t="s">
        <v>986</v>
      </c>
      <c r="C151" s="620">
        <v>748</v>
      </c>
      <c r="D151" s="620">
        <v>2090639</v>
      </c>
      <c r="E151" s="620">
        <v>43483397761</v>
      </c>
      <c r="F151" s="620">
        <v>21787</v>
      </c>
      <c r="G151" s="620">
        <v>20698</v>
      </c>
      <c r="H151" s="620">
        <v>20698</v>
      </c>
      <c r="I151" s="620">
        <v>-1089</v>
      </c>
      <c r="J151" s="620">
        <v>-5</v>
      </c>
      <c r="K151" s="620">
        <v>20799</v>
      </c>
      <c r="L151" s="620">
        <v>-988</v>
      </c>
      <c r="M151" s="620">
        <v>-4.53</v>
      </c>
      <c r="N151" s="620">
        <v>20698</v>
      </c>
      <c r="O151" s="620">
        <v>21590</v>
      </c>
      <c r="P151" s="620" t="s">
        <v>987</v>
      </c>
      <c r="Q151" s="620" t="s">
        <v>988</v>
      </c>
      <c r="R151" s="620">
        <v>1</v>
      </c>
      <c r="S151" s="620">
        <v>55</v>
      </c>
      <c r="T151" s="620">
        <v>18809</v>
      </c>
      <c r="U151" s="620">
        <v>20698</v>
      </c>
      <c r="V151" s="620">
        <v>510969</v>
      </c>
      <c r="W151" s="620">
        <v>46</v>
      </c>
    </row>
    <row r="152" spans="1:23" x14ac:dyDescent="0.25">
      <c r="A152" s="620" t="s">
        <v>989</v>
      </c>
      <c r="B152" s="620" t="s">
        <v>990</v>
      </c>
      <c r="C152" s="620">
        <v>185</v>
      </c>
      <c r="D152" s="620">
        <v>1667436</v>
      </c>
      <c r="E152" s="620">
        <v>2288051528</v>
      </c>
      <c r="F152" s="620">
        <v>1414</v>
      </c>
      <c r="G152" s="620">
        <v>1373</v>
      </c>
      <c r="H152" s="620">
        <v>1372</v>
      </c>
      <c r="I152" s="620">
        <v>-42</v>
      </c>
      <c r="J152" s="620">
        <v>-2.97</v>
      </c>
      <c r="K152" s="620">
        <v>1372</v>
      </c>
      <c r="L152" s="620">
        <v>-42</v>
      </c>
      <c r="M152" s="620">
        <v>-2.97</v>
      </c>
      <c r="N152" s="620">
        <v>1372</v>
      </c>
      <c r="O152" s="620">
        <v>1380</v>
      </c>
      <c r="P152" s="620" t="s">
        <v>991</v>
      </c>
      <c r="Q152" s="620" t="s">
        <v>992</v>
      </c>
      <c r="R152" s="620">
        <v>0</v>
      </c>
      <c r="S152" s="620">
        <v>0</v>
      </c>
      <c r="T152" s="620">
        <v>0</v>
      </c>
      <c r="U152" s="620">
        <v>1372</v>
      </c>
      <c r="V152" s="620">
        <v>797536</v>
      </c>
      <c r="W152" s="620">
        <v>27</v>
      </c>
    </row>
    <row r="153" spans="1:23" x14ac:dyDescent="0.25">
      <c r="A153" s="620" t="s">
        <v>993</v>
      </c>
      <c r="B153" s="620" t="s">
        <v>994</v>
      </c>
      <c r="C153" s="620">
        <v>150</v>
      </c>
      <c r="D153" s="620">
        <v>350150</v>
      </c>
      <c r="E153" s="620">
        <v>2670243900</v>
      </c>
      <c r="F153" s="620">
        <v>8027</v>
      </c>
      <c r="G153" s="620">
        <v>7626</v>
      </c>
      <c r="H153" s="620">
        <v>7626</v>
      </c>
      <c r="I153" s="620">
        <v>-401</v>
      </c>
      <c r="J153" s="620">
        <v>-5</v>
      </c>
      <c r="K153" s="620">
        <v>7626</v>
      </c>
      <c r="L153" s="620">
        <v>-401</v>
      </c>
      <c r="M153" s="620">
        <v>-5</v>
      </c>
      <c r="N153" s="620">
        <v>7626</v>
      </c>
      <c r="O153" s="620">
        <v>7626</v>
      </c>
      <c r="P153" s="620" t="s">
        <v>995</v>
      </c>
      <c r="Q153" s="620" t="s">
        <v>996</v>
      </c>
      <c r="R153" s="620">
        <v>1</v>
      </c>
      <c r="S153" s="620">
        <v>200</v>
      </c>
      <c r="T153" s="620">
        <v>5545</v>
      </c>
      <c r="U153" s="620">
        <v>7626</v>
      </c>
      <c r="V153" s="620">
        <v>561989</v>
      </c>
      <c r="W153" s="620">
        <v>65</v>
      </c>
    </row>
    <row r="154" spans="1:23" x14ac:dyDescent="0.25">
      <c r="A154" s="620" t="s">
        <v>997</v>
      </c>
      <c r="B154" s="620" t="s">
        <v>998</v>
      </c>
      <c r="C154" s="620">
        <v>0</v>
      </c>
      <c r="D154" s="620">
        <v>0</v>
      </c>
      <c r="E154" s="620">
        <v>0</v>
      </c>
      <c r="F154" s="620">
        <v>15030</v>
      </c>
      <c r="G154" s="620">
        <v>0</v>
      </c>
      <c r="H154" s="620">
        <v>14810</v>
      </c>
      <c r="I154" s="620">
        <v>-220</v>
      </c>
      <c r="J154" s="620">
        <v>-1.46</v>
      </c>
      <c r="K154" s="620">
        <v>15030</v>
      </c>
      <c r="L154" s="620">
        <v>0</v>
      </c>
      <c r="M154" s="620">
        <v>0</v>
      </c>
      <c r="N154" s="620">
        <v>0</v>
      </c>
      <c r="O154" s="620">
        <v>0</v>
      </c>
      <c r="R154" s="620">
        <v>1</v>
      </c>
      <c r="S154" s="620">
        <v>29902</v>
      </c>
      <c r="T154" s="620">
        <v>14810</v>
      </c>
      <c r="U154" s="620">
        <v>15000</v>
      </c>
      <c r="V154" s="620">
        <v>486</v>
      </c>
      <c r="W154" s="620">
        <v>1</v>
      </c>
    </row>
    <row r="155" spans="1:23" x14ac:dyDescent="0.25">
      <c r="A155" s="620" t="s">
        <v>999</v>
      </c>
      <c r="B155" s="620" t="s">
        <v>1000</v>
      </c>
      <c r="C155" s="620">
        <v>0</v>
      </c>
      <c r="D155" s="620">
        <v>0</v>
      </c>
      <c r="E155" s="620">
        <v>0</v>
      </c>
      <c r="F155" s="620">
        <v>1000000</v>
      </c>
      <c r="G155" s="620">
        <v>0</v>
      </c>
      <c r="H155" s="620">
        <v>1000000</v>
      </c>
      <c r="I155" s="620">
        <v>0</v>
      </c>
      <c r="J155" s="620">
        <v>0</v>
      </c>
      <c r="K155" s="620">
        <v>1000000</v>
      </c>
      <c r="L155" s="620">
        <v>0</v>
      </c>
      <c r="M155" s="620">
        <v>0</v>
      </c>
      <c r="N155" s="620">
        <v>0</v>
      </c>
      <c r="O155" s="620">
        <v>0</v>
      </c>
      <c r="R155" s="620">
        <v>1</v>
      </c>
      <c r="S155" s="620">
        <v>4500</v>
      </c>
      <c r="T155" s="620">
        <v>990000</v>
      </c>
      <c r="U155" s="620">
        <v>0</v>
      </c>
      <c r="V155" s="620">
        <v>0</v>
      </c>
      <c r="W155" s="620">
        <v>0</v>
      </c>
    </row>
    <row r="156" spans="1:23" x14ac:dyDescent="0.25">
      <c r="A156" s="620" t="s">
        <v>1001</v>
      </c>
      <c r="B156" s="620" t="s">
        <v>1002</v>
      </c>
      <c r="C156" s="620">
        <v>0</v>
      </c>
      <c r="D156" s="620">
        <v>0</v>
      </c>
      <c r="E156" s="620">
        <v>0</v>
      </c>
      <c r="F156" s="620">
        <v>1000001</v>
      </c>
      <c r="G156" s="620">
        <v>0</v>
      </c>
      <c r="H156" s="620">
        <v>1000001</v>
      </c>
      <c r="I156" s="620">
        <v>0</v>
      </c>
      <c r="J156" s="620">
        <v>0</v>
      </c>
      <c r="K156" s="620">
        <v>1000001</v>
      </c>
      <c r="L156" s="620">
        <v>0</v>
      </c>
      <c r="M156" s="620">
        <v>0</v>
      </c>
      <c r="N156" s="620">
        <v>0</v>
      </c>
      <c r="O156" s="620">
        <v>0</v>
      </c>
      <c r="R156" s="620">
        <v>1</v>
      </c>
      <c r="S156" s="620">
        <v>1000</v>
      </c>
      <c r="T156" s="620">
        <v>1000000</v>
      </c>
      <c r="U156" s="620">
        <v>1010000</v>
      </c>
      <c r="V156" s="620">
        <v>989</v>
      </c>
      <c r="W156" s="620">
        <v>1</v>
      </c>
    </row>
    <row r="157" spans="1:23" x14ac:dyDescent="0.25">
      <c r="A157" s="620" t="s">
        <v>1003</v>
      </c>
      <c r="B157" s="620" t="s">
        <v>1004</v>
      </c>
      <c r="C157" s="620">
        <v>22</v>
      </c>
      <c r="D157" s="620">
        <v>610</v>
      </c>
      <c r="E157" s="620">
        <v>2416920140</v>
      </c>
      <c r="F157" s="620">
        <v>3967825</v>
      </c>
      <c r="G157" s="620">
        <v>3962000</v>
      </c>
      <c r="H157" s="620">
        <v>3960001</v>
      </c>
      <c r="I157" s="620">
        <v>-7824</v>
      </c>
      <c r="J157" s="620">
        <v>-0.2</v>
      </c>
      <c r="K157" s="620">
        <v>3962164</v>
      </c>
      <c r="L157" s="620">
        <v>-5661</v>
      </c>
      <c r="M157" s="620">
        <v>-0.14000000000000001</v>
      </c>
      <c r="N157" s="620">
        <v>3960000</v>
      </c>
      <c r="O157" s="620">
        <v>3970000</v>
      </c>
      <c r="R157" s="620">
        <v>1</v>
      </c>
      <c r="S157" s="620">
        <v>10</v>
      </c>
      <c r="T157" s="620">
        <v>3960001</v>
      </c>
      <c r="U157" s="620">
        <v>3968800</v>
      </c>
      <c r="V157" s="620">
        <v>30</v>
      </c>
      <c r="W157" s="620">
        <v>1</v>
      </c>
    </row>
    <row r="158" spans="1:23" x14ac:dyDescent="0.25">
      <c r="A158" s="620" t="s">
        <v>1005</v>
      </c>
      <c r="B158" s="620" t="s">
        <v>1006</v>
      </c>
      <c r="C158" s="620">
        <v>51</v>
      </c>
      <c r="D158" s="620">
        <v>71633</v>
      </c>
      <c r="E158" s="620">
        <v>1761956901</v>
      </c>
      <c r="F158" s="620">
        <v>25891</v>
      </c>
      <c r="G158" s="620">
        <v>24597</v>
      </c>
      <c r="H158" s="620">
        <v>24597</v>
      </c>
      <c r="I158" s="620">
        <v>-1294</v>
      </c>
      <c r="J158" s="620">
        <v>-5</v>
      </c>
      <c r="K158" s="620">
        <v>24732</v>
      </c>
      <c r="L158" s="620">
        <v>-1159</v>
      </c>
      <c r="M158" s="620">
        <v>-4.4800000000000004</v>
      </c>
      <c r="N158" s="620">
        <v>24597</v>
      </c>
      <c r="O158" s="620">
        <v>24597</v>
      </c>
      <c r="P158" s="620" t="s">
        <v>1007</v>
      </c>
      <c r="Q158" s="620" t="s">
        <v>1008</v>
      </c>
      <c r="R158" s="620">
        <v>0</v>
      </c>
      <c r="S158" s="620">
        <v>0</v>
      </c>
      <c r="T158" s="620">
        <v>0</v>
      </c>
      <c r="U158" s="620">
        <v>24597</v>
      </c>
      <c r="V158" s="620">
        <v>135985</v>
      </c>
      <c r="W158" s="620">
        <v>33</v>
      </c>
    </row>
    <row r="159" spans="1:23" x14ac:dyDescent="0.25">
      <c r="A159" s="620" t="s">
        <v>1009</v>
      </c>
      <c r="B159" s="620" t="s">
        <v>1010</v>
      </c>
      <c r="C159" s="620">
        <v>144</v>
      </c>
      <c r="D159" s="620">
        <v>1884</v>
      </c>
      <c r="E159" s="620">
        <v>715366493</v>
      </c>
      <c r="F159" s="620">
        <v>381433</v>
      </c>
      <c r="G159" s="620">
        <v>371222</v>
      </c>
      <c r="H159" s="620">
        <v>371222</v>
      </c>
      <c r="I159" s="620">
        <v>-10211</v>
      </c>
      <c r="J159" s="620">
        <v>-2.68</v>
      </c>
      <c r="K159" s="620">
        <v>379706</v>
      </c>
      <c r="L159" s="620">
        <v>-1727</v>
      </c>
      <c r="M159" s="620">
        <v>-0.45</v>
      </c>
      <c r="N159" s="620">
        <v>371222</v>
      </c>
      <c r="O159" s="620">
        <v>385000</v>
      </c>
      <c r="R159" s="620">
        <v>1</v>
      </c>
      <c r="S159" s="620">
        <v>132</v>
      </c>
      <c r="T159" s="620">
        <v>371222</v>
      </c>
      <c r="U159" s="620">
        <v>500000</v>
      </c>
      <c r="V159" s="620">
        <v>253</v>
      </c>
      <c r="W159" s="620">
        <v>1</v>
      </c>
    </row>
    <row r="160" spans="1:23" x14ac:dyDescent="0.25">
      <c r="A160" s="620" t="s">
        <v>1011</v>
      </c>
      <c r="B160" s="620" t="s">
        <v>1012</v>
      </c>
      <c r="C160" s="620">
        <v>0</v>
      </c>
      <c r="D160" s="620">
        <v>0</v>
      </c>
      <c r="E160" s="620">
        <v>0</v>
      </c>
      <c r="F160" s="620">
        <v>1</v>
      </c>
      <c r="G160" s="620">
        <v>0</v>
      </c>
      <c r="H160" s="620">
        <v>1</v>
      </c>
      <c r="I160" s="620">
        <v>0</v>
      </c>
      <c r="J160" s="620">
        <v>0</v>
      </c>
      <c r="K160" s="620">
        <v>1</v>
      </c>
      <c r="L160" s="620">
        <v>0</v>
      </c>
      <c r="M160" s="620">
        <v>0</v>
      </c>
      <c r="N160" s="620">
        <v>0</v>
      </c>
      <c r="O160" s="620">
        <v>0</v>
      </c>
      <c r="R160" s="620">
        <v>1</v>
      </c>
      <c r="S160" s="620">
        <v>100</v>
      </c>
      <c r="T160" s="620">
        <v>300</v>
      </c>
      <c r="U160" s="620">
        <v>0</v>
      </c>
      <c r="V160" s="620">
        <v>0</v>
      </c>
      <c r="W160" s="620">
        <v>0</v>
      </c>
    </row>
    <row r="161" spans="1:23" x14ac:dyDescent="0.25">
      <c r="A161" s="620" t="s">
        <v>1013</v>
      </c>
      <c r="B161" s="620" t="s">
        <v>1014</v>
      </c>
      <c r="C161" s="620">
        <v>0</v>
      </c>
      <c r="D161" s="620">
        <v>0</v>
      </c>
      <c r="E161" s="620">
        <v>0</v>
      </c>
      <c r="F161" s="620">
        <v>2423</v>
      </c>
      <c r="G161" s="620">
        <v>2399</v>
      </c>
      <c r="H161" s="620">
        <v>2422</v>
      </c>
      <c r="I161" s="620">
        <v>-1</v>
      </c>
      <c r="J161" s="620">
        <v>-0.04</v>
      </c>
      <c r="K161" s="620">
        <v>2423</v>
      </c>
      <c r="L161" s="620">
        <v>0</v>
      </c>
      <c r="M161" s="620">
        <v>0</v>
      </c>
      <c r="N161" s="620">
        <v>2399</v>
      </c>
      <c r="O161" s="620">
        <v>2399</v>
      </c>
      <c r="P161" s="620" t="s">
        <v>1015</v>
      </c>
      <c r="Q161" s="620" t="s">
        <v>1016</v>
      </c>
      <c r="R161" s="620">
        <v>0</v>
      </c>
      <c r="S161" s="620">
        <v>0</v>
      </c>
      <c r="T161" s="620">
        <v>0</v>
      </c>
      <c r="U161" s="620">
        <v>2399</v>
      </c>
      <c r="V161" s="620">
        <v>294642</v>
      </c>
      <c r="W161" s="620">
        <v>17</v>
      </c>
    </row>
    <row r="162" spans="1:23" x14ac:dyDescent="0.25">
      <c r="A162" s="620" t="s">
        <v>1017</v>
      </c>
      <c r="B162" s="620" t="s">
        <v>1018</v>
      </c>
      <c r="C162" s="620">
        <v>1</v>
      </c>
      <c r="D162" s="620">
        <v>1</v>
      </c>
      <c r="E162" s="620">
        <v>1000000</v>
      </c>
      <c r="F162" s="620">
        <v>1500</v>
      </c>
      <c r="G162" s="620">
        <v>1000</v>
      </c>
      <c r="H162" s="620">
        <v>1000</v>
      </c>
      <c r="I162" s="620">
        <v>-500</v>
      </c>
      <c r="J162" s="620">
        <v>-33.33</v>
      </c>
      <c r="K162" s="620">
        <v>1000</v>
      </c>
      <c r="L162" s="620">
        <v>-500</v>
      </c>
      <c r="M162" s="620">
        <v>-33.33</v>
      </c>
      <c r="N162" s="620">
        <v>1000</v>
      </c>
      <c r="O162" s="620">
        <v>1000</v>
      </c>
      <c r="R162" s="620">
        <v>2</v>
      </c>
      <c r="S162" s="620">
        <v>23</v>
      </c>
      <c r="T162" s="620">
        <v>506</v>
      </c>
      <c r="U162" s="620">
        <v>2999</v>
      </c>
      <c r="V162" s="620">
        <v>19</v>
      </c>
      <c r="W162" s="620">
        <v>1</v>
      </c>
    </row>
    <row r="163" spans="1:23" x14ac:dyDescent="0.25">
      <c r="A163" s="620" t="s">
        <v>1019</v>
      </c>
      <c r="B163" s="620" t="s">
        <v>1020</v>
      </c>
      <c r="C163" s="620">
        <v>69</v>
      </c>
      <c r="D163" s="620">
        <v>327529</v>
      </c>
      <c r="E163" s="620">
        <v>5300126172</v>
      </c>
      <c r="F163" s="620">
        <v>16069</v>
      </c>
      <c r="G163" s="620">
        <v>16300</v>
      </c>
      <c r="H163" s="620">
        <v>16080</v>
      </c>
      <c r="I163" s="620">
        <v>11</v>
      </c>
      <c r="J163" s="620">
        <v>7.0000000000000007E-2</v>
      </c>
      <c r="K163" s="620">
        <v>16182</v>
      </c>
      <c r="L163" s="620">
        <v>113</v>
      </c>
      <c r="M163" s="620">
        <v>0.7</v>
      </c>
      <c r="N163" s="620">
        <v>16052</v>
      </c>
      <c r="O163" s="620">
        <v>16300</v>
      </c>
      <c r="R163" s="620">
        <v>1</v>
      </c>
      <c r="S163" s="620">
        <v>621</v>
      </c>
      <c r="T163" s="620">
        <v>16076</v>
      </c>
      <c r="U163" s="620">
        <v>16300</v>
      </c>
      <c r="V163" s="620">
        <v>11749</v>
      </c>
      <c r="W163" s="620">
        <v>2</v>
      </c>
    </row>
    <row r="164" spans="1:23" x14ac:dyDescent="0.25">
      <c r="A164" s="620" t="s">
        <v>1021</v>
      </c>
      <c r="B164" s="620" t="s">
        <v>1022</v>
      </c>
      <c r="C164" s="620">
        <v>0</v>
      </c>
      <c r="D164" s="620">
        <v>0</v>
      </c>
      <c r="E164" s="620">
        <v>0</v>
      </c>
      <c r="F164" s="620">
        <v>3487</v>
      </c>
      <c r="G164" s="620">
        <v>0</v>
      </c>
      <c r="H164" s="620">
        <v>3487</v>
      </c>
      <c r="I164" s="620">
        <v>0</v>
      </c>
      <c r="J164" s="620">
        <v>0</v>
      </c>
      <c r="K164" s="620">
        <v>3487</v>
      </c>
      <c r="L164" s="620">
        <v>0</v>
      </c>
      <c r="M164" s="620">
        <v>0</v>
      </c>
      <c r="N164" s="620">
        <v>0</v>
      </c>
      <c r="O164" s="620">
        <v>0</v>
      </c>
      <c r="P164" s="620" t="s">
        <v>1023</v>
      </c>
      <c r="Q164" s="620" t="s">
        <v>1024</v>
      </c>
      <c r="R164" s="620">
        <v>2</v>
      </c>
      <c r="S164" s="620">
        <v>3900</v>
      </c>
      <c r="T164" s="620">
        <v>3591</v>
      </c>
      <c r="U164" s="620">
        <v>0</v>
      </c>
      <c r="V164" s="620">
        <v>0</v>
      </c>
      <c r="W164" s="620">
        <v>0</v>
      </c>
    </row>
    <row r="165" spans="1:23" x14ac:dyDescent="0.25">
      <c r="A165" s="620" t="s">
        <v>1025</v>
      </c>
      <c r="B165" s="620" t="s">
        <v>1026</v>
      </c>
      <c r="C165" s="620">
        <v>0</v>
      </c>
      <c r="D165" s="620">
        <v>0</v>
      </c>
      <c r="E165" s="620">
        <v>0</v>
      </c>
      <c r="F165" s="620">
        <v>1</v>
      </c>
      <c r="G165" s="620">
        <v>0</v>
      </c>
      <c r="H165" s="620">
        <v>1</v>
      </c>
      <c r="I165" s="620">
        <v>0</v>
      </c>
      <c r="J165" s="620">
        <v>0</v>
      </c>
      <c r="K165" s="620">
        <v>1</v>
      </c>
      <c r="L165" s="620">
        <v>0</v>
      </c>
      <c r="M165" s="620">
        <v>0</v>
      </c>
      <c r="N165" s="620">
        <v>0</v>
      </c>
      <c r="O165" s="620">
        <v>0</v>
      </c>
      <c r="R165" s="620">
        <v>1</v>
      </c>
      <c r="S165" s="620">
        <v>100</v>
      </c>
      <c r="T165" s="620">
        <v>70</v>
      </c>
      <c r="U165" s="620">
        <v>0</v>
      </c>
      <c r="V165" s="620">
        <v>0</v>
      </c>
      <c r="W165" s="620">
        <v>0</v>
      </c>
    </row>
    <row r="166" spans="1:23" x14ac:dyDescent="0.25">
      <c r="A166" s="620" t="s">
        <v>1027</v>
      </c>
      <c r="B166" s="620" t="s">
        <v>1028</v>
      </c>
      <c r="C166" s="620">
        <v>74</v>
      </c>
      <c r="D166" s="620">
        <v>1021</v>
      </c>
      <c r="E166" s="620">
        <v>368290851</v>
      </c>
      <c r="F166" s="620">
        <v>375991</v>
      </c>
      <c r="G166" s="620">
        <v>363738</v>
      </c>
      <c r="H166" s="620">
        <v>357192</v>
      </c>
      <c r="I166" s="620">
        <v>-18799</v>
      </c>
      <c r="J166" s="620">
        <v>-5</v>
      </c>
      <c r="K166" s="620">
        <v>360716</v>
      </c>
      <c r="L166" s="620">
        <v>-15275</v>
      </c>
      <c r="M166" s="620">
        <v>-4.0599999999999996</v>
      </c>
      <c r="N166" s="620">
        <v>357192</v>
      </c>
      <c r="O166" s="620">
        <v>370000</v>
      </c>
      <c r="R166" s="620">
        <v>0</v>
      </c>
      <c r="S166" s="620">
        <v>0</v>
      </c>
      <c r="T166" s="620">
        <v>0</v>
      </c>
      <c r="U166" s="620">
        <v>364421</v>
      </c>
      <c r="V166" s="620">
        <v>39</v>
      </c>
      <c r="W166" s="620">
        <v>1</v>
      </c>
    </row>
    <row r="167" spans="1:23" x14ac:dyDescent="0.25">
      <c r="A167" s="620" t="s">
        <v>1029</v>
      </c>
      <c r="B167" s="620" t="s">
        <v>1030</v>
      </c>
      <c r="C167" s="620">
        <v>0</v>
      </c>
      <c r="D167" s="620">
        <v>0</v>
      </c>
      <c r="E167" s="620">
        <v>0</v>
      </c>
      <c r="F167" s="620">
        <v>12042</v>
      </c>
      <c r="G167" s="620">
        <v>0</v>
      </c>
      <c r="H167" s="620">
        <v>12042</v>
      </c>
      <c r="I167" s="620">
        <v>0</v>
      </c>
      <c r="J167" s="620">
        <v>0</v>
      </c>
      <c r="K167" s="620">
        <v>12042</v>
      </c>
      <c r="L167" s="620">
        <v>0</v>
      </c>
      <c r="M167" s="620">
        <v>0</v>
      </c>
      <c r="N167" s="620">
        <v>0</v>
      </c>
      <c r="O167" s="620">
        <v>0</v>
      </c>
      <c r="P167" s="620" t="s">
        <v>1031</v>
      </c>
      <c r="Q167" s="620" t="s">
        <v>1032</v>
      </c>
      <c r="R167" s="620">
        <v>0</v>
      </c>
      <c r="S167" s="620">
        <v>0</v>
      </c>
      <c r="T167" s="620">
        <v>0</v>
      </c>
      <c r="U167" s="620">
        <v>12946</v>
      </c>
      <c r="V167" s="620">
        <v>7685</v>
      </c>
      <c r="W167" s="620">
        <v>1</v>
      </c>
    </row>
    <row r="168" spans="1:23" x14ac:dyDescent="0.25">
      <c r="A168" s="620" t="s">
        <v>1033</v>
      </c>
      <c r="B168" s="620" t="s">
        <v>1034</v>
      </c>
      <c r="C168" s="620">
        <v>2</v>
      </c>
      <c r="D168" s="620">
        <v>30000</v>
      </c>
      <c r="E168" s="620">
        <v>29850000000</v>
      </c>
      <c r="F168" s="620">
        <v>1000000</v>
      </c>
      <c r="G168" s="620">
        <v>995000</v>
      </c>
      <c r="H168" s="620">
        <v>995000</v>
      </c>
      <c r="I168" s="620">
        <v>-5000</v>
      </c>
      <c r="J168" s="620">
        <v>-0.5</v>
      </c>
      <c r="K168" s="620">
        <v>995000</v>
      </c>
      <c r="L168" s="620">
        <v>-5000</v>
      </c>
      <c r="M168" s="620">
        <v>-0.5</v>
      </c>
      <c r="N168" s="620">
        <v>995000</v>
      </c>
      <c r="O168" s="620">
        <v>995000</v>
      </c>
      <c r="R168" s="620">
        <v>2</v>
      </c>
      <c r="S168" s="620">
        <v>300</v>
      </c>
      <c r="T168" s="620">
        <v>979000</v>
      </c>
      <c r="U168" s="620">
        <v>0</v>
      </c>
      <c r="V168" s="620">
        <v>0</v>
      </c>
      <c r="W168" s="620">
        <v>0</v>
      </c>
    </row>
    <row r="169" spans="1:23" x14ac:dyDescent="0.25">
      <c r="A169" s="620" t="s">
        <v>1035</v>
      </c>
      <c r="B169" s="620" t="s">
        <v>1036</v>
      </c>
      <c r="C169" s="620">
        <v>340</v>
      </c>
      <c r="D169" s="620">
        <v>4515592</v>
      </c>
      <c r="E169" s="620">
        <v>9071956144</v>
      </c>
      <c r="F169" s="620">
        <v>2011</v>
      </c>
      <c r="G169" s="620">
        <v>1922</v>
      </c>
      <c r="H169" s="620">
        <v>2020</v>
      </c>
      <c r="I169" s="620">
        <v>9</v>
      </c>
      <c r="J169" s="620">
        <v>0.45</v>
      </c>
      <c r="K169" s="620">
        <v>2009</v>
      </c>
      <c r="L169" s="620">
        <v>-2</v>
      </c>
      <c r="M169" s="620">
        <v>-0.1</v>
      </c>
      <c r="N169" s="620">
        <v>1922</v>
      </c>
      <c r="O169" s="620">
        <v>2061</v>
      </c>
      <c r="P169" s="620" t="s">
        <v>1037</v>
      </c>
      <c r="Q169" s="620" t="s">
        <v>1038</v>
      </c>
      <c r="R169" s="620">
        <v>1</v>
      </c>
      <c r="S169" s="620">
        <v>2500</v>
      </c>
      <c r="T169" s="620">
        <v>1979</v>
      </c>
      <c r="U169" s="620">
        <v>2020</v>
      </c>
      <c r="V169" s="620">
        <v>10277</v>
      </c>
      <c r="W169" s="620">
        <v>1</v>
      </c>
    </row>
    <row r="170" spans="1:23" x14ac:dyDescent="0.25">
      <c r="A170" s="620" t="s">
        <v>1039</v>
      </c>
      <c r="B170" s="620" t="s">
        <v>1040</v>
      </c>
      <c r="C170" s="620">
        <v>103</v>
      </c>
      <c r="D170" s="620">
        <v>1490</v>
      </c>
      <c r="E170" s="620">
        <v>562143105</v>
      </c>
      <c r="F170" s="620">
        <v>376990</v>
      </c>
      <c r="G170" s="620">
        <v>371001</v>
      </c>
      <c r="H170" s="620">
        <v>386000</v>
      </c>
      <c r="I170" s="620">
        <v>9010</v>
      </c>
      <c r="J170" s="620">
        <v>2.39</v>
      </c>
      <c r="K170" s="620">
        <v>377277</v>
      </c>
      <c r="L170" s="620">
        <v>287</v>
      </c>
      <c r="M170" s="620">
        <v>0.08</v>
      </c>
      <c r="N170" s="620">
        <v>364555</v>
      </c>
      <c r="O170" s="620">
        <v>386000</v>
      </c>
      <c r="R170" s="620">
        <v>1</v>
      </c>
      <c r="S170" s="620">
        <v>80</v>
      </c>
      <c r="T170" s="620">
        <v>372000</v>
      </c>
      <c r="U170" s="620">
        <v>514500</v>
      </c>
      <c r="V170" s="620">
        <v>111</v>
      </c>
      <c r="W170" s="620">
        <v>1</v>
      </c>
    </row>
    <row r="171" spans="1:23" x14ac:dyDescent="0.25">
      <c r="A171" s="620" t="s">
        <v>1041</v>
      </c>
      <c r="B171" s="620" t="s">
        <v>1042</v>
      </c>
      <c r="C171" s="620">
        <v>253</v>
      </c>
      <c r="D171" s="620">
        <v>2465057</v>
      </c>
      <c r="E171" s="620">
        <v>7178464901</v>
      </c>
      <c r="F171" s="620">
        <v>3062</v>
      </c>
      <c r="G171" s="620">
        <v>2930</v>
      </c>
      <c r="H171" s="620">
        <v>2924</v>
      </c>
      <c r="I171" s="620">
        <v>-138</v>
      </c>
      <c r="J171" s="620">
        <v>-4.51</v>
      </c>
      <c r="K171" s="620">
        <v>2912</v>
      </c>
      <c r="L171" s="620">
        <v>-150</v>
      </c>
      <c r="M171" s="620">
        <v>-4.9000000000000004</v>
      </c>
      <c r="N171" s="620">
        <v>2909</v>
      </c>
      <c r="O171" s="620">
        <v>3070</v>
      </c>
      <c r="P171" s="620" t="s">
        <v>656</v>
      </c>
      <c r="Q171" s="620" t="s">
        <v>1043</v>
      </c>
      <c r="R171" s="620">
        <v>2</v>
      </c>
      <c r="S171" s="620">
        <v>32013</v>
      </c>
      <c r="T171" s="620">
        <v>2909</v>
      </c>
      <c r="U171" s="620">
        <v>2998</v>
      </c>
      <c r="V171" s="620">
        <v>9782</v>
      </c>
      <c r="W171" s="620">
        <v>2</v>
      </c>
    </row>
    <row r="172" spans="1:23" x14ac:dyDescent="0.25">
      <c r="A172" s="620" t="s">
        <v>1044</v>
      </c>
      <c r="B172" s="620" t="s">
        <v>1045</v>
      </c>
      <c r="C172" s="620">
        <v>49</v>
      </c>
      <c r="D172" s="620">
        <v>28736</v>
      </c>
      <c r="E172" s="620">
        <v>1298566040</v>
      </c>
      <c r="F172" s="620">
        <v>45566</v>
      </c>
      <c r="G172" s="620">
        <v>45665</v>
      </c>
      <c r="H172" s="620">
        <v>45500</v>
      </c>
      <c r="I172" s="620">
        <v>-66</v>
      </c>
      <c r="J172" s="620">
        <v>-0.14000000000000001</v>
      </c>
      <c r="K172" s="620">
        <v>45190</v>
      </c>
      <c r="L172" s="620">
        <v>-376</v>
      </c>
      <c r="M172" s="620">
        <v>-0.83</v>
      </c>
      <c r="N172" s="620">
        <v>45000</v>
      </c>
      <c r="O172" s="620">
        <v>45665</v>
      </c>
      <c r="R172" s="620">
        <v>2</v>
      </c>
      <c r="S172" s="620">
        <v>910</v>
      </c>
      <c r="T172" s="620">
        <v>45000</v>
      </c>
      <c r="U172" s="620">
        <v>45500</v>
      </c>
      <c r="V172" s="620">
        <v>473</v>
      </c>
      <c r="W172" s="620">
        <v>1</v>
      </c>
    </row>
    <row r="173" spans="1:23" x14ac:dyDescent="0.25">
      <c r="A173" s="620" t="s">
        <v>1046</v>
      </c>
      <c r="B173" s="620" t="s">
        <v>1047</v>
      </c>
      <c r="C173" s="620">
        <v>563</v>
      </c>
      <c r="D173" s="620">
        <v>1074200</v>
      </c>
      <c r="E173" s="620">
        <v>16994473869</v>
      </c>
      <c r="F173" s="620">
        <v>16601</v>
      </c>
      <c r="G173" s="620">
        <v>15771</v>
      </c>
      <c r="H173" s="620">
        <v>15771</v>
      </c>
      <c r="I173" s="620">
        <v>-830</v>
      </c>
      <c r="J173" s="620">
        <v>-5</v>
      </c>
      <c r="K173" s="620">
        <v>15821</v>
      </c>
      <c r="L173" s="620">
        <v>-780</v>
      </c>
      <c r="M173" s="620">
        <v>-4.7</v>
      </c>
      <c r="N173" s="620">
        <v>15771</v>
      </c>
      <c r="O173" s="620">
        <v>16999</v>
      </c>
      <c r="P173" s="620" t="s">
        <v>1048</v>
      </c>
      <c r="Q173" s="620" t="s">
        <v>1049</v>
      </c>
      <c r="R173" s="620">
        <v>0</v>
      </c>
      <c r="S173" s="620">
        <v>0</v>
      </c>
      <c r="T173" s="620">
        <v>0</v>
      </c>
      <c r="U173" s="620">
        <v>15771</v>
      </c>
      <c r="V173" s="620">
        <v>44664</v>
      </c>
      <c r="W173" s="620">
        <v>9</v>
      </c>
    </row>
    <row r="174" spans="1:23" x14ac:dyDescent="0.25">
      <c r="A174" s="620" t="s">
        <v>1050</v>
      </c>
      <c r="B174" s="620" t="s">
        <v>1051</v>
      </c>
      <c r="C174" s="620">
        <v>125</v>
      </c>
      <c r="D174" s="620">
        <v>598821</v>
      </c>
      <c r="E174" s="620">
        <v>1239464853</v>
      </c>
      <c r="F174" s="620">
        <v>2127</v>
      </c>
      <c r="G174" s="620">
        <v>2064</v>
      </c>
      <c r="H174" s="620">
        <v>2064</v>
      </c>
      <c r="I174" s="620">
        <v>-63</v>
      </c>
      <c r="J174" s="620">
        <v>-2.96</v>
      </c>
      <c r="K174" s="620">
        <v>2070</v>
      </c>
      <c r="L174" s="620">
        <v>-57</v>
      </c>
      <c r="M174" s="620">
        <v>-2.68</v>
      </c>
      <c r="N174" s="620">
        <v>2064</v>
      </c>
      <c r="O174" s="620">
        <v>2135</v>
      </c>
      <c r="P174" s="620" t="s">
        <v>682</v>
      </c>
      <c r="Q174" s="620" t="s">
        <v>1052</v>
      </c>
      <c r="R174" s="620">
        <v>0</v>
      </c>
      <c r="S174" s="620">
        <v>0</v>
      </c>
      <c r="T174" s="620">
        <v>0</v>
      </c>
      <c r="U174" s="620">
        <v>2064</v>
      </c>
      <c r="V174" s="620">
        <v>63158</v>
      </c>
      <c r="W174" s="620">
        <v>5</v>
      </c>
    </row>
    <row r="175" spans="1:23" x14ac:dyDescent="0.25">
      <c r="A175" s="620" t="s">
        <v>1053</v>
      </c>
      <c r="B175" s="620" t="s">
        <v>1054</v>
      </c>
      <c r="C175" s="620">
        <v>0</v>
      </c>
      <c r="D175" s="620">
        <v>0</v>
      </c>
      <c r="E175" s="620">
        <v>0</v>
      </c>
      <c r="F175" s="620">
        <v>1</v>
      </c>
      <c r="G175" s="620">
        <v>0</v>
      </c>
      <c r="H175" s="620">
        <v>1</v>
      </c>
      <c r="I175" s="620">
        <v>0</v>
      </c>
      <c r="J175" s="620">
        <v>0</v>
      </c>
      <c r="K175" s="620">
        <v>1</v>
      </c>
      <c r="L175" s="620">
        <v>0</v>
      </c>
      <c r="M175" s="620">
        <v>0</v>
      </c>
      <c r="N175" s="620">
        <v>0</v>
      </c>
      <c r="O175" s="620">
        <v>0</v>
      </c>
      <c r="R175" s="620">
        <v>1</v>
      </c>
      <c r="S175" s="620">
        <v>100</v>
      </c>
      <c r="T175" s="620">
        <v>251</v>
      </c>
      <c r="U175" s="620">
        <v>0</v>
      </c>
      <c r="V175" s="620">
        <v>0</v>
      </c>
      <c r="W175" s="620">
        <v>0</v>
      </c>
    </row>
    <row r="176" spans="1:23" x14ac:dyDescent="0.25">
      <c r="A176" s="620" t="s">
        <v>1055</v>
      </c>
      <c r="B176" s="620" t="s">
        <v>1056</v>
      </c>
      <c r="C176" s="620">
        <v>710</v>
      </c>
      <c r="D176" s="620">
        <v>1671873</v>
      </c>
      <c r="E176" s="620">
        <v>20175383800</v>
      </c>
      <c r="F176" s="620">
        <v>12187</v>
      </c>
      <c r="G176" s="620">
        <v>11739</v>
      </c>
      <c r="H176" s="620">
        <v>11922</v>
      </c>
      <c r="I176" s="620">
        <v>-265</v>
      </c>
      <c r="J176" s="620">
        <v>-2.17</v>
      </c>
      <c r="K176" s="620">
        <v>12068</v>
      </c>
      <c r="L176" s="620">
        <v>-119</v>
      </c>
      <c r="M176" s="620">
        <v>-0.98</v>
      </c>
      <c r="N176" s="620">
        <v>11578</v>
      </c>
      <c r="O176" s="620">
        <v>12365</v>
      </c>
      <c r="P176" s="620" t="s">
        <v>1057</v>
      </c>
      <c r="Q176" s="620" t="s">
        <v>1058</v>
      </c>
      <c r="R176" s="620">
        <v>1</v>
      </c>
      <c r="S176" s="620">
        <v>800</v>
      </c>
      <c r="T176" s="620">
        <v>11941</v>
      </c>
      <c r="U176" s="620">
        <v>12294</v>
      </c>
      <c r="V176" s="620">
        <v>1200</v>
      </c>
      <c r="W176" s="620">
        <v>1</v>
      </c>
    </row>
    <row r="177" spans="1:23" x14ac:dyDescent="0.25">
      <c r="A177" s="620" t="s">
        <v>1059</v>
      </c>
      <c r="B177" s="620" t="s">
        <v>1060</v>
      </c>
      <c r="C177" s="620">
        <v>1611</v>
      </c>
      <c r="D177" s="620">
        <v>7284448</v>
      </c>
      <c r="E177" s="620">
        <v>42792263717</v>
      </c>
      <c r="F177" s="620">
        <v>6174</v>
      </c>
      <c r="G177" s="620">
        <v>5866</v>
      </c>
      <c r="H177" s="620">
        <v>5866</v>
      </c>
      <c r="I177" s="620">
        <v>-308</v>
      </c>
      <c r="J177" s="620">
        <v>-4.99</v>
      </c>
      <c r="K177" s="620">
        <v>5874</v>
      </c>
      <c r="L177" s="620">
        <v>-300</v>
      </c>
      <c r="M177" s="620">
        <v>-4.8600000000000003</v>
      </c>
      <c r="N177" s="620">
        <v>5866</v>
      </c>
      <c r="O177" s="620">
        <v>6088</v>
      </c>
      <c r="P177" s="620" t="s">
        <v>1061</v>
      </c>
      <c r="Q177" s="620" t="s">
        <v>1062</v>
      </c>
      <c r="R177" s="620">
        <v>1</v>
      </c>
      <c r="S177" s="620">
        <v>2001</v>
      </c>
      <c r="T177" s="620">
        <v>5510</v>
      </c>
      <c r="U177" s="620">
        <v>5866</v>
      </c>
      <c r="V177" s="620">
        <v>1157205</v>
      </c>
      <c r="W177" s="620">
        <v>90</v>
      </c>
    </row>
    <row r="178" spans="1:23" x14ac:dyDescent="0.25">
      <c r="A178" s="620" t="s">
        <v>1063</v>
      </c>
      <c r="B178" s="620" t="s">
        <v>1064</v>
      </c>
      <c r="C178" s="620">
        <v>8</v>
      </c>
      <c r="D178" s="620">
        <v>750</v>
      </c>
      <c r="E178" s="620">
        <v>104350000</v>
      </c>
      <c r="F178" s="620">
        <v>148</v>
      </c>
      <c r="G178" s="620">
        <v>140</v>
      </c>
      <c r="H178" s="620">
        <v>135</v>
      </c>
      <c r="I178" s="620">
        <v>-13</v>
      </c>
      <c r="J178" s="620">
        <v>-8.7799999999999994</v>
      </c>
      <c r="K178" s="620">
        <v>139</v>
      </c>
      <c r="L178" s="620">
        <v>-9</v>
      </c>
      <c r="M178" s="620">
        <v>-6.08</v>
      </c>
      <c r="N178" s="620">
        <v>135</v>
      </c>
      <c r="O178" s="620">
        <v>140</v>
      </c>
      <c r="R178" s="620">
        <v>1</v>
      </c>
      <c r="S178" s="620">
        <v>100</v>
      </c>
      <c r="T178" s="620">
        <v>136</v>
      </c>
      <c r="U178" s="620">
        <v>150</v>
      </c>
      <c r="V178" s="620">
        <v>100</v>
      </c>
      <c r="W178" s="620">
        <v>1</v>
      </c>
    </row>
    <row r="179" spans="1:23" x14ac:dyDescent="0.25">
      <c r="A179" s="620" t="s">
        <v>1065</v>
      </c>
      <c r="B179" s="620" t="s">
        <v>1066</v>
      </c>
      <c r="C179" s="620">
        <v>0</v>
      </c>
      <c r="D179" s="620">
        <v>0</v>
      </c>
      <c r="E179" s="620">
        <v>0</v>
      </c>
      <c r="F179" s="620">
        <v>1090</v>
      </c>
      <c r="G179" s="620">
        <v>0</v>
      </c>
      <c r="H179" s="620">
        <v>1030</v>
      </c>
      <c r="I179" s="620">
        <v>-60</v>
      </c>
      <c r="J179" s="620">
        <v>-5.5</v>
      </c>
      <c r="K179" s="620">
        <v>1090</v>
      </c>
      <c r="L179" s="620">
        <v>0</v>
      </c>
      <c r="M179" s="620">
        <v>0</v>
      </c>
      <c r="N179" s="620">
        <v>0</v>
      </c>
      <c r="O179" s="620">
        <v>0</v>
      </c>
      <c r="R179" s="620">
        <v>1</v>
      </c>
      <c r="S179" s="620">
        <v>1</v>
      </c>
      <c r="T179" s="620">
        <v>640</v>
      </c>
      <c r="U179" s="620">
        <v>1097</v>
      </c>
      <c r="V179" s="620">
        <v>2</v>
      </c>
      <c r="W179" s="620">
        <v>1</v>
      </c>
    </row>
    <row r="180" spans="1:23" x14ac:dyDescent="0.25">
      <c r="A180" s="620" t="s">
        <v>1067</v>
      </c>
      <c r="B180" s="620" t="s">
        <v>1068</v>
      </c>
      <c r="C180" s="620">
        <v>4</v>
      </c>
      <c r="D180" s="620">
        <v>3238</v>
      </c>
      <c r="E180" s="620">
        <v>2835880000</v>
      </c>
      <c r="F180" s="620">
        <v>910555</v>
      </c>
      <c r="G180" s="620">
        <v>947000</v>
      </c>
      <c r="H180" s="620">
        <v>960000</v>
      </c>
      <c r="I180" s="620">
        <v>49445</v>
      </c>
      <c r="J180" s="620">
        <v>5.43</v>
      </c>
      <c r="K180" s="620">
        <v>875812</v>
      </c>
      <c r="L180" s="620">
        <v>-34743</v>
      </c>
      <c r="M180" s="620">
        <v>-3.82</v>
      </c>
      <c r="N180" s="620">
        <v>870000</v>
      </c>
      <c r="O180" s="620">
        <v>960000</v>
      </c>
      <c r="R180" s="620">
        <v>1</v>
      </c>
      <c r="S180" s="620">
        <v>300</v>
      </c>
      <c r="T180" s="620">
        <v>910044</v>
      </c>
      <c r="U180" s="620">
        <v>960000</v>
      </c>
      <c r="V180" s="620">
        <v>127</v>
      </c>
      <c r="W180" s="620">
        <v>1</v>
      </c>
    </row>
    <row r="181" spans="1:23" x14ac:dyDescent="0.25">
      <c r="A181" s="620" t="s">
        <v>1069</v>
      </c>
      <c r="B181" s="620" t="s">
        <v>1070</v>
      </c>
      <c r="C181" s="620">
        <v>227</v>
      </c>
      <c r="D181" s="620">
        <v>755802</v>
      </c>
      <c r="E181" s="620">
        <v>4327045537</v>
      </c>
      <c r="F181" s="620">
        <v>5702</v>
      </c>
      <c r="G181" s="620">
        <v>5460</v>
      </c>
      <c r="H181" s="620">
        <v>5604</v>
      </c>
      <c r="I181" s="620">
        <v>-98</v>
      </c>
      <c r="J181" s="620">
        <v>-1.72</v>
      </c>
      <c r="K181" s="620">
        <v>5725</v>
      </c>
      <c r="L181" s="620">
        <v>23</v>
      </c>
      <c r="M181" s="620">
        <v>0.4</v>
      </c>
      <c r="N181" s="620">
        <v>5460</v>
      </c>
      <c r="O181" s="620">
        <v>5869</v>
      </c>
      <c r="P181" s="620" t="s">
        <v>1071</v>
      </c>
      <c r="Q181" s="620" t="s">
        <v>1072</v>
      </c>
      <c r="R181" s="620">
        <v>2</v>
      </c>
      <c r="S181" s="620">
        <v>7073</v>
      </c>
      <c r="T181" s="620">
        <v>5610</v>
      </c>
      <c r="U181" s="620">
        <v>5750</v>
      </c>
      <c r="V181" s="620">
        <v>1600</v>
      </c>
      <c r="W181" s="620">
        <v>1</v>
      </c>
    </row>
    <row r="182" spans="1:23" x14ac:dyDescent="0.25">
      <c r="A182" s="620" t="s">
        <v>1073</v>
      </c>
      <c r="B182" s="620" t="s">
        <v>1074</v>
      </c>
      <c r="C182" s="620">
        <v>0</v>
      </c>
      <c r="D182" s="620">
        <v>0</v>
      </c>
      <c r="E182" s="620">
        <v>0</v>
      </c>
      <c r="F182" s="620">
        <v>1</v>
      </c>
      <c r="G182" s="620">
        <v>0</v>
      </c>
      <c r="H182" s="620">
        <v>1</v>
      </c>
      <c r="I182" s="620">
        <v>0</v>
      </c>
      <c r="J182" s="620">
        <v>0</v>
      </c>
      <c r="K182" s="620">
        <v>1</v>
      </c>
      <c r="L182" s="620">
        <v>0</v>
      </c>
      <c r="M182" s="620">
        <v>0</v>
      </c>
      <c r="N182" s="620">
        <v>0</v>
      </c>
      <c r="O182" s="620">
        <v>0</v>
      </c>
      <c r="R182" s="620">
        <v>1</v>
      </c>
      <c r="S182" s="620">
        <v>100</v>
      </c>
      <c r="T182" s="620">
        <v>90</v>
      </c>
      <c r="U182" s="620">
        <v>0</v>
      </c>
      <c r="V182" s="620">
        <v>0</v>
      </c>
      <c r="W182" s="620">
        <v>0</v>
      </c>
    </row>
    <row r="183" spans="1:23" x14ac:dyDescent="0.25">
      <c r="A183" s="620" t="s">
        <v>1075</v>
      </c>
      <c r="B183" s="620" t="s">
        <v>1076</v>
      </c>
      <c r="C183" s="620">
        <v>399</v>
      </c>
      <c r="D183" s="620">
        <v>2989478</v>
      </c>
      <c r="E183" s="620">
        <v>6794682551</v>
      </c>
      <c r="F183" s="620">
        <v>2328</v>
      </c>
      <c r="G183" s="620">
        <v>2270</v>
      </c>
      <c r="H183" s="620">
        <v>2259</v>
      </c>
      <c r="I183" s="620">
        <v>-69</v>
      </c>
      <c r="J183" s="620">
        <v>-2.96</v>
      </c>
      <c r="K183" s="620">
        <v>2273</v>
      </c>
      <c r="L183" s="620">
        <v>-55</v>
      </c>
      <c r="M183" s="620">
        <v>-2.36</v>
      </c>
      <c r="N183" s="620">
        <v>2259</v>
      </c>
      <c r="O183" s="620">
        <v>2350</v>
      </c>
      <c r="P183" s="620" t="s">
        <v>1077</v>
      </c>
      <c r="Q183" s="620" t="s">
        <v>1078</v>
      </c>
      <c r="R183" s="620">
        <v>0</v>
      </c>
      <c r="S183" s="620">
        <v>0</v>
      </c>
      <c r="T183" s="620">
        <v>0</v>
      </c>
      <c r="U183" s="620">
        <v>2259</v>
      </c>
      <c r="V183" s="620">
        <v>524138</v>
      </c>
      <c r="W183" s="620">
        <v>14</v>
      </c>
    </row>
    <row r="184" spans="1:23" x14ac:dyDescent="0.25">
      <c r="A184" s="620" t="s">
        <v>1079</v>
      </c>
      <c r="B184" s="620" t="s">
        <v>1080</v>
      </c>
      <c r="C184" s="620">
        <v>118</v>
      </c>
      <c r="D184" s="620">
        <v>450923</v>
      </c>
      <c r="E184" s="620">
        <v>5220786494</v>
      </c>
      <c r="F184" s="620">
        <v>12187</v>
      </c>
      <c r="G184" s="620">
        <v>11578</v>
      </c>
      <c r="H184" s="620">
        <v>11578</v>
      </c>
      <c r="I184" s="620">
        <v>-609</v>
      </c>
      <c r="J184" s="620">
        <v>-5</v>
      </c>
      <c r="K184" s="620">
        <v>11578</v>
      </c>
      <c r="L184" s="620">
        <v>-609</v>
      </c>
      <c r="M184" s="620">
        <v>-5</v>
      </c>
      <c r="N184" s="620">
        <v>11578</v>
      </c>
      <c r="O184" s="620">
        <v>11578</v>
      </c>
      <c r="P184" s="620" t="s">
        <v>1081</v>
      </c>
      <c r="Q184" s="620" t="s">
        <v>1082</v>
      </c>
      <c r="R184" s="620">
        <v>0</v>
      </c>
      <c r="S184" s="620">
        <v>0</v>
      </c>
      <c r="T184" s="620">
        <v>0</v>
      </c>
      <c r="U184" s="620">
        <v>11578</v>
      </c>
      <c r="V184" s="620">
        <v>802309</v>
      </c>
      <c r="W184" s="620">
        <v>106</v>
      </c>
    </row>
    <row r="185" spans="1:23" x14ac:dyDescent="0.25">
      <c r="A185" s="620" t="s">
        <v>1083</v>
      </c>
      <c r="B185" s="620" t="s">
        <v>1084</v>
      </c>
      <c r="C185" s="620">
        <v>11781</v>
      </c>
      <c r="D185" s="620">
        <v>69736796</v>
      </c>
      <c r="E185" s="620">
        <v>579882471255</v>
      </c>
      <c r="F185" s="620">
        <v>7993</v>
      </c>
      <c r="G185" s="620">
        <v>8095</v>
      </c>
      <c r="H185" s="620">
        <v>8392</v>
      </c>
      <c r="I185" s="620">
        <v>399</v>
      </c>
      <c r="J185" s="620">
        <v>4.99</v>
      </c>
      <c r="K185" s="620">
        <v>8315</v>
      </c>
      <c r="L185" s="620">
        <v>322</v>
      </c>
      <c r="M185" s="620">
        <v>4.03</v>
      </c>
      <c r="N185" s="620">
        <v>7950</v>
      </c>
      <c r="O185" s="620">
        <v>8392</v>
      </c>
      <c r="P185" s="620" t="s">
        <v>1085</v>
      </c>
      <c r="Q185" s="620" t="s">
        <v>1086</v>
      </c>
      <c r="R185" s="620">
        <v>57</v>
      </c>
      <c r="S185" s="620">
        <v>302820</v>
      </c>
      <c r="T185" s="620">
        <v>8392</v>
      </c>
      <c r="U185" s="620">
        <v>8392</v>
      </c>
      <c r="V185" s="620">
        <v>2930</v>
      </c>
      <c r="W185" s="620">
        <v>1</v>
      </c>
    </row>
    <row r="186" spans="1:23" x14ac:dyDescent="0.25">
      <c r="A186" s="620" t="s">
        <v>1087</v>
      </c>
      <c r="B186" s="620" t="s">
        <v>1088</v>
      </c>
      <c r="C186" s="620">
        <v>92</v>
      </c>
      <c r="D186" s="620">
        <v>152432</v>
      </c>
      <c r="E186" s="620">
        <v>2229013136</v>
      </c>
      <c r="F186" s="620">
        <v>15392</v>
      </c>
      <c r="G186" s="620">
        <v>14623</v>
      </c>
      <c r="H186" s="620">
        <v>14623</v>
      </c>
      <c r="I186" s="620">
        <v>-769</v>
      </c>
      <c r="J186" s="620">
        <v>-5</v>
      </c>
      <c r="K186" s="620">
        <v>15001</v>
      </c>
      <c r="L186" s="620">
        <v>-391</v>
      </c>
      <c r="M186" s="620">
        <v>-2.54</v>
      </c>
      <c r="N186" s="620">
        <v>14623</v>
      </c>
      <c r="O186" s="620">
        <v>14623</v>
      </c>
      <c r="P186" s="620" t="s">
        <v>1089</v>
      </c>
      <c r="Q186" s="620" t="s">
        <v>1090</v>
      </c>
      <c r="R186" s="620">
        <v>1</v>
      </c>
      <c r="S186" s="620">
        <v>150</v>
      </c>
      <c r="T186" s="620">
        <v>8752</v>
      </c>
      <c r="U186" s="620">
        <v>14623</v>
      </c>
      <c r="V186" s="620">
        <v>554863</v>
      </c>
      <c r="W186" s="620">
        <v>168</v>
      </c>
    </row>
    <row r="187" spans="1:23" x14ac:dyDescent="0.25">
      <c r="A187" s="620" t="s">
        <v>1091</v>
      </c>
      <c r="B187" s="620" t="s">
        <v>1092</v>
      </c>
      <c r="C187" s="620">
        <v>4</v>
      </c>
      <c r="D187" s="620">
        <v>100115</v>
      </c>
      <c r="E187" s="620">
        <v>2132449500</v>
      </c>
      <c r="F187" s="620">
        <v>21167</v>
      </c>
      <c r="G187" s="620">
        <v>21300</v>
      </c>
      <c r="H187" s="620">
        <v>21300</v>
      </c>
      <c r="I187" s="620">
        <v>133</v>
      </c>
      <c r="J187" s="620">
        <v>0.63</v>
      </c>
      <c r="K187" s="620">
        <v>21300</v>
      </c>
      <c r="L187" s="620">
        <v>133</v>
      </c>
      <c r="M187" s="620">
        <v>0.63</v>
      </c>
      <c r="N187" s="620">
        <v>21300</v>
      </c>
      <c r="O187" s="620">
        <v>21300</v>
      </c>
      <c r="R187" s="620">
        <v>1</v>
      </c>
      <c r="S187" s="620">
        <v>93</v>
      </c>
      <c r="T187" s="620">
        <v>21002</v>
      </c>
      <c r="U187" s="620">
        <v>21299</v>
      </c>
      <c r="V187" s="620">
        <v>505</v>
      </c>
      <c r="W187" s="620">
        <v>1</v>
      </c>
    </row>
    <row r="188" spans="1:23" x14ac:dyDescent="0.25">
      <c r="A188" s="620" t="s">
        <v>1093</v>
      </c>
      <c r="B188" s="620" t="s">
        <v>1094</v>
      </c>
      <c r="C188" s="620">
        <v>0</v>
      </c>
      <c r="D188" s="620">
        <v>0</v>
      </c>
      <c r="E188" s="620">
        <v>0</v>
      </c>
      <c r="F188" s="620">
        <v>1</v>
      </c>
      <c r="G188" s="620">
        <v>0</v>
      </c>
      <c r="H188" s="620">
        <v>1</v>
      </c>
      <c r="I188" s="620">
        <v>0</v>
      </c>
      <c r="J188" s="620">
        <v>0</v>
      </c>
      <c r="K188" s="620">
        <v>1</v>
      </c>
      <c r="L188" s="620">
        <v>0</v>
      </c>
      <c r="M188" s="620">
        <v>0</v>
      </c>
      <c r="N188" s="620">
        <v>0</v>
      </c>
      <c r="O188" s="620">
        <v>0</v>
      </c>
      <c r="R188" s="620">
        <v>1</v>
      </c>
      <c r="S188" s="620">
        <v>5</v>
      </c>
      <c r="T188" s="620">
        <v>50</v>
      </c>
      <c r="U188" s="620">
        <v>0</v>
      </c>
      <c r="V188" s="620">
        <v>0</v>
      </c>
      <c r="W188" s="620">
        <v>0</v>
      </c>
    </row>
    <row r="189" spans="1:23" x14ac:dyDescent="0.25">
      <c r="A189" s="620" t="s">
        <v>1095</v>
      </c>
      <c r="B189" s="620" t="s">
        <v>1096</v>
      </c>
      <c r="C189" s="620">
        <v>386</v>
      </c>
      <c r="D189" s="620">
        <v>1047587</v>
      </c>
      <c r="E189" s="620">
        <v>8989900557</v>
      </c>
      <c r="F189" s="620">
        <v>8958</v>
      </c>
      <c r="G189" s="620">
        <v>8511</v>
      </c>
      <c r="H189" s="620">
        <v>8511</v>
      </c>
      <c r="I189" s="620">
        <v>-447</v>
      </c>
      <c r="J189" s="620">
        <v>-4.99</v>
      </c>
      <c r="K189" s="620">
        <v>8582</v>
      </c>
      <c r="L189" s="620">
        <v>-376</v>
      </c>
      <c r="M189" s="620">
        <v>-4.2</v>
      </c>
      <c r="N189" s="620">
        <v>8511</v>
      </c>
      <c r="O189" s="620">
        <v>8862</v>
      </c>
      <c r="P189" s="620" t="s">
        <v>1097</v>
      </c>
      <c r="Q189" s="620" t="s">
        <v>1098</v>
      </c>
      <c r="R189" s="620">
        <v>0</v>
      </c>
      <c r="S189" s="620">
        <v>0</v>
      </c>
      <c r="T189" s="620">
        <v>0</v>
      </c>
      <c r="U189" s="620">
        <v>8511</v>
      </c>
      <c r="V189" s="620">
        <v>303949</v>
      </c>
      <c r="W189" s="620">
        <v>22</v>
      </c>
    </row>
    <row r="190" spans="1:23" x14ac:dyDescent="0.25">
      <c r="A190" s="620" t="s">
        <v>1099</v>
      </c>
      <c r="B190" s="620" t="s">
        <v>1100</v>
      </c>
      <c r="C190" s="620">
        <v>0</v>
      </c>
      <c r="D190" s="620">
        <v>0</v>
      </c>
      <c r="E190" s="620">
        <v>0</v>
      </c>
      <c r="F190" s="620">
        <v>1</v>
      </c>
      <c r="G190" s="620">
        <v>0</v>
      </c>
      <c r="H190" s="620">
        <v>1</v>
      </c>
      <c r="I190" s="620">
        <v>0</v>
      </c>
      <c r="J190" s="620">
        <v>0</v>
      </c>
      <c r="K190" s="620">
        <v>1</v>
      </c>
      <c r="L190" s="620">
        <v>0</v>
      </c>
      <c r="M190" s="620">
        <v>0</v>
      </c>
      <c r="N190" s="620">
        <v>0</v>
      </c>
      <c r="O190" s="620">
        <v>0</v>
      </c>
      <c r="R190" s="620">
        <v>1</v>
      </c>
      <c r="S190" s="620">
        <v>10</v>
      </c>
      <c r="T190" s="620">
        <v>142</v>
      </c>
      <c r="U190" s="620">
        <v>0</v>
      </c>
      <c r="V190" s="620">
        <v>0</v>
      </c>
      <c r="W190" s="620">
        <v>0</v>
      </c>
    </row>
    <row r="191" spans="1:23" x14ac:dyDescent="0.25">
      <c r="A191" s="620" t="s">
        <v>1101</v>
      </c>
      <c r="B191" s="620" t="s">
        <v>1102</v>
      </c>
      <c r="C191" s="620">
        <v>323</v>
      </c>
      <c r="D191" s="620">
        <v>777322</v>
      </c>
      <c r="E191" s="620">
        <v>9227069432</v>
      </c>
      <c r="F191" s="620">
        <v>12276</v>
      </c>
      <c r="G191" s="620">
        <v>11970</v>
      </c>
      <c r="H191" s="620">
        <v>11663</v>
      </c>
      <c r="I191" s="620">
        <v>-613</v>
      </c>
      <c r="J191" s="620">
        <v>-4.99</v>
      </c>
      <c r="K191" s="620">
        <v>11870</v>
      </c>
      <c r="L191" s="620">
        <v>-406</v>
      </c>
      <c r="M191" s="620">
        <v>-3.31</v>
      </c>
      <c r="N191" s="620">
        <v>11663</v>
      </c>
      <c r="O191" s="620">
        <v>12490</v>
      </c>
      <c r="P191" s="620" t="s">
        <v>1103</v>
      </c>
      <c r="Q191" s="620" t="s">
        <v>1104</v>
      </c>
      <c r="R191" s="620">
        <v>1</v>
      </c>
      <c r="S191" s="620">
        <v>10000</v>
      </c>
      <c r="T191" s="620">
        <v>7876</v>
      </c>
      <c r="U191" s="620">
        <v>11663</v>
      </c>
      <c r="V191" s="620">
        <v>162356</v>
      </c>
      <c r="W191" s="620">
        <v>13</v>
      </c>
    </row>
    <row r="192" spans="1:23" x14ac:dyDescent="0.25">
      <c r="A192" s="620" t="s">
        <v>1105</v>
      </c>
      <c r="B192" s="620" t="s">
        <v>1106</v>
      </c>
      <c r="C192" s="620">
        <v>343</v>
      </c>
      <c r="D192" s="620">
        <v>6836365</v>
      </c>
      <c r="E192" s="620">
        <v>13638548175</v>
      </c>
      <c r="F192" s="620">
        <v>2100</v>
      </c>
      <c r="G192" s="620">
        <v>1995</v>
      </c>
      <c r="H192" s="620">
        <v>1995</v>
      </c>
      <c r="I192" s="620">
        <v>-105</v>
      </c>
      <c r="J192" s="620">
        <v>-5</v>
      </c>
      <c r="K192" s="620">
        <v>1995</v>
      </c>
      <c r="L192" s="620">
        <v>-105</v>
      </c>
      <c r="M192" s="620">
        <v>-5</v>
      </c>
      <c r="N192" s="620">
        <v>1995</v>
      </c>
      <c r="O192" s="620">
        <v>1995</v>
      </c>
      <c r="P192" s="620" t="s">
        <v>1107</v>
      </c>
      <c r="Q192" s="620" t="s">
        <v>1108</v>
      </c>
      <c r="R192" s="620">
        <v>2</v>
      </c>
      <c r="S192" s="620">
        <v>26000</v>
      </c>
      <c r="T192" s="620">
        <v>1995</v>
      </c>
      <c r="U192" s="620">
        <v>1995</v>
      </c>
      <c r="V192" s="620">
        <v>13953807</v>
      </c>
      <c r="W192" s="620">
        <v>372</v>
      </c>
    </row>
    <row r="193" spans="1:23" x14ac:dyDescent="0.25">
      <c r="A193" s="620" t="s">
        <v>1109</v>
      </c>
      <c r="B193" s="620" t="s">
        <v>1110</v>
      </c>
      <c r="C193" s="620">
        <v>590</v>
      </c>
      <c r="D193" s="620">
        <v>636008</v>
      </c>
      <c r="E193" s="620">
        <v>11152400280</v>
      </c>
      <c r="F193" s="620">
        <v>18457</v>
      </c>
      <c r="G193" s="620">
        <v>17535</v>
      </c>
      <c r="H193" s="620">
        <v>17535</v>
      </c>
      <c r="I193" s="620">
        <v>-922</v>
      </c>
      <c r="J193" s="620">
        <v>-5</v>
      </c>
      <c r="K193" s="620">
        <v>17535</v>
      </c>
      <c r="L193" s="620">
        <v>-922</v>
      </c>
      <c r="M193" s="620">
        <v>-5</v>
      </c>
      <c r="N193" s="620">
        <v>17535</v>
      </c>
      <c r="O193" s="620">
        <v>17535</v>
      </c>
      <c r="P193" s="620" t="s">
        <v>1111</v>
      </c>
      <c r="Q193" s="620" t="s">
        <v>1112</v>
      </c>
      <c r="R193" s="620">
        <v>1</v>
      </c>
      <c r="S193" s="620">
        <v>400</v>
      </c>
      <c r="T193" s="620">
        <v>14100</v>
      </c>
      <c r="U193" s="620">
        <v>17535</v>
      </c>
      <c r="V193" s="620">
        <v>1481660</v>
      </c>
      <c r="W193" s="620">
        <v>1417</v>
      </c>
    </row>
    <row r="194" spans="1:23" x14ac:dyDescent="0.25">
      <c r="A194" s="620" t="s">
        <v>1113</v>
      </c>
      <c r="B194" s="620" t="s">
        <v>1114</v>
      </c>
      <c r="C194" s="620">
        <v>22</v>
      </c>
      <c r="D194" s="620">
        <v>26966</v>
      </c>
      <c r="E194" s="620">
        <v>213112298</v>
      </c>
      <c r="F194" s="620">
        <v>8147</v>
      </c>
      <c r="G194" s="620">
        <v>7903</v>
      </c>
      <c r="H194" s="620">
        <v>7903</v>
      </c>
      <c r="I194" s="620">
        <v>-244</v>
      </c>
      <c r="J194" s="620">
        <v>-2.99</v>
      </c>
      <c r="K194" s="620">
        <v>7903</v>
      </c>
      <c r="L194" s="620">
        <v>-244</v>
      </c>
      <c r="M194" s="620">
        <v>-2.99</v>
      </c>
      <c r="N194" s="620">
        <v>7903</v>
      </c>
      <c r="O194" s="620">
        <v>7903</v>
      </c>
      <c r="P194" s="620" t="s">
        <v>1115</v>
      </c>
      <c r="Q194" s="620" t="s">
        <v>1116</v>
      </c>
      <c r="R194" s="620">
        <v>0</v>
      </c>
      <c r="S194" s="620">
        <v>0</v>
      </c>
      <c r="T194" s="620">
        <v>0</v>
      </c>
      <c r="U194" s="620">
        <v>7903</v>
      </c>
      <c r="V194" s="620">
        <v>98403</v>
      </c>
      <c r="W194" s="620">
        <v>21</v>
      </c>
    </row>
    <row r="195" spans="1:23" x14ac:dyDescent="0.25">
      <c r="A195" s="620" t="s">
        <v>1117</v>
      </c>
      <c r="B195" s="620" t="s">
        <v>1118</v>
      </c>
      <c r="C195" s="620">
        <v>46</v>
      </c>
      <c r="D195" s="620">
        <v>101693</v>
      </c>
      <c r="E195" s="620">
        <v>624801792</v>
      </c>
      <c r="F195" s="620">
        <v>6333</v>
      </c>
      <c r="G195" s="620">
        <v>6144</v>
      </c>
      <c r="H195" s="620">
        <v>6144</v>
      </c>
      <c r="I195" s="620">
        <v>-189</v>
      </c>
      <c r="J195" s="620">
        <v>-2.98</v>
      </c>
      <c r="K195" s="620">
        <v>6144</v>
      </c>
      <c r="L195" s="620">
        <v>-189</v>
      </c>
      <c r="M195" s="620">
        <v>-2.98</v>
      </c>
      <c r="N195" s="620">
        <v>6144</v>
      </c>
      <c r="O195" s="620">
        <v>6144</v>
      </c>
      <c r="P195" s="620" t="s">
        <v>1119</v>
      </c>
      <c r="Q195" s="620" t="s">
        <v>1120</v>
      </c>
      <c r="R195" s="620">
        <v>0</v>
      </c>
      <c r="S195" s="620">
        <v>0</v>
      </c>
      <c r="T195" s="620">
        <v>0</v>
      </c>
      <c r="U195" s="620">
        <v>6144</v>
      </c>
      <c r="V195" s="620">
        <v>230059</v>
      </c>
      <c r="W195" s="620">
        <v>28</v>
      </c>
    </row>
    <row r="196" spans="1:23" x14ac:dyDescent="0.25">
      <c r="A196" s="620" t="s">
        <v>1121</v>
      </c>
      <c r="B196" s="620" t="s">
        <v>1122</v>
      </c>
      <c r="C196" s="620">
        <v>218</v>
      </c>
      <c r="D196" s="620">
        <v>1331102</v>
      </c>
      <c r="E196" s="620">
        <v>4294801848</v>
      </c>
      <c r="F196" s="620">
        <v>3390</v>
      </c>
      <c r="G196" s="620">
        <v>3221</v>
      </c>
      <c r="H196" s="620">
        <v>3221</v>
      </c>
      <c r="I196" s="620">
        <v>-169</v>
      </c>
      <c r="J196" s="620">
        <v>-4.99</v>
      </c>
      <c r="K196" s="620">
        <v>3227</v>
      </c>
      <c r="L196" s="620">
        <v>-163</v>
      </c>
      <c r="M196" s="620">
        <v>-4.8099999999999996</v>
      </c>
      <c r="N196" s="620">
        <v>3221</v>
      </c>
      <c r="O196" s="620">
        <v>3500</v>
      </c>
      <c r="P196" s="620" t="s">
        <v>1123</v>
      </c>
      <c r="Q196" s="620" t="s">
        <v>1124</v>
      </c>
      <c r="R196" s="620">
        <v>0</v>
      </c>
      <c r="S196" s="620">
        <v>0</v>
      </c>
      <c r="T196" s="620">
        <v>0</v>
      </c>
      <c r="U196" s="620">
        <v>3221</v>
      </c>
      <c r="V196" s="620">
        <v>119587</v>
      </c>
      <c r="W196" s="620">
        <v>7</v>
      </c>
    </row>
    <row r="197" spans="1:23" x14ac:dyDescent="0.25">
      <c r="A197" s="620" t="s">
        <v>1125</v>
      </c>
      <c r="B197" s="620" t="s">
        <v>1126</v>
      </c>
      <c r="C197" s="620">
        <v>1162</v>
      </c>
      <c r="D197" s="620">
        <v>702855</v>
      </c>
      <c r="E197" s="620">
        <v>48637580793</v>
      </c>
      <c r="F197" s="620">
        <v>68370</v>
      </c>
      <c r="G197" s="620">
        <v>68000</v>
      </c>
      <c r="H197" s="620">
        <v>68700</v>
      </c>
      <c r="I197" s="620">
        <v>330</v>
      </c>
      <c r="J197" s="620">
        <v>0.48</v>
      </c>
      <c r="K197" s="620">
        <v>69200</v>
      </c>
      <c r="L197" s="620">
        <v>830</v>
      </c>
      <c r="M197" s="620">
        <v>1.21</v>
      </c>
      <c r="N197" s="620">
        <v>68000</v>
      </c>
      <c r="O197" s="620">
        <v>71000</v>
      </c>
      <c r="P197" s="620" t="s">
        <v>1127</v>
      </c>
      <c r="Q197" s="620" t="s">
        <v>1128</v>
      </c>
      <c r="R197" s="620">
        <v>1</v>
      </c>
      <c r="S197" s="620">
        <v>500</v>
      </c>
      <c r="T197" s="620">
        <v>68452</v>
      </c>
      <c r="U197" s="620">
        <v>68700</v>
      </c>
      <c r="V197" s="620">
        <v>60</v>
      </c>
      <c r="W197" s="620">
        <v>1</v>
      </c>
    </row>
    <row r="198" spans="1:23" x14ac:dyDescent="0.25">
      <c r="A198" s="620" t="s">
        <v>1129</v>
      </c>
      <c r="B198" s="620" t="s">
        <v>1130</v>
      </c>
      <c r="C198" s="620">
        <v>3170</v>
      </c>
      <c r="D198" s="620">
        <v>5599310</v>
      </c>
      <c r="E198" s="620">
        <v>95940169890</v>
      </c>
      <c r="F198" s="620">
        <v>16379</v>
      </c>
      <c r="G198" s="620">
        <v>16420</v>
      </c>
      <c r="H198" s="620">
        <v>17197</v>
      </c>
      <c r="I198" s="620">
        <v>818</v>
      </c>
      <c r="J198" s="620">
        <v>4.99</v>
      </c>
      <c r="K198" s="620">
        <v>17134</v>
      </c>
      <c r="L198" s="620">
        <v>755</v>
      </c>
      <c r="M198" s="620">
        <v>4.6100000000000003</v>
      </c>
      <c r="N198" s="620">
        <v>16400</v>
      </c>
      <c r="O198" s="620">
        <v>17197</v>
      </c>
      <c r="P198" s="620" t="s">
        <v>1097</v>
      </c>
      <c r="Q198" s="620" t="s">
        <v>1131</v>
      </c>
      <c r="R198" s="620">
        <v>26</v>
      </c>
      <c r="S198" s="620">
        <v>80553</v>
      </c>
      <c r="T198" s="620">
        <v>17197</v>
      </c>
      <c r="U198" s="620">
        <v>17498</v>
      </c>
      <c r="V198" s="620">
        <v>184</v>
      </c>
      <c r="W198" s="620">
        <v>2</v>
      </c>
    </row>
    <row r="199" spans="1:23" x14ac:dyDescent="0.25">
      <c r="A199" s="620" t="s">
        <v>1132</v>
      </c>
      <c r="B199" s="620" t="s">
        <v>1133</v>
      </c>
      <c r="C199" s="620">
        <v>458</v>
      </c>
      <c r="D199" s="620">
        <v>2268340</v>
      </c>
      <c r="E199" s="620">
        <v>12615055149</v>
      </c>
      <c r="F199" s="620">
        <v>5845</v>
      </c>
      <c r="G199" s="620">
        <v>5553</v>
      </c>
      <c r="H199" s="620">
        <v>5553</v>
      </c>
      <c r="I199" s="620">
        <v>-292</v>
      </c>
      <c r="J199" s="620">
        <v>-5</v>
      </c>
      <c r="K199" s="620">
        <v>5561</v>
      </c>
      <c r="L199" s="620">
        <v>-284</v>
      </c>
      <c r="M199" s="620">
        <v>-4.8600000000000003</v>
      </c>
      <c r="N199" s="620">
        <v>5553</v>
      </c>
      <c r="O199" s="620">
        <v>5790</v>
      </c>
      <c r="P199" s="620" t="s">
        <v>1134</v>
      </c>
      <c r="Q199" s="620" t="s">
        <v>1135</v>
      </c>
      <c r="R199" s="620">
        <v>0</v>
      </c>
      <c r="S199" s="620">
        <v>0</v>
      </c>
      <c r="T199" s="620">
        <v>0</v>
      </c>
      <c r="U199" s="620">
        <v>5553</v>
      </c>
      <c r="V199" s="620">
        <v>111811</v>
      </c>
      <c r="W199" s="620">
        <v>9</v>
      </c>
    </row>
    <row r="200" spans="1:23" x14ac:dyDescent="0.25">
      <c r="A200" s="620" t="s">
        <v>1136</v>
      </c>
      <c r="B200" s="620" t="s">
        <v>1137</v>
      </c>
      <c r="C200" s="620">
        <v>0</v>
      </c>
      <c r="D200" s="620">
        <v>0</v>
      </c>
      <c r="E200" s="620">
        <v>0</v>
      </c>
      <c r="F200" s="620">
        <v>1</v>
      </c>
      <c r="G200" s="620">
        <v>0</v>
      </c>
      <c r="H200" s="620">
        <v>1</v>
      </c>
      <c r="I200" s="620">
        <v>0</v>
      </c>
      <c r="J200" s="620">
        <v>0</v>
      </c>
      <c r="K200" s="620">
        <v>1</v>
      </c>
      <c r="L200" s="620">
        <v>0</v>
      </c>
      <c r="M200" s="620">
        <v>0</v>
      </c>
      <c r="N200" s="620">
        <v>0</v>
      </c>
      <c r="O200" s="620">
        <v>0</v>
      </c>
      <c r="R200" s="620">
        <v>2</v>
      </c>
      <c r="S200" s="620">
        <v>200</v>
      </c>
      <c r="T200" s="620">
        <v>26</v>
      </c>
      <c r="U200" s="620">
        <v>0</v>
      </c>
      <c r="V200" s="620">
        <v>0</v>
      </c>
      <c r="W200" s="620">
        <v>0</v>
      </c>
    </row>
    <row r="201" spans="1:23" x14ac:dyDescent="0.25">
      <c r="A201" s="620" t="s">
        <v>1138</v>
      </c>
      <c r="B201" s="620" t="s">
        <v>1139</v>
      </c>
      <c r="C201" s="620">
        <v>0</v>
      </c>
      <c r="D201" s="620">
        <v>0</v>
      </c>
      <c r="E201" s="620">
        <v>0</v>
      </c>
      <c r="F201" s="620">
        <v>319</v>
      </c>
      <c r="G201" s="620">
        <v>0</v>
      </c>
      <c r="H201" s="620">
        <v>300</v>
      </c>
      <c r="I201" s="620">
        <v>-19</v>
      </c>
      <c r="J201" s="620">
        <v>-5.96</v>
      </c>
      <c r="K201" s="620">
        <v>319</v>
      </c>
      <c r="L201" s="620">
        <v>0</v>
      </c>
      <c r="M201" s="620">
        <v>0</v>
      </c>
      <c r="N201" s="620">
        <v>0</v>
      </c>
      <c r="O201" s="620">
        <v>0</v>
      </c>
      <c r="R201" s="620">
        <v>0</v>
      </c>
      <c r="S201" s="620">
        <v>0</v>
      </c>
      <c r="T201" s="620">
        <v>0</v>
      </c>
      <c r="U201" s="620">
        <v>300</v>
      </c>
      <c r="V201" s="620">
        <v>20</v>
      </c>
      <c r="W201" s="620">
        <v>1</v>
      </c>
    </row>
    <row r="202" spans="1:23" x14ac:dyDescent="0.25">
      <c r="A202" s="620" t="s">
        <v>1140</v>
      </c>
      <c r="B202" s="620" t="s">
        <v>1141</v>
      </c>
      <c r="C202" s="620">
        <v>1143</v>
      </c>
      <c r="D202" s="620">
        <v>15856302</v>
      </c>
      <c r="E202" s="620">
        <v>86056318720</v>
      </c>
      <c r="F202" s="620">
        <v>5676</v>
      </c>
      <c r="G202" s="620">
        <v>5393</v>
      </c>
      <c r="H202" s="620">
        <v>5393</v>
      </c>
      <c r="I202" s="620">
        <v>-283</v>
      </c>
      <c r="J202" s="620">
        <v>-4.99</v>
      </c>
      <c r="K202" s="620">
        <v>5427</v>
      </c>
      <c r="L202" s="620">
        <v>-249</v>
      </c>
      <c r="M202" s="620">
        <v>-4.3899999999999997</v>
      </c>
      <c r="N202" s="620">
        <v>5393</v>
      </c>
      <c r="O202" s="620">
        <v>5668</v>
      </c>
      <c r="P202" s="620" t="s">
        <v>1142</v>
      </c>
      <c r="Q202" s="620" t="s">
        <v>1143</v>
      </c>
      <c r="R202" s="620">
        <v>1</v>
      </c>
      <c r="S202" s="620">
        <v>3000</v>
      </c>
      <c r="T202" s="620">
        <v>5300</v>
      </c>
      <c r="U202" s="620">
        <v>5393</v>
      </c>
      <c r="V202" s="620">
        <v>457016</v>
      </c>
      <c r="W202" s="620">
        <v>158</v>
      </c>
    </row>
    <row r="203" spans="1:23" x14ac:dyDescent="0.25">
      <c r="A203" s="620" t="s">
        <v>1144</v>
      </c>
      <c r="B203" s="620" t="s">
        <v>1145</v>
      </c>
      <c r="C203" s="620">
        <v>4</v>
      </c>
      <c r="D203" s="620">
        <v>50</v>
      </c>
      <c r="E203" s="620">
        <v>27750000</v>
      </c>
      <c r="F203" s="620">
        <v>550</v>
      </c>
      <c r="G203" s="620">
        <v>555</v>
      </c>
      <c r="H203" s="620">
        <v>555</v>
      </c>
      <c r="I203" s="620">
        <v>5</v>
      </c>
      <c r="J203" s="620">
        <v>0.91</v>
      </c>
      <c r="K203" s="620">
        <v>555</v>
      </c>
      <c r="L203" s="620">
        <v>5</v>
      </c>
      <c r="M203" s="620">
        <v>0.91</v>
      </c>
      <c r="N203" s="620">
        <v>555</v>
      </c>
      <c r="O203" s="620">
        <v>555</v>
      </c>
      <c r="R203" s="620">
        <v>1</v>
      </c>
      <c r="S203" s="620">
        <v>2</v>
      </c>
      <c r="T203" s="620">
        <v>601</v>
      </c>
      <c r="U203" s="620">
        <v>999</v>
      </c>
      <c r="V203" s="620">
        <v>5</v>
      </c>
      <c r="W203" s="620">
        <v>1</v>
      </c>
    </row>
    <row r="204" spans="1:23" x14ac:dyDescent="0.25">
      <c r="A204" s="620" t="s">
        <v>1146</v>
      </c>
      <c r="B204" s="620" t="s">
        <v>1147</v>
      </c>
      <c r="C204" s="620">
        <v>0</v>
      </c>
      <c r="D204" s="620">
        <v>0</v>
      </c>
      <c r="E204" s="620">
        <v>0</v>
      </c>
      <c r="F204" s="620">
        <v>931100</v>
      </c>
      <c r="G204" s="620">
        <v>0</v>
      </c>
      <c r="H204" s="620">
        <v>931100</v>
      </c>
      <c r="I204" s="620">
        <v>0</v>
      </c>
      <c r="J204" s="620">
        <v>0</v>
      </c>
      <c r="K204" s="620">
        <v>931100</v>
      </c>
      <c r="L204" s="620">
        <v>0</v>
      </c>
      <c r="M204" s="620">
        <v>0</v>
      </c>
      <c r="N204" s="620">
        <v>0</v>
      </c>
      <c r="O204" s="620">
        <v>0</v>
      </c>
      <c r="R204" s="620">
        <v>1</v>
      </c>
      <c r="S204" s="620">
        <v>100</v>
      </c>
      <c r="T204" s="620">
        <v>932000</v>
      </c>
      <c r="U204" s="620">
        <v>0</v>
      </c>
      <c r="V204" s="620">
        <v>0</v>
      </c>
      <c r="W204" s="620">
        <v>0</v>
      </c>
    </row>
    <row r="205" spans="1:23" x14ac:dyDescent="0.25">
      <c r="A205" s="620" t="s">
        <v>1148</v>
      </c>
      <c r="B205" s="620" t="s">
        <v>1149</v>
      </c>
      <c r="C205" s="620">
        <v>553</v>
      </c>
      <c r="D205" s="620">
        <v>3920128</v>
      </c>
      <c r="E205" s="620">
        <v>14276783913</v>
      </c>
      <c r="F205" s="620">
        <v>3651</v>
      </c>
      <c r="G205" s="620">
        <v>3570</v>
      </c>
      <c r="H205" s="620">
        <v>3618</v>
      </c>
      <c r="I205" s="620">
        <v>-33</v>
      </c>
      <c r="J205" s="620">
        <v>-0.9</v>
      </c>
      <c r="K205" s="620">
        <v>3642</v>
      </c>
      <c r="L205" s="620">
        <v>-9</v>
      </c>
      <c r="M205" s="620">
        <v>-0.25</v>
      </c>
      <c r="N205" s="620">
        <v>3570</v>
      </c>
      <c r="O205" s="620">
        <v>3770</v>
      </c>
      <c r="P205" s="620" t="s">
        <v>1150</v>
      </c>
      <c r="Q205" s="620" t="s">
        <v>1151</v>
      </c>
      <c r="R205" s="620">
        <v>1</v>
      </c>
      <c r="S205" s="620">
        <v>18200</v>
      </c>
      <c r="T205" s="620">
        <v>3617</v>
      </c>
      <c r="U205" s="620">
        <v>3684</v>
      </c>
      <c r="V205" s="620">
        <v>4200</v>
      </c>
      <c r="W205" s="620">
        <v>2</v>
      </c>
    </row>
    <row r="206" spans="1:23" x14ac:dyDescent="0.25">
      <c r="A206" s="620" t="s">
        <v>1152</v>
      </c>
      <c r="B206" s="620" t="s">
        <v>1153</v>
      </c>
      <c r="C206" s="620">
        <v>0</v>
      </c>
      <c r="D206" s="620">
        <v>0</v>
      </c>
      <c r="E206" s="620">
        <v>0</v>
      </c>
      <c r="F206" s="620">
        <v>1</v>
      </c>
      <c r="G206" s="620">
        <v>0</v>
      </c>
      <c r="H206" s="620">
        <v>1</v>
      </c>
      <c r="I206" s="620">
        <v>0</v>
      </c>
      <c r="J206" s="620">
        <v>0</v>
      </c>
      <c r="K206" s="620">
        <v>1</v>
      </c>
      <c r="L206" s="620">
        <v>0</v>
      </c>
      <c r="M206" s="620">
        <v>0</v>
      </c>
      <c r="N206" s="620">
        <v>0</v>
      </c>
      <c r="O206" s="620">
        <v>0</v>
      </c>
      <c r="R206" s="620">
        <v>1</v>
      </c>
      <c r="S206" s="620">
        <v>100</v>
      </c>
      <c r="T206" s="620">
        <v>10</v>
      </c>
      <c r="U206" s="620">
        <v>0</v>
      </c>
      <c r="V206" s="620">
        <v>0</v>
      </c>
      <c r="W206" s="620">
        <v>0</v>
      </c>
    </row>
    <row r="207" spans="1:23" x14ac:dyDescent="0.25">
      <c r="A207" s="620" t="s">
        <v>1154</v>
      </c>
      <c r="B207" s="620" t="s">
        <v>1155</v>
      </c>
      <c r="C207" s="620">
        <v>0</v>
      </c>
      <c r="D207" s="620">
        <v>0</v>
      </c>
      <c r="E207" s="620">
        <v>0</v>
      </c>
      <c r="F207" s="620">
        <v>1</v>
      </c>
      <c r="G207" s="620">
        <v>0</v>
      </c>
      <c r="H207" s="620">
        <v>1</v>
      </c>
      <c r="I207" s="620">
        <v>0</v>
      </c>
      <c r="J207" s="620">
        <v>0</v>
      </c>
      <c r="K207" s="620">
        <v>1</v>
      </c>
      <c r="L207" s="620">
        <v>0</v>
      </c>
      <c r="M207" s="620">
        <v>0</v>
      </c>
      <c r="N207" s="620">
        <v>0</v>
      </c>
      <c r="O207" s="620">
        <v>0</v>
      </c>
      <c r="R207" s="620">
        <v>1</v>
      </c>
      <c r="S207" s="620">
        <v>100</v>
      </c>
      <c r="T207" s="620">
        <v>30</v>
      </c>
      <c r="U207" s="620">
        <v>0</v>
      </c>
      <c r="V207" s="620">
        <v>0</v>
      </c>
      <c r="W207" s="620">
        <v>0</v>
      </c>
    </row>
    <row r="208" spans="1:23" x14ac:dyDescent="0.25">
      <c r="A208" s="620" t="s">
        <v>1156</v>
      </c>
      <c r="B208" s="620" t="s">
        <v>1157</v>
      </c>
      <c r="C208" s="620">
        <v>532</v>
      </c>
      <c r="D208" s="620">
        <v>2287074</v>
      </c>
      <c r="E208" s="620">
        <v>40474478751</v>
      </c>
      <c r="F208" s="620">
        <v>18554</v>
      </c>
      <c r="G208" s="620">
        <v>17700</v>
      </c>
      <c r="H208" s="620">
        <v>17627</v>
      </c>
      <c r="I208" s="620">
        <v>-927</v>
      </c>
      <c r="J208" s="620">
        <v>-5</v>
      </c>
      <c r="K208" s="620">
        <v>17697</v>
      </c>
      <c r="L208" s="620">
        <v>-857</v>
      </c>
      <c r="M208" s="620">
        <v>-4.62</v>
      </c>
      <c r="N208" s="620">
        <v>17627</v>
      </c>
      <c r="O208" s="620">
        <v>18000</v>
      </c>
      <c r="P208" s="620" t="s">
        <v>1158</v>
      </c>
      <c r="Q208" s="620" t="s">
        <v>1159</v>
      </c>
      <c r="R208" s="620">
        <v>1</v>
      </c>
      <c r="S208" s="620">
        <v>500</v>
      </c>
      <c r="T208" s="620">
        <v>17196</v>
      </c>
      <c r="U208" s="620">
        <v>17627</v>
      </c>
      <c r="V208" s="620">
        <v>197920</v>
      </c>
      <c r="W208" s="620">
        <v>43</v>
      </c>
    </row>
    <row r="209" spans="1:23" x14ac:dyDescent="0.25">
      <c r="A209" s="620" t="s">
        <v>1160</v>
      </c>
      <c r="B209" s="620" t="s">
        <v>1161</v>
      </c>
      <c r="C209" s="620">
        <v>0</v>
      </c>
      <c r="D209" s="620">
        <v>0</v>
      </c>
      <c r="E209" s="620">
        <v>0</v>
      </c>
      <c r="F209" s="620">
        <v>800</v>
      </c>
      <c r="G209" s="620">
        <v>0</v>
      </c>
      <c r="H209" s="620">
        <v>800</v>
      </c>
      <c r="I209" s="620">
        <v>0</v>
      </c>
      <c r="J209" s="620">
        <v>0</v>
      </c>
      <c r="K209" s="620">
        <v>800</v>
      </c>
      <c r="L209" s="620">
        <v>0</v>
      </c>
      <c r="M209" s="620">
        <v>0</v>
      </c>
      <c r="N209" s="620">
        <v>0</v>
      </c>
      <c r="O209" s="620">
        <v>0</v>
      </c>
      <c r="R209" s="620">
        <v>1</v>
      </c>
      <c r="S209" s="620">
        <v>100</v>
      </c>
      <c r="T209" s="620">
        <v>220</v>
      </c>
      <c r="U209" s="620">
        <v>1500</v>
      </c>
      <c r="V209" s="620">
        <v>10</v>
      </c>
      <c r="W209" s="620">
        <v>1</v>
      </c>
    </row>
    <row r="210" spans="1:23" x14ac:dyDescent="0.25">
      <c r="A210" s="620" t="s">
        <v>1162</v>
      </c>
      <c r="B210" s="620" t="s">
        <v>1163</v>
      </c>
      <c r="C210" s="620">
        <v>177</v>
      </c>
      <c r="D210" s="620">
        <v>104215</v>
      </c>
      <c r="E210" s="620">
        <v>2353068450</v>
      </c>
      <c r="F210" s="620">
        <v>23630</v>
      </c>
      <c r="G210" s="620">
        <v>22450</v>
      </c>
      <c r="H210" s="620">
        <v>22449</v>
      </c>
      <c r="I210" s="620">
        <v>-1181</v>
      </c>
      <c r="J210" s="620">
        <v>-5</v>
      </c>
      <c r="K210" s="620">
        <v>22579</v>
      </c>
      <c r="L210" s="620">
        <v>-1051</v>
      </c>
      <c r="M210" s="620">
        <v>-4.45</v>
      </c>
      <c r="N210" s="620">
        <v>22449</v>
      </c>
      <c r="O210" s="620">
        <v>23194</v>
      </c>
      <c r="P210" s="620" t="s">
        <v>1164</v>
      </c>
      <c r="Q210" s="620" t="s">
        <v>1165</v>
      </c>
      <c r="R210" s="620">
        <v>0</v>
      </c>
      <c r="S210" s="620">
        <v>0</v>
      </c>
      <c r="T210" s="620">
        <v>0</v>
      </c>
      <c r="U210" s="620">
        <v>22449</v>
      </c>
      <c r="V210" s="620">
        <v>48217</v>
      </c>
      <c r="W210" s="620">
        <v>27</v>
      </c>
    </row>
    <row r="211" spans="1:23" x14ac:dyDescent="0.25">
      <c r="A211" s="620" t="s">
        <v>1166</v>
      </c>
      <c r="B211" s="620" t="s">
        <v>1167</v>
      </c>
      <c r="C211" s="620">
        <v>389</v>
      </c>
      <c r="D211" s="620">
        <v>555932</v>
      </c>
      <c r="E211" s="620">
        <v>16358232647</v>
      </c>
      <c r="F211" s="620">
        <v>28155</v>
      </c>
      <c r="G211" s="620">
        <v>27550</v>
      </c>
      <c r="H211" s="620">
        <v>29562</v>
      </c>
      <c r="I211" s="620">
        <v>1407</v>
      </c>
      <c r="J211" s="620">
        <v>5</v>
      </c>
      <c r="K211" s="620">
        <v>29425</v>
      </c>
      <c r="L211" s="620">
        <v>1270</v>
      </c>
      <c r="M211" s="620">
        <v>4.51</v>
      </c>
      <c r="N211" s="620">
        <v>27550</v>
      </c>
      <c r="O211" s="620">
        <v>29562</v>
      </c>
      <c r="P211" s="620" t="s">
        <v>1168</v>
      </c>
      <c r="Q211" s="620" t="s">
        <v>1169</v>
      </c>
      <c r="R211" s="620">
        <v>18</v>
      </c>
      <c r="S211" s="620">
        <v>30325</v>
      </c>
      <c r="T211" s="620">
        <v>29562</v>
      </c>
      <c r="U211" s="620">
        <v>32400</v>
      </c>
      <c r="V211" s="620">
        <v>684</v>
      </c>
      <c r="W211" s="620">
        <v>1</v>
      </c>
    </row>
    <row r="212" spans="1:23" x14ac:dyDescent="0.25">
      <c r="A212" s="620" t="s">
        <v>1170</v>
      </c>
      <c r="B212" s="620" t="s">
        <v>1171</v>
      </c>
      <c r="C212" s="620">
        <v>867</v>
      </c>
      <c r="D212" s="620">
        <v>1672117</v>
      </c>
      <c r="E212" s="620">
        <v>34525602948</v>
      </c>
      <c r="F212" s="620">
        <v>21412</v>
      </c>
      <c r="G212" s="620">
        <v>20342</v>
      </c>
      <c r="H212" s="620">
        <v>20840</v>
      </c>
      <c r="I212" s="620">
        <v>-572</v>
      </c>
      <c r="J212" s="620">
        <v>-2.67</v>
      </c>
      <c r="K212" s="620">
        <v>20648</v>
      </c>
      <c r="L212" s="620">
        <v>-764</v>
      </c>
      <c r="M212" s="620">
        <v>-3.57</v>
      </c>
      <c r="N212" s="620">
        <v>20342</v>
      </c>
      <c r="O212" s="620">
        <v>21870</v>
      </c>
      <c r="P212" s="620" t="s">
        <v>1172</v>
      </c>
      <c r="Q212" s="620" t="s">
        <v>1173</v>
      </c>
      <c r="R212" s="620">
        <v>1</v>
      </c>
      <c r="S212" s="620">
        <v>1000</v>
      </c>
      <c r="T212" s="620">
        <v>20757</v>
      </c>
      <c r="U212" s="620">
        <v>20850</v>
      </c>
      <c r="V212" s="620">
        <v>808</v>
      </c>
      <c r="W212" s="620">
        <v>2</v>
      </c>
    </row>
    <row r="213" spans="1:23" x14ac:dyDescent="0.25">
      <c r="A213" s="620" t="s">
        <v>1174</v>
      </c>
      <c r="B213" s="620" t="s">
        <v>1175</v>
      </c>
      <c r="C213" s="620">
        <v>1</v>
      </c>
      <c r="D213" s="620">
        <v>8</v>
      </c>
      <c r="E213" s="620">
        <v>80</v>
      </c>
      <c r="F213" s="620">
        <v>378700</v>
      </c>
      <c r="G213" s="620">
        <v>10</v>
      </c>
      <c r="H213" s="620">
        <v>10</v>
      </c>
      <c r="I213" s="620">
        <v>-378690</v>
      </c>
      <c r="J213" s="620">
        <v>-100</v>
      </c>
      <c r="K213" s="620">
        <v>10</v>
      </c>
      <c r="L213" s="620">
        <v>-378690</v>
      </c>
      <c r="M213" s="620">
        <v>-100</v>
      </c>
      <c r="N213" s="620">
        <v>10</v>
      </c>
      <c r="O213" s="620">
        <v>10</v>
      </c>
      <c r="R213" s="620">
        <v>0</v>
      </c>
      <c r="S213" s="620">
        <v>0</v>
      </c>
      <c r="T213" s="620">
        <v>0</v>
      </c>
      <c r="U213" s="620">
        <v>0</v>
      </c>
      <c r="V213" s="620">
        <v>0</v>
      </c>
      <c r="W213" s="620">
        <v>0</v>
      </c>
    </row>
    <row r="214" spans="1:23" x14ac:dyDescent="0.25">
      <c r="A214" s="620" t="s">
        <v>1176</v>
      </c>
      <c r="B214" s="620" t="s">
        <v>1177</v>
      </c>
      <c r="C214" s="620">
        <v>74</v>
      </c>
      <c r="D214" s="620">
        <v>181620</v>
      </c>
      <c r="E214" s="620">
        <v>1474572780</v>
      </c>
      <c r="F214" s="620">
        <v>8546</v>
      </c>
      <c r="G214" s="620">
        <v>8119</v>
      </c>
      <c r="H214" s="620">
        <v>8119</v>
      </c>
      <c r="I214" s="620">
        <v>-427</v>
      </c>
      <c r="J214" s="620">
        <v>-5</v>
      </c>
      <c r="K214" s="620">
        <v>8119</v>
      </c>
      <c r="L214" s="620">
        <v>-427</v>
      </c>
      <c r="M214" s="620">
        <v>-5</v>
      </c>
      <c r="N214" s="620">
        <v>8119</v>
      </c>
      <c r="O214" s="620">
        <v>8119</v>
      </c>
      <c r="P214" s="620" t="s">
        <v>1178</v>
      </c>
      <c r="Q214" s="620" t="s">
        <v>1179</v>
      </c>
      <c r="R214" s="620">
        <v>0</v>
      </c>
      <c r="S214" s="620">
        <v>0</v>
      </c>
      <c r="T214" s="620">
        <v>0</v>
      </c>
      <c r="U214" s="620">
        <v>8119</v>
      </c>
      <c r="V214" s="620">
        <v>298339</v>
      </c>
      <c r="W214" s="620">
        <v>72</v>
      </c>
    </row>
    <row r="215" spans="1:23" x14ac:dyDescent="0.25">
      <c r="A215" s="620" t="s">
        <v>1180</v>
      </c>
      <c r="B215" s="620" t="s">
        <v>1181</v>
      </c>
      <c r="C215" s="620">
        <v>4</v>
      </c>
      <c r="D215" s="620">
        <v>3100</v>
      </c>
      <c r="E215" s="620">
        <v>3100050700</v>
      </c>
      <c r="F215" s="620">
        <v>1000065</v>
      </c>
      <c r="G215" s="620">
        <v>1000500</v>
      </c>
      <c r="H215" s="620">
        <v>1000000</v>
      </c>
      <c r="I215" s="620">
        <v>-65</v>
      </c>
      <c r="J215" s="620">
        <v>-0.01</v>
      </c>
      <c r="K215" s="620">
        <v>1000016</v>
      </c>
      <c r="L215" s="620">
        <v>-49</v>
      </c>
      <c r="M215" s="620">
        <v>0</v>
      </c>
      <c r="N215" s="620">
        <v>1000000</v>
      </c>
      <c r="O215" s="620">
        <v>1000500</v>
      </c>
      <c r="R215" s="620">
        <v>1</v>
      </c>
      <c r="S215" s="620">
        <v>100</v>
      </c>
      <c r="T215" s="620">
        <v>1000500</v>
      </c>
      <c r="U215" s="620">
        <v>1004000</v>
      </c>
      <c r="V215" s="620">
        <v>100</v>
      </c>
      <c r="W215" s="620">
        <v>1</v>
      </c>
    </row>
    <row r="216" spans="1:23" x14ac:dyDescent="0.25">
      <c r="A216" s="620" t="s">
        <v>1182</v>
      </c>
      <c r="B216" s="620" t="s">
        <v>1183</v>
      </c>
      <c r="C216" s="620">
        <v>360</v>
      </c>
      <c r="D216" s="620">
        <v>1872837</v>
      </c>
      <c r="E216" s="620">
        <v>11898209496</v>
      </c>
      <c r="F216" s="620">
        <v>6687</v>
      </c>
      <c r="G216" s="620">
        <v>6353</v>
      </c>
      <c r="H216" s="620">
        <v>6353</v>
      </c>
      <c r="I216" s="620">
        <v>-334</v>
      </c>
      <c r="J216" s="620">
        <v>-4.99</v>
      </c>
      <c r="K216" s="620">
        <v>6353</v>
      </c>
      <c r="L216" s="620">
        <v>-334</v>
      </c>
      <c r="M216" s="620">
        <v>-4.99</v>
      </c>
      <c r="N216" s="620">
        <v>6353</v>
      </c>
      <c r="O216" s="620">
        <v>6553</v>
      </c>
      <c r="P216" s="620" t="s">
        <v>1184</v>
      </c>
      <c r="Q216" s="620" t="s">
        <v>1185</v>
      </c>
      <c r="R216" s="620">
        <v>1</v>
      </c>
      <c r="S216" s="620">
        <v>31853</v>
      </c>
      <c r="T216" s="620">
        <v>5700</v>
      </c>
      <c r="U216" s="620">
        <v>6353</v>
      </c>
      <c r="V216" s="620">
        <v>197336</v>
      </c>
      <c r="W216" s="620">
        <v>18</v>
      </c>
    </row>
    <row r="217" spans="1:23" x14ac:dyDescent="0.25">
      <c r="A217" s="620" t="s">
        <v>1186</v>
      </c>
      <c r="B217" s="620" t="s">
        <v>1187</v>
      </c>
      <c r="C217" s="620">
        <v>97</v>
      </c>
      <c r="D217" s="620">
        <v>161332</v>
      </c>
      <c r="E217" s="620">
        <v>2338029008</v>
      </c>
      <c r="F217" s="620">
        <v>14088</v>
      </c>
      <c r="G217" s="620">
        <v>13900</v>
      </c>
      <c r="H217" s="620">
        <v>14510</v>
      </c>
      <c r="I217" s="620">
        <v>422</v>
      </c>
      <c r="J217" s="620">
        <v>3</v>
      </c>
      <c r="K217" s="620">
        <v>14492</v>
      </c>
      <c r="L217" s="620">
        <v>404</v>
      </c>
      <c r="M217" s="620">
        <v>2.87</v>
      </c>
      <c r="N217" s="620">
        <v>13700</v>
      </c>
      <c r="O217" s="620">
        <v>14510</v>
      </c>
      <c r="P217" s="620" t="s">
        <v>1077</v>
      </c>
      <c r="Q217" s="620" t="s">
        <v>1188</v>
      </c>
      <c r="R217" s="620">
        <v>1</v>
      </c>
      <c r="S217" s="620">
        <v>7000</v>
      </c>
      <c r="T217" s="620">
        <v>14509</v>
      </c>
      <c r="U217" s="620">
        <v>14510</v>
      </c>
      <c r="V217" s="620">
        <v>16731</v>
      </c>
      <c r="W217" s="620">
        <v>2</v>
      </c>
    </row>
    <row r="218" spans="1:23" x14ac:dyDescent="0.25">
      <c r="A218" s="620" t="s">
        <v>1189</v>
      </c>
      <c r="B218" s="620" t="s">
        <v>1190</v>
      </c>
      <c r="C218" s="620">
        <v>36</v>
      </c>
      <c r="D218" s="620">
        <v>10075</v>
      </c>
      <c r="E218" s="620">
        <v>416278850</v>
      </c>
      <c r="F218" s="620">
        <v>43492</v>
      </c>
      <c r="G218" s="620">
        <v>41318</v>
      </c>
      <c r="H218" s="620">
        <v>41318</v>
      </c>
      <c r="I218" s="620">
        <v>-2174</v>
      </c>
      <c r="J218" s="620">
        <v>-5</v>
      </c>
      <c r="K218" s="620">
        <v>42870</v>
      </c>
      <c r="L218" s="620">
        <v>-622</v>
      </c>
      <c r="M218" s="620">
        <v>-1.43</v>
      </c>
      <c r="N218" s="620">
        <v>41318</v>
      </c>
      <c r="O218" s="620">
        <v>41318</v>
      </c>
      <c r="P218" s="620" t="s">
        <v>1191</v>
      </c>
      <c r="Q218" s="620" t="s">
        <v>1192</v>
      </c>
      <c r="R218" s="620">
        <v>1</v>
      </c>
      <c r="S218" s="620">
        <v>50</v>
      </c>
      <c r="T218" s="620">
        <v>41318</v>
      </c>
      <c r="U218" s="620">
        <v>41318</v>
      </c>
      <c r="V218" s="620">
        <v>311207</v>
      </c>
      <c r="W218" s="620">
        <v>223</v>
      </c>
    </row>
    <row r="219" spans="1:23" x14ac:dyDescent="0.25">
      <c r="A219" s="620" t="s">
        <v>1193</v>
      </c>
      <c r="B219" s="620" t="s">
        <v>1194</v>
      </c>
      <c r="C219" s="620">
        <v>0</v>
      </c>
      <c r="D219" s="620">
        <v>0</v>
      </c>
      <c r="E219" s="620">
        <v>0</v>
      </c>
      <c r="F219" s="620">
        <v>19583</v>
      </c>
      <c r="G219" s="620">
        <v>0</v>
      </c>
      <c r="H219" s="620">
        <v>19583</v>
      </c>
      <c r="I219" s="620">
        <v>0</v>
      </c>
      <c r="J219" s="620">
        <v>0</v>
      </c>
      <c r="K219" s="620">
        <v>19583</v>
      </c>
      <c r="L219" s="620">
        <v>0</v>
      </c>
      <c r="M219" s="620">
        <v>0</v>
      </c>
      <c r="N219" s="620">
        <v>0</v>
      </c>
      <c r="O219" s="620">
        <v>0</v>
      </c>
      <c r="P219" s="620" t="s">
        <v>627</v>
      </c>
      <c r="R219" s="620">
        <v>2</v>
      </c>
      <c r="S219" s="620">
        <v>555</v>
      </c>
      <c r="T219" s="620">
        <v>19974</v>
      </c>
      <c r="U219" s="620">
        <v>0</v>
      </c>
      <c r="V219" s="620">
        <v>0</v>
      </c>
      <c r="W219" s="620">
        <v>0</v>
      </c>
    </row>
    <row r="220" spans="1:23" x14ac:dyDescent="0.25">
      <c r="A220" s="620" t="s">
        <v>1195</v>
      </c>
      <c r="B220" s="620" t="s">
        <v>1196</v>
      </c>
      <c r="C220" s="620">
        <v>1135</v>
      </c>
      <c r="D220" s="620">
        <v>8079215</v>
      </c>
      <c r="E220" s="620">
        <v>20331181544</v>
      </c>
      <c r="F220" s="620">
        <v>2626</v>
      </c>
      <c r="G220" s="620">
        <v>2495</v>
      </c>
      <c r="H220" s="620">
        <v>2495</v>
      </c>
      <c r="I220" s="620">
        <v>-131</v>
      </c>
      <c r="J220" s="620">
        <v>-4.99</v>
      </c>
      <c r="K220" s="620">
        <v>2516</v>
      </c>
      <c r="L220" s="620">
        <v>-110</v>
      </c>
      <c r="M220" s="620">
        <v>-4.1900000000000004</v>
      </c>
      <c r="N220" s="620">
        <v>2495</v>
      </c>
      <c r="O220" s="620">
        <v>2620</v>
      </c>
      <c r="P220" s="620" t="s">
        <v>1197</v>
      </c>
      <c r="Q220" s="620" t="s">
        <v>1198</v>
      </c>
      <c r="R220" s="620">
        <v>1</v>
      </c>
      <c r="S220" s="620">
        <v>600</v>
      </c>
      <c r="T220" s="620">
        <v>2323</v>
      </c>
      <c r="U220" s="620">
        <v>2495</v>
      </c>
      <c r="V220" s="620">
        <v>505348</v>
      </c>
      <c r="W220" s="620">
        <v>31</v>
      </c>
    </row>
    <row r="221" spans="1:23" x14ac:dyDescent="0.25">
      <c r="A221" s="620" t="s">
        <v>1199</v>
      </c>
      <c r="B221" s="620" t="s">
        <v>1200</v>
      </c>
      <c r="C221" s="620">
        <v>0</v>
      </c>
      <c r="D221" s="620">
        <v>0</v>
      </c>
      <c r="E221" s="620">
        <v>0</v>
      </c>
      <c r="F221" s="620">
        <v>1</v>
      </c>
      <c r="G221" s="620">
        <v>0</v>
      </c>
      <c r="H221" s="620">
        <v>1</v>
      </c>
      <c r="I221" s="620">
        <v>0</v>
      </c>
      <c r="J221" s="620">
        <v>0</v>
      </c>
      <c r="K221" s="620">
        <v>1</v>
      </c>
      <c r="L221" s="620">
        <v>0</v>
      </c>
      <c r="M221" s="620">
        <v>0</v>
      </c>
      <c r="N221" s="620">
        <v>0</v>
      </c>
      <c r="O221" s="620">
        <v>0</v>
      </c>
      <c r="R221" s="620">
        <v>2</v>
      </c>
      <c r="S221" s="620">
        <v>200</v>
      </c>
      <c r="T221" s="620">
        <v>56</v>
      </c>
      <c r="U221" s="620">
        <v>0</v>
      </c>
      <c r="V221" s="620">
        <v>0</v>
      </c>
      <c r="W221" s="620">
        <v>0</v>
      </c>
    </row>
    <row r="222" spans="1:23" x14ac:dyDescent="0.25">
      <c r="A222" s="620" t="s">
        <v>1201</v>
      </c>
      <c r="B222" s="620" t="s">
        <v>1202</v>
      </c>
      <c r="C222" s="620">
        <v>0</v>
      </c>
      <c r="D222" s="620">
        <v>0</v>
      </c>
      <c r="E222" s="620">
        <v>0</v>
      </c>
      <c r="F222" s="620">
        <v>981750</v>
      </c>
      <c r="G222" s="620">
        <v>0</v>
      </c>
      <c r="H222" s="620">
        <v>981750</v>
      </c>
      <c r="I222" s="620">
        <v>0</v>
      </c>
      <c r="J222" s="620">
        <v>0</v>
      </c>
      <c r="K222" s="620">
        <v>981750</v>
      </c>
      <c r="L222" s="620">
        <v>0</v>
      </c>
      <c r="M222" s="620">
        <v>0</v>
      </c>
      <c r="N222" s="620">
        <v>0</v>
      </c>
      <c r="O222" s="620">
        <v>0</v>
      </c>
      <c r="R222" s="620">
        <v>2</v>
      </c>
      <c r="S222" s="620">
        <v>150</v>
      </c>
      <c r="T222" s="620">
        <v>1030837</v>
      </c>
      <c r="U222" s="620">
        <v>0</v>
      </c>
      <c r="V222" s="620">
        <v>0</v>
      </c>
      <c r="W222" s="620">
        <v>0</v>
      </c>
    </row>
    <row r="223" spans="1:23" x14ac:dyDescent="0.25">
      <c r="A223" s="620" t="s">
        <v>1203</v>
      </c>
      <c r="B223" s="620" t="s">
        <v>1204</v>
      </c>
      <c r="C223" s="620">
        <v>282</v>
      </c>
      <c r="D223" s="620">
        <v>4548</v>
      </c>
      <c r="E223" s="620">
        <v>1769706540</v>
      </c>
      <c r="F223" s="620">
        <v>386551</v>
      </c>
      <c r="G223" s="620">
        <v>373122</v>
      </c>
      <c r="H223" s="620">
        <v>367251</v>
      </c>
      <c r="I223" s="620">
        <v>-19300</v>
      </c>
      <c r="J223" s="620">
        <v>-4.99</v>
      </c>
      <c r="K223" s="620">
        <v>389118</v>
      </c>
      <c r="L223" s="620">
        <v>2567</v>
      </c>
      <c r="M223" s="620">
        <v>0.66</v>
      </c>
      <c r="N223" s="620">
        <v>367224</v>
      </c>
      <c r="O223" s="620">
        <v>405000</v>
      </c>
      <c r="R223" s="620">
        <v>0</v>
      </c>
      <c r="S223" s="620">
        <v>0</v>
      </c>
      <c r="T223" s="620">
        <v>0</v>
      </c>
      <c r="U223" s="620">
        <v>405000</v>
      </c>
      <c r="V223" s="620">
        <v>4</v>
      </c>
      <c r="W223" s="620">
        <v>1</v>
      </c>
    </row>
    <row r="224" spans="1:23" x14ac:dyDescent="0.25">
      <c r="A224" s="620" t="s">
        <v>1205</v>
      </c>
      <c r="B224" s="620" t="s">
        <v>1206</v>
      </c>
      <c r="C224" s="620">
        <v>576</v>
      </c>
      <c r="D224" s="620">
        <v>1315165</v>
      </c>
      <c r="E224" s="620">
        <v>17008381606</v>
      </c>
      <c r="F224" s="620">
        <v>13528</v>
      </c>
      <c r="G224" s="620">
        <v>12925</v>
      </c>
      <c r="H224" s="620">
        <v>12852</v>
      </c>
      <c r="I224" s="620">
        <v>-676</v>
      </c>
      <c r="J224" s="620">
        <v>-5</v>
      </c>
      <c r="K224" s="620">
        <v>12933</v>
      </c>
      <c r="L224" s="620">
        <v>-595</v>
      </c>
      <c r="M224" s="620">
        <v>-4.4000000000000004</v>
      </c>
      <c r="N224" s="620">
        <v>12852</v>
      </c>
      <c r="O224" s="620">
        <v>13520</v>
      </c>
      <c r="P224" s="620" t="s">
        <v>1207</v>
      </c>
      <c r="Q224" s="620" t="s">
        <v>752</v>
      </c>
      <c r="R224" s="620">
        <v>1</v>
      </c>
      <c r="S224" s="620">
        <v>276</v>
      </c>
      <c r="T224" s="620">
        <v>12852</v>
      </c>
      <c r="U224" s="620">
        <v>12855</v>
      </c>
      <c r="V224" s="620">
        <v>5796</v>
      </c>
      <c r="W224" s="620">
        <v>1</v>
      </c>
    </row>
    <row r="225" spans="1:23" x14ac:dyDescent="0.25">
      <c r="A225" s="620" t="s">
        <v>1208</v>
      </c>
      <c r="B225" s="620" t="s">
        <v>1209</v>
      </c>
      <c r="C225" s="620">
        <v>0</v>
      </c>
      <c r="D225" s="620">
        <v>0</v>
      </c>
      <c r="E225" s="620">
        <v>0</v>
      </c>
      <c r="F225" s="620">
        <v>2924</v>
      </c>
      <c r="G225" s="620">
        <v>0</v>
      </c>
      <c r="H225" s="620">
        <v>2924</v>
      </c>
      <c r="I225" s="620">
        <v>0</v>
      </c>
      <c r="J225" s="620">
        <v>0</v>
      </c>
      <c r="K225" s="620">
        <v>2924</v>
      </c>
      <c r="L225" s="620">
        <v>0</v>
      </c>
      <c r="M225" s="620">
        <v>0</v>
      </c>
      <c r="N225" s="620">
        <v>0</v>
      </c>
      <c r="O225" s="620">
        <v>0</v>
      </c>
      <c r="P225" s="620" t="s">
        <v>1210</v>
      </c>
      <c r="Q225" s="620" t="s">
        <v>1211</v>
      </c>
      <c r="R225" s="620">
        <v>0</v>
      </c>
      <c r="S225" s="620">
        <v>0</v>
      </c>
      <c r="T225" s="620">
        <v>0</v>
      </c>
      <c r="U225" s="620">
        <v>3010</v>
      </c>
      <c r="V225" s="620">
        <v>4147</v>
      </c>
      <c r="W225" s="620">
        <v>2</v>
      </c>
    </row>
    <row r="226" spans="1:23" x14ac:dyDescent="0.25">
      <c r="A226" s="620" t="s">
        <v>1212</v>
      </c>
      <c r="B226" s="620" t="s">
        <v>1213</v>
      </c>
      <c r="C226" s="620">
        <v>0</v>
      </c>
      <c r="D226" s="620">
        <v>0</v>
      </c>
      <c r="E226" s="620">
        <v>0</v>
      </c>
      <c r="F226" s="620">
        <v>1000001</v>
      </c>
      <c r="G226" s="620">
        <v>0</v>
      </c>
      <c r="H226" s="620">
        <v>1000001</v>
      </c>
      <c r="I226" s="620">
        <v>0</v>
      </c>
      <c r="J226" s="620">
        <v>0</v>
      </c>
      <c r="K226" s="620">
        <v>1000001</v>
      </c>
      <c r="L226" s="620">
        <v>0</v>
      </c>
      <c r="M226" s="620">
        <v>0</v>
      </c>
      <c r="N226" s="620">
        <v>0</v>
      </c>
      <c r="O226" s="620">
        <v>0</v>
      </c>
      <c r="R226" s="620">
        <v>1</v>
      </c>
      <c r="S226" s="620">
        <v>4000</v>
      </c>
      <c r="T226" s="620">
        <v>1000001</v>
      </c>
      <c r="U226" s="620">
        <v>0</v>
      </c>
      <c r="V226" s="620">
        <v>0</v>
      </c>
      <c r="W226" s="620">
        <v>0</v>
      </c>
    </row>
    <row r="227" spans="1:23" x14ac:dyDescent="0.25">
      <c r="A227" s="620" t="s">
        <v>1214</v>
      </c>
      <c r="B227" s="620" t="s">
        <v>1215</v>
      </c>
      <c r="C227" s="620">
        <v>16</v>
      </c>
      <c r="D227" s="620">
        <v>2352</v>
      </c>
      <c r="E227" s="620">
        <v>70910611</v>
      </c>
      <c r="F227" s="620">
        <v>30300</v>
      </c>
      <c r="G227" s="620">
        <v>30148</v>
      </c>
      <c r="H227" s="620">
        <v>30150</v>
      </c>
      <c r="I227" s="620">
        <v>-150</v>
      </c>
      <c r="J227" s="620">
        <v>-0.5</v>
      </c>
      <c r="K227" s="620">
        <v>30149</v>
      </c>
      <c r="L227" s="620">
        <v>-151</v>
      </c>
      <c r="M227" s="620">
        <v>-0.5</v>
      </c>
      <c r="N227" s="620">
        <v>30148</v>
      </c>
      <c r="O227" s="620">
        <v>30150</v>
      </c>
      <c r="R227" s="620">
        <v>1</v>
      </c>
      <c r="S227" s="620">
        <v>227</v>
      </c>
      <c r="T227" s="620">
        <v>30148</v>
      </c>
      <c r="U227" s="620">
        <v>30150</v>
      </c>
      <c r="V227" s="620">
        <v>9238</v>
      </c>
      <c r="W227" s="620">
        <v>1</v>
      </c>
    </row>
    <row r="228" spans="1:23" x14ac:dyDescent="0.25">
      <c r="A228" s="620" t="s">
        <v>1216</v>
      </c>
      <c r="B228" s="620" t="s">
        <v>1217</v>
      </c>
      <c r="C228" s="620">
        <v>1</v>
      </c>
      <c r="D228" s="620">
        <v>250000</v>
      </c>
      <c r="E228" s="620">
        <v>215000000000</v>
      </c>
      <c r="F228" s="620">
        <v>863795</v>
      </c>
      <c r="G228" s="620">
        <v>860000</v>
      </c>
      <c r="H228" s="620">
        <v>860000</v>
      </c>
      <c r="I228" s="620">
        <v>-3795</v>
      </c>
      <c r="J228" s="620">
        <v>-0.44</v>
      </c>
      <c r="K228" s="620">
        <v>860000</v>
      </c>
      <c r="L228" s="620">
        <v>-3795</v>
      </c>
      <c r="M228" s="620">
        <v>-0.44</v>
      </c>
      <c r="N228" s="620">
        <v>860000</v>
      </c>
      <c r="O228" s="620">
        <v>860000</v>
      </c>
      <c r="R228" s="620">
        <v>0</v>
      </c>
      <c r="S228" s="620">
        <v>0</v>
      </c>
      <c r="T228" s="620">
        <v>0</v>
      </c>
      <c r="U228" s="620">
        <v>0</v>
      </c>
      <c r="V228" s="620">
        <v>0</v>
      </c>
      <c r="W228" s="620">
        <v>0</v>
      </c>
    </row>
    <row r="229" spans="1:23" x14ac:dyDescent="0.25">
      <c r="A229" s="620" t="s">
        <v>1218</v>
      </c>
      <c r="B229" s="620" t="s">
        <v>1219</v>
      </c>
      <c r="C229" s="620">
        <v>908</v>
      </c>
      <c r="D229" s="620">
        <v>3727263</v>
      </c>
      <c r="E229" s="620">
        <v>16567090062</v>
      </c>
      <c r="F229" s="620">
        <v>4659</v>
      </c>
      <c r="G229" s="620">
        <v>4427</v>
      </c>
      <c r="H229" s="620">
        <v>4427</v>
      </c>
      <c r="I229" s="620">
        <v>-232</v>
      </c>
      <c r="J229" s="620">
        <v>-4.9800000000000004</v>
      </c>
      <c r="K229" s="620">
        <v>4445</v>
      </c>
      <c r="L229" s="620">
        <v>-214</v>
      </c>
      <c r="M229" s="620">
        <v>-4.59</v>
      </c>
      <c r="N229" s="620">
        <v>4427</v>
      </c>
      <c r="O229" s="620">
        <v>4615</v>
      </c>
      <c r="P229" s="620" t="s">
        <v>627</v>
      </c>
      <c r="R229" s="620">
        <v>1</v>
      </c>
      <c r="S229" s="620">
        <v>1000</v>
      </c>
      <c r="T229" s="620">
        <v>4210</v>
      </c>
      <c r="U229" s="620">
        <v>4427</v>
      </c>
      <c r="V229" s="620">
        <v>663877</v>
      </c>
      <c r="W229" s="620">
        <v>42</v>
      </c>
    </row>
    <row r="230" spans="1:23" x14ac:dyDescent="0.25">
      <c r="A230" s="620" t="s">
        <v>1220</v>
      </c>
      <c r="B230" s="620" t="s">
        <v>1221</v>
      </c>
      <c r="C230" s="620">
        <v>2545</v>
      </c>
      <c r="D230" s="620">
        <v>24054810</v>
      </c>
      <c r="E230" s="620">
        <v>107906417389</v>
      </c>
      <c r="F230" s="620">
        <v>4708</v>
      </c>
      <c r="G230" s="620">
        <v>4473</v>
      </c>
      <c r="H230" s="620">
        <v>4473</v>
      </c>
      <c r="I230" s="620">
        <v>-235</v>
      </c>
      <c r="J230" s="620">
        <v>-4.99</v>
      </c>
      <c r="K230" s="620">
        <v>4486</v>
      </c>
      <c r="L230" s="620">
        <v>-222</v>
      </c>
      <c r="M230" s="620">
        <v>-4.72</v>
      </c>
      <c r="N230" s="620">
        <v>4473</v>
      </c>
      <c r="O230" s="620">
        <v>4690</v>
      </c>
      <c r="P230" s="620" t="s">
        <v>1222</v>
      </c>
      <c r="Q230" s="620" t="s">
        <v>1223</v>
      </c>
      <c r="R230" s="620">
        <v>3</v>
      </c>
      <c r="S230" s="620">
        <v>151000</v>
      </c>
      <c r="T230" s="620">
        <v>3870</v>
      </c>
      <c r="U230" s="620">
        <v>4473</v>
      </c>
      <c r="V230" s="620">
        <v>3567147</v>
      </c>
      <c r="W230" s="620">
        <v>120</v>
      </c>
    </row>
    <row r="231" spans="1:23" x14ac:dyDescent="0.25">
      <c r="A231" s="620" t="s">
        <v>1224</v>
      </c>
      <c r="B231" s="620" t="s">
        <v>1225</v>
      </c>
      <c r="C231" s="620">
        <v>83</v>
      </c>
      <c r="D231" s="620">
        <v>223544</v>
      </c>
      <c r="E231" s="620">
        <v>677561864</v>
      </c>
      <c r="F231" s="620">
        <v>3190</v>
      </c>
      <c r="G231" s="620">
        <v>3031</v>
      </c>
      <c r="H231" s="620">
        <v>3031</v>
      </c>
      <c r="I231" s="620">
        <v>-159</v>
      </c>
      <c r="J231" s="620">
        <v>-4.9800000000000004</v>
      </c>
      <c r="K231" s="620">
        <v>3031</v>
      </c>
      <c r="L231" s="620">
        <v>-159</v>
      </c>
      <c r="M231" s="620">
        <v>-4.9800000000000004</v>
      </c>
      <c r="N231" s="620">
        <v>3031</v>
      </c>
      <c r="O231" s="620">
        <v>3031</v>
      </c>
      <c r="P231" s="620" t="s">
        <v>1226</v>
      </c>
      <c r="Q231" s="620" t="s">
        <v>1227</v>
      </c>
      <c r="R231" s="620">
        <v>0</v>
      </c>
      <c r="S231" s="620">
        <v>0</v>
      </c>
      <c r="T231" s="620">
        <v>0</v>
      </c>
      <c r="U231" s="620">
        <v>3031</v>
      </c>
      <c r="V231" s="620">
        <v>6321830</v>
      </c>
      <c r="W231" s="620">
        <v>180</v>
      </c>
    </row>
    <row r="232" spans="1:23" x14ac:dyDescent="0.25">
      <c r="A232" s="620" t="s">
        <v>1228</v>
      </c>
      <c r="B232" s="620" t="s">
        <v>1229</v>
      </c>
      <c r="C232" s="620">
        <v>0</v>
      </c>
      <c r="D232" s="620">
        <v>0</v>
      </c>
      <c r="E232" s="620">
        <v>0</v>
      </c>
      <c r="F232" s="620">
        <v>667</v>
      </c>
      <c r="G232" s="620">
        <v>0</v>
      </c>
      <c r="H232" s="620">
        <v>770</v>
      </c>
      <c r="I232" s="620">
        <v>103</v>
      </c>
      <c r="J232" s="620">
        <v>15.44</v>
      </c>
      <c r="K232" s="620">
        <v>667</v>
      </c>
      <c r="L232" s="620">
        <v>0</v>
      </c>
      <c r="M232" s="620">
        <v>0</v>
      </c>
      <c r="N232" s="620">
        <v>0</v>
      </c>
      <c r="O232" s="620">
        <v>0</v>
      </c>
      <c r="R232" s="620">
        <v>1</v>
      </c>
      <c r="S232" s="620">
        <v>4</v>
      </c>
      <c r="T232" s="620">
        <v>311</v>
      </c>
      <c r="U232" s="620">
        <v>700</v>
      </c>
      <c r="V232" s="620">
        <v>1</v>
      </c>
      <c r="W232" s="620">
        <v>1</v>
      </c>
    </row>
    <row r="233" spans="1:23" x14ac:dyDescent="0.25">
      <c r="A233" s="620" t="s">
        <v>1230</v>
      </c>
      <c r="B233" s="620" t="s">
        <v>1231</v>
      </c>
      <c r="C233" s="620">
        <v>218</v>
      </c>
      <c r="D233" s="620">
        <v>691839</v>
      </c>
      <c r="E233" s="620">
        <v>3425304889</v>
      </c>
      <c r="F233" s="620">
        <v>5211</v>
      </c>
      <c r="G233" s="620">
        <v>4951</v>
      </c>
      <c r="H233" s="620">
        <v>4951</v>
      </c>
      <c r="I233" s="620">
        <v>-260</v>
      </c>
      <c r="J233" s="620">
        <v>-4.99</v>
      </c>
      <c r="K233" s="620">
        <v>4951</v>
      </c>
      <c r="L233" s="620">
        <v>-260</v>
      </c>
      <c r="M233" s="620">
        <v>-4.99</v>
      </c>
      <c r="N233" s="620">
        <v>4951</v>
      </c>
      <c r="O233" s="620">
        <v>4952</v>
      </c>
      <c r="P233" s="620" t="s">
        <v>1232</v>
      </c>
      <c r="Q233" s="620" t="s">
        <v>1233</v>
      </c>
      <c r="R233" s="620">
        <v>0</v>
      </c>
      <c r="S233" s="620">
        <v>0</v>
      </c>
      <c r="T233" s="620">
        <v>0</v>
      </c>
      <c r="U233" s="620">
        <v>4951</v>
      </c>
      <c r="V233" s="620">
        <v>538813</v>
      </c>
      <c r="W233" s="620">
        <v>63</v>
      </c>
    </row>
    <row r="234" spans="1:23" x14ac:dyDescent="0.25">
      <c r="A234" s="620" t="s">
        <v>1234</v>
      </c>
      <c r="B234" s="620" t="s">
        <v>1235</v>
      </c>
      <c r="C234" s="620">
        <v>1</v>
      </c>
      <c r="D234" s="620">
        <v>1100</v>
      </c>
      <c r="E234" s="620">
        <v>1042800000</v>
      </c>
      <c r="F234" s="620">
        <v>958800</v>
      </c>
      <c r="G234" s="620">
        <v>948000</v>
      </c>
      <c r="H234" s="620">
        <v>948000</v>
      </c>
      <c r="I234" s="620">
        <v>-10800</v>
      </c>
      <c r="J234" s="620">
        <v>-1.1299999999999999</v>
      </c>
      <c r="K234" s="620">
        <v>948000</v>
      </c>
      <c r="L234" s="620">
        <v>-10800</v>
      </c>
      <c r="M234" s="620">
        <v>-1.1299999999999999</v>
      </c>
      <c r="N234" s="620">
        <v>948000</v>
      </c>
      <c r="O234" s="620">
        <v>948000</v>
      </c>
      <c r="R234" s="620">
        <v>1</v>
      </c>
      <c r="S234" s="620">
        <v>5150</v>
      </c>
      <c r="T234" s="620">
        <v>948000</v>
      </c>
      <c r="U234" s="620">
        <v>966960</v>
      </c>
      <c r="V234" s="620">
        <v>6250</v>
      </c>
      <c r="W234" s="620">
        <v>1</v>
      </c>
    </row>
    <row r="235" spans="1:23" x14ac:dyDescent="0.25">
      <c r="A235" s="620" t="s">
        <v>1236</v>
      </c>
      <c r="B235" s="620" t="s">
        <v>1237</v>
      </c>
      <c r="C235" s="620">
        <v>0</v>
      </c>
      <c r="D235" s="620">
        <v>0</v>
      </c>
      <c r="E235" s="620">
        <v>0</v>
      </c>
      <c r="F235" s="620">
        <v>10665</v>
      </c>
      <c r="G235" s="620">
        <v>10346</v>
      </c>
      <c r="H235" s="620">
        <v>10665</v>
      </c>
      <c r="I235" s="620">
        <v>0</v>
      </c>
      <c r="J235" s="620">
        <v>0</v>
      </c>
      <c r="K235" s="620">
        <v>10665</v>
      </c>
      <c r="L235" s="620">
        <v>0</v>
      </c>
      <c r="M235" s="620">
        <v>0</v>
      </c>
      <c r="N235" s="620">
        <v>10346</v>
      </c>
      <c r="O235" s="620">
        <v>10346</v>
      </c>
      <c r="P235" s="620" t="s">
        <v>1238</v>
      </c>
      <c r="Q235" s="620" t="s">
        <v>1239</v>
      </c>
      <c r="R235" s="620">
        <v>0</v>
      </c>
      <c r="S235" s="620">
        <v>0</v>
      </c>
      <c r="T235" s="620">
        <v>0</v>
      </c>
      <c r="U235" s="620">
        <v>10346</v>
      </c>
      <c r="V235" s="620">
        <v>111045</v>
      </c>
      <c r="W235" s="620">
        <v>19</v>
      </c>
    </row>
    <row r="236" spans="1:23" x14ac:dyDescent="0.25">
      <c r="A236" s="620" t="s">
        <v>1240</v>
      </c>
      <c r="B236" s="620" t="s">
        <v>1241</v>
      </c>
      <c r="C236" s="620">
        <v>484</v>
      </c>
      <c r="D236" s="620">
        <v>3098238</v>
      </c>
      <c r="E236" s="620">
        <v>18897533724</v>
      </c>
      <c r="F236" s="620">
        <v>6371</v>
      </c>
      <c r="G236" s="620">
        <v>6058</v>
      </c>
      <c r="H236" s="620">
        <v>6053</v>
      </c>
      <c r="I236" s="620">
        <v>-318</v>
      </c>
      <c r="J236" s="620">
        <v>-4.99</v>
      </c>
      <c r="K236" s="620">
        <v>6099</v>
      </c>
      <c r="L236" s="620">
        <v>-272</v>
      </c>
      <c r="M236" s="620">
        <v>-4.2699999999999996</v>
      </c>
      <c r="N236" s="620">
        <v>6053</v>
      </c>
      <c r="O236" s="620">
        <v>6347</v>
      </c>
      <c r="P236" s="620" t="s">
        <v>1242</v>
      </c>
      <c r="Q236" s="620" t="s">
        <v>1243</v>
      </c>
      <c r="R236" s="620">
        <v>0</v>
      </c>
      <c r="S236" s="620">
        <v>0</v>
      </c>
      <c r="T236" s="620">
        <v>0</v>
      </c>
      <c r="U236" s="620">
        <v>6053</v>
      </c>
      <c r="V236" s="620">
        <v>3768</v>
      </c>
      <c r="W236" s="620">
        <v>2</v>
      </c>
    </row>
    <row r="237" spans="1:23" x14ac:dyDescent="0.25">
      <c r="A237" s="620" t="s">
        <v>1244</v>
      </c>
      <c r="B237" s="620" t="s">
        <v>1245</v>
      </c>
      <c r="C237" s="620">
        <v>0</v>
      </c>
      <c r="D237" s="620">
        <v>0</v>
      </c>
      <c r="E237" s="620">
        <v>0</v>
      </c>
      <c r="F237" s="620">
        <v>1010000</v>
      </c>
      <c r="G237" s="620">
        <v>0</v>
      </c>
      <c r="H237" s="620">
        <v>1010000</v>
      </c>
      <c r="I237" s="620">
        <v>0</v>
      </c>
      <c r="J237" s="620">
        <v>0</v>
      </c>
      <c r="K237" s="620">
        <v>1010000</v>
      </c>
      <c r="L237" s="620">
        <v>0</v>
      </c>
      <c r="M237" s="620">
        <v>0</v>
      </c>
      <c r="N237" s="620">
        <v>0</v>
      </c>
      <c r="O237" s="620">
        <v>0</v>
      </c>
      <c r="R237" s="620">
        <v>1</v>
      </c>
      <c r="S237" s="620">
        <v>2500</v>
      </c>
      <c r="T237" s="620">
        <v>1000000</v>
      </c>
      <c r="U237" s="620">
        <v>1010000</v>
      </c>
      <c r="V237" s="620">
        <v>2500</v>
      </c>
      <c r="W237" s="620">
        <v>1</v>
      </c>
    </row>
    <row r="238" spans="1:23" x14ac:dyDescent="0.25">
      <c r="A238" s="620" t="s">
        <v>1246</v>
      </c>
      <c r="B238" s="620" t="s">
        <v>1247</v>
      </c>
      <c r="C238" s="620">
        <v>9</v>
      </c>
      <c r="D238" s="620">
        <v>221000</v>
      </c>
      <c r="E238" s="620">
        <v>213390000000</v>
      </c>
      <c r="F238" s="620">
        <v>972533</v>
      </c>
      <c r="G238" s="620">
        <v>970000</v>
      </c>
      <c r="H238" s="620">
        <v>965000</v>
      </c>
      <c r="I238" s="620">
        <v>-7533</v>
      </c>
      <c r="J238" s="620">
        <v>-0.77</v>
      </c>
      <c r="K238" s="620">
        <v>965566</v>
      </c>
      <c r="L238" s="620">
        <v>-6967</v>
      </c>
      <c r="M238" s="620">
        <v>-0.72</v>
      </c>
      <c r="N238" s="620">
        <v>965000</v>
      </c>
      <c r="O238" s="620">
        <v>970000</v>
      </c>
      <c r="R238" s="620">
        <v>1</v>
      </c>
      <c r="S238" s="620">
        <v>25000</v>
      </c>
      <c r="T238" s="620">
        <v>965000</v>
      </c>
      <c r="U238" s="620">
        <v>980000</v>
      </c>
      <c r="V238" s="620">
        <v>200</v>
      </c>
      <c r="W238" s="620">
        <v>1</v>
      </c>
    </row>
    <row r="239" spans="1:23" x14ac:dyDescent="0.25">
      <c r="A239" s="620" t="s">
        <v>1248</v>
      </c>
      <c r="B239" s="620" t="s">
        <v>1249</v>
      </c>
      <c r="C239" s="620">
        <v>235</v>
      </c>
      <c r="D239" s="620">
        <v>1653029</v>
      </c>
      <c r="E239" s="620">
        <v>2577072211</v>
      </c>
      <c r="F239" s="620">
        <v>1607</v>
      </c>
      <c r="G239" s="620">
        <v>1559</v>
      </c>
      <c r="H239" s="620">
        <v>1559</v>
      </c>
      <c r="I239" s="620">
        <v>-48</v>
      </c>
      <c r="J239" s="620">
        <v>-2.99</v>
      </c>
      <c r="K239" s="620">
        <v>1559</v>
      </c>
      <c r="L239" s="620">
        <v>-48</v>
      </c>
      <c r="M239" s="620">
        <v>-2.99</v>
      </c>
      <c r="N239" s="620">
        <v>1559</v>
      </c>
      <c r="O239" s="620">
        <v>1559</v>
      </c>
      <c r="P239" s="620" t="s">
        <v>1250</v>
      </c>
      <c r="Q239" s="620" t="s">
        <v>1251</v>
      </c>
      <c r="R239" s="620">
        <v>0</v>
      </c>
      <c r="S239" s="620">
        <v>0</v>
      </c>
      <c r="T239" s="620">
        <v>0</v>
      </c>
      <c r="U239" s="620">
        <v>1559</v>
      </c>
      <c r="V239" s="620">
        <v>11882496</v>
      </c>
      <c r="W239" s="620">
        <v>354</v>
      </c>
    </row>
    <row r="240" spans="1:23" x14ac:dyDescent="0.25">
      <c r="A240" s="620" t="s">
        <v>1252</v>
      </c>
      <c r="B240" s="620" t="s">
        <v>1253</v>
      </c>
      <c r="C240" s="620">
        <v>141</v>
      </c>
      <c r="D240" s="620">
        <v>67705</v>
      </c>
      <c r="E240" s="620">
        <v>1850986995</v>
      </c>
      <c r="F240" s="620">
        <v>28777</v>
      </c>
      <c r="G240" s="620">
        <v>27339</v>
      </c>
      <c r="H240" s="620">
        <v>27339</v>
      </c>
      <c r="I240" s="620">
        <v>-1438</v>
      </c>
      <c r="J240" s="620">
        <v>-5</v>
      </c>
      <c r="K240" s="620">
        <v>27560</v>
      </c>
      <c r="L240" s="620">
        <v>-1217</v>
      </c>
      <c r="M240" s="620">
        <v>-4.2300000000000004</v>
      </c>
      <c r="N240" s="620">
        <v>27339</v>
      </c>
      <c r="O240" s="620">
        <v>27339</v>
      </c>
      <c r="P240" s="620" t="s">
        <v>1254</v>
      </c>
      <c r="Q240" s="620" t="s">
        <v>1255</v>
      </c>
      <c r="R240" s="620">
        <v>1</v>
      </c>
      <c r="S240" s="620">
        <v>7578</v>
      </c>
      <c r="T240" s="620">
        <v>26258</v>
      </c>
      <c r="U240" s="620">
        <v>27339</v>
      </c>
      <c r="V240" s="620">
        <v>572694</v>
      </c>
      <c r="W240" s="620">
        <v>119</v>
      </c>
    </row>
    <row r="241" spans="1:23" x14ac:dyDescent="0.25">
      <c r="A241" s="620" t="s">
        <v>1256</v>
      </c>
      <c r="B241" s="620" t="s">
        <v>1257</v>
      </c>
      <c r="C241" s="620">
        <v>270</v>
      </c>
      <c r="D241" s="620">
        <v>308727</v>
      </c>
      <c r="E241" s="620">
        <v>8032520641</v>
      </c>
      <c r="F241" s="620">
        <v>26684</v>
      </c>
      <c r="G241" s="620">
        <v>25352</v>
      </c>
      <c r="H241" s="620">
        <v>26400</v>
      </c>
      <c r="I241" s="620">
        <v>-284</v>
      </c>
      <c r="J241" s="620">
        <v>-1.06</v>
      </c>
      <c r="K241" s="620">
        <v>26018</v>
      </c>
      <c r="L241" s="620">
        <v>-666</v>
      </c>
      <c r="M241" s="620">
        <v>-2.5</v>
      </c>
      <c r="N241" s="620">
        <v>25352</v>
      </c>
      <c r="O241" s="620">
        <v>27000</v>
      </c>
      <c r="P241" s="620" t="s">
        <v>1258</v>
      </c>
      <c r="Q241" s="620" t="s">
        <v>1259</v>
      </c>
      <c r="R241" s="620">
        <v>2</v>
      </c>
      <c r="S241" s="620">
        <v>1370</v>
      </c>
      <c r="T241" s="620">
        <v>25862</v>
      </c>
      <c r="U241" s="620">
        <v>26400</v>
      </c>
      <c r="V241" s="620">
        <v>715</v>
      </c>
      <c r="W241" s="620">
        <v>1</v>
      </c>
    </row>
    <row r="242" spans="1:23" x14ac:dyDescent="0.25">
      <c r="A242" s="620" t="s">
        <v>1260</v>
      </c>
      <c r="B242" s="620" t="s">
        <v>1261</v>
      </c>
      <c r="C242" s="620">
        <v>120</v>
      </c>
      <c r="D242" s="620">
        <v>135094</v>
      </c>
      <c r="E242" s="620">
        <v>3620152417</v>
      </c>
      <c r="F242" s="620">
        <v>25650</v>
      </c>
      <c r="G242" s="620">
        <v>24501</v>
      </c>
      <c r="H242" s="620">
        <v>26932</v>
      </c>
      <c r="I242" s="620">
        <v>1282</v>
      </c>
      <c r="J242" s="620">
        <v>5</v>
      </c>
      <c r="K242" s="620">
        <v>26797</v>
      </c>
      <c r="L242" s="620">
        <v>1147</v>
      </c>
      <c r="M242" s="620">
        <v>4.47</v>
      </c>
      <c r="N242" s="620">
        <v>24501</v>
      </c>
      <c r="O242" s="620">
        <v>26932</v>
      </c>
      <c r="P242" s="620" t="s">
        <v>1262</v>
      </c>
      <c r="Q242" s="620" t="s">
        <v>1263</v>
      </c>
      <c r="R242" s="620">
        <v>18</v>
      </c>
      <c r="S242" s="620">
        <v>132538</v>
      </c>
      <c r="T242" s="620">
        <v>26932</v>
      </c>
      <c r="U242" s="620">
        <v>27690</v>
      </c>
      <c r="V242" s="620">
        <v>700</v>
      </c>
      <c r="W242" s="620">
        <v>1</v>
      </c>
    </row>
    <row r="243" spans="1:23" x14ac:dyDescent="0.25">
      <c r="A243" s="620" t="s">
        <v>1264</v>
      </c>
      <c r="B243" s="620" t="s">
        <v>1265</v>
      </c>
      <c r="C243" s="620">
        <v>0</v>
      </c>
      <c r="D243" s="620">
        <v>0</v>
      </c>
      <c r="E243" s="620">
        <v>0</v>
      </c>
      <c r="F243" s="620">
        <v>1</v>
      </c>
      <c r="G243" s="620">
        <v>0</v>
      </c>
      <c r="H243" s="620">
        <v>1</v>
      </c>
      <c r="I243" s="620">
        <v>0</v>
      </c>
      <c r="J243" s="620">
        <v>0</v>
      </c>
      <c r="K243" s="620">
        <v>1</v>
      </c>
      <c r="L243" s="620">
        <v>0</v>
      </c>
      <c r="M243" s="620">
        <v>0</v>
      </c>
      <c r="N243" s="620">
        <v>0</v>
      </c>
      <c r="O243" s="620">
        <v>0</v>
      </c>
      <c r="R243" s="620">
        <v>1</v>
      </c>
      <c r="S243" s="620">
        <v>100</v>
      </c>
      <c r="T243" s="620">
        <v>200</v>
      </c>
      <c r="U243" s="620">
        <v>0</v>
      </c>
      <c r="V243" s="620">
        <v>0</v>
      </c>
      <c r="W243" s="620">
        <v>0</v>
      </c>
    </row>
    <row r="244" spans="1:23" x14ac:dyDescent="0.25">
      <c r="A244" s="620" t="s">
        <v>1266</v>
      </c>
      <c r="B244" s="620" t="s">
        <v>1267</v>
      </c>
      <c r="C244" s="620">
        <v>0</v>
      </c>
      <c r="D244" s="620">
        <v>0</v>
      </c>
      <c r="E244" s="620">
        <v>0</v>
      </c>
      <c r="F244" s="620">
        <v>3400</v>
      </c>
      <c r="G244" s="620">
        <v>0</v>
      </c>
      <c r="H244" s="620">
        <v>3400</v>
      </c>
      <c r="I244" s="620">
        <v>0</v>
      </c>
      <c r="J244" s="620">
        <v>0</v>
      </c>
      <c r="K244" s="620">
        <v>3400</v>
      </c>
      <c r="L244" s="620">
        <v>0</v>
      </c>
      <c r="M244" s="620">
        <v>0</v>
      </c>
      <c r="N244" s="620">
        <v>0</v>
      </c>
      <c r="O244" s="620">
        <v>0</v>
      </c>
      <c r="R244" s="620">
        <v>1</v>
      </c>
      <c r="S244" s="620">
        <v>2</v>
      </c>
      <c r="T244" s="620">
        <v>3401</v>
      </c>
      <c r="U244" s="620">
        <v>5499</v>
      </c>
      <c r="V244" s="620">
        <v>1</v>
      </c>
      <c r="W244" s="620">
        <v>1</v>
      </c>
    </row>
    <row r="245" spans="1:23" x14ac:dyDescent="0.25">
      <c r="A245" s="620" t="s">
        <v>1268</v>
      </c>
      <c r="B245" s="620" t="s">
        <v>1269</v>
      </c>
      <c r="C245" s="620">
        <v>259</v>
      </c>
      <c r="D245" s="620">
        <v>2038817</v>
      </c>
      <c r="E245" s="620">
        <v>10432095918</v>
      </c>
      <c r="F245" s="620">
        <v>5270</v>
      </c>
      <c r="G245" s="620">
        <v>5112</v>
      </c>
      <c r="H245" s="620">
        <v>5112</v>
      </c>
      <c r="I245" s="620">
        <v>-158</v>
      </c>
      <c r="J245" s="620">
        <v>-3</v>
      </c>
      <c r="K245" s="620">
        <v>5117</v>
      </c>
      <c r="L245" s="620">
        <v>-153</v>
      </c>
      <c r="M245" s="620">
        <v>-2.9</v>
      </c>
      <c r="N245" s="620">
        <v>5112</v>
      </c>
      <c r="O245" s="620">
        <v>5259</v>
      </c>
      <c r="P245" s="620" t="s">
        <v>1270</v>
      </c>
      <c r="Q245" s="620" t="s">
        <v>1271</v>
      </c>
      <c r="R245" s="620">
        <v>0</v>
      </c>
      <c r="S245" s="620">
        <v>0</v>
      </c>
      <c r="T245" s="620">
        <v>0</v>
      </c>
      <c r="U245" s="620">
        <v>5112</v>
      </c>
      <c r="V245" s="620">
        <v>25500</v>
      </c>
      <c r="W245" s="620">
        <v>4</v>
      </c>
    </row>
    <row r="246" spans="1:23" x14ac:dyDescent="0.25">
      <c r="A246" s="620" t="s">
        <v>1272</v>
      </c>
      <c r="B246" s="620" t="s">
        <v>1273</v>
      </c>
      <c r="C246" s="620">
        <v>0</v>
      </c>
      <c r="D246" s="620">
        <v>0</v>
      </c>
      <c r="E246" s="620">
        <v>0</v>
      </c>
      <c r="F246" s="620">
        <v>920</v>
      </c>
      <c r="G246" s="620">
        <v>0</v>
      </c>
      <c r="H246" s="620">
        <v>920</v>
      </c>
      <c r="I246" s="620">
        <v>0</v>
      </c>
      <c r="J246" s="620">
        <v>0</v>
      </c>
      <c r="K246" s="620">
        <v>920</v>
      </c>
      <c r="L246" s="620">
        <v>0</v>
      </c>
      <c r="M246" s="620">
        <v>0</v>
      </c>
      <c r="N246" s="620">
        <v>0</v>
      </c>
      <c r="O246" s="620">
        <v>0</v>
      </c>
      <c r="R246" s="620">
        <v>1</v>
      </c>
      <c r="S246" s="620">
        <v>4</v>
      </c>
      <c r="T246" s="620">
        <v>304</v>
      </c>
      <c r="U246" s="620">
        <v>0</v>
      </c>
      <c r="V246" s="620">
        <v>0</v>
      </c>
      <c r="W246" s="620">
        <v>0</v>
      </c>
    </row>
    <row r="247" spans="1:23" x14ac:dyDescent="0.25">
      <c r="A247" s="620" t="s">
        <v>1274</v>
      </c>
      <c r="B247" s="620" t="s">
        <v>1275</v>
      </c>
      <c r="C247" s="620">
        <v>122</v>
      </c>
      <c r="D247" s="620">
        <v>1213345</v>
      </c>
      <c r="E247" s="620">
        <v>2210714590</v>
      </c>
      <c r="F247" s="620">
        <v>1878</v>
      </c>
      <c r="G247" s="620">
        <v>1822</v>
      </c>
      <c r="H247" s="620">
        <v>1822</v>
      </c>
      <c r="I247" s="620">
        <v>-56</v>
      </c>
      <c r="J247" s="620">
        <v>-2.98</v>
      </c>
      <c r="K247" s="620">
        <v>1822</v>
      </c>
      <c r="L247" s="620">
        <v>-56</v>
      </c>
      <c r="M247" s="620">
        <v>-2.98</v>
      </c>
      <c r="N247" s="620">
        <v>1822</v>
      </c>
      <c r="O247" s="620">
        <v>1822</v>
      </c>
      <c r="P247" s="620" t="s">
        <v>1276</v>
      </c>
      <c r="Q247" s="620" t="s">
        <v>1277</v>
      </c>
      <c r="R247" s="620">
        <v>0</v>
      </c>
      <c r="S247" s="620">
        <v>0</v>
      </c>
      <c r="T247" s="620">
        <v>0</v>
      </c>
      <c r="U247" s="620">
        <v>1822</v>
      </c>
      <c r="V247" s="620">
        <v>1017595</v>
      </c>
      <c r="W247" s="620">
        <v>45</v>
      </c>
    </row>
    <row r="248" spans="1:23" x14ac:dyDescent="0.25">
      <c r="A248" s="620" t="s">
        <v>1278</v>
      </c>
      <c r="B248" s="620" t="s">
        <v>1279</v>
      </c>
      <c r="C248" s="620">
        <v>348</v>
      </c>
      <c r="D248" s="620">
        <v>1704071</v>
      </c>
      <c r="E248" s="620">
        <v>7063135114</v>
      </c>
      <c r="F248" s="620">
        <v>4346</v>
      </c>
      <c r="G248" s="620">
        <v>4129</v>
      </c>
      <c r="H248" s="620">
        <v>4129</v>
      </c>
      <c r="I248" s="620">
        <v>-217</v>
      </c>
      <c r="J248" s="620">
        <v>-4.99</v>
      </c>
      <c r="K248" s="620">
        <v>4145</v>
      </c>
      <c r="L248" s="620">
        <v>-201</v>
      </c>
      <c r="M248" s="620">
        <v>-4.62</v>
      </c>
      <c r="N248" s="620">
        <v>4129</v>
      </c>
      <c r="O248" s="620">
        <v>4284</v>
      </c>
      <c r="P248" s="620" t="s">
        <v>1280</v>
      </c>
      <c r="Q248" s="620" t="s">
        <v>1281</v>
      </c>
      <c r="R248" s="620">
        <v>0</v>
      </c>
      <c r="S248" s="620">
        <v>0</v>
      </c>
      <c r="T248" s="620">
        <v>0</v>
      </c>
      <c r="U248" s="620">
        <v>4129</v>
      </c>
      <c r="V248" s="620">
        <v>511685</v>
      </c>
      <c r="W248" s="620">
        <v>22</v>
      </c>
    </row>
    <row r="249" spans="1:23" x14ac:dyDescent="0.25">
      <c r="A249" s="620" t="s">
        <v>1282</v>
      </c>
      <c r="B249" s="620" t="s">
        <v>1283</v>
      </c>
      <c r="C249" s="620">
        <v>21</v>
      </c>
      <c r="D249" s="620">
        <v>95</v>
      </c>
      <c r="E249" s="620">
        <v>100655691</v>
      </c>
      <c r="F249" s="620">
        <v>1018146</v>
      </c>
      <c r="G249" s="620">
        <v>1000001</v>
      </c>
      <c r="H249" s="620">
        <v>1058887</v>
      </c>
      <c r="I249" s="620">
        <v>40741</v>
      </c>
      <c r="J249" s="620">
        <v>4</v>
      </c>
      <c r="K249" s="620">
        <v>1059534</v>
      </c>
      <c r="L249" s="620">
        <v>41388</v>
      </c>
      <c r="M249" s="620">
        <v>4.07</v>
      </c>
      <c r="N249" s="620">
        <v>967242</v>
      </c>
      <c r="O249" s="620">
        <v>1069052</v>
      </c>
      <c r="R249" s="620">
        <v>1</v>
      </c>
      <c r="S249" s="620">
        <v>4</v>
      </c>
      <c r="T249" s="620">
        <v>1024120</v>
      </c>
      <c r="U249" s="620">
        <v>1069052</v>
      </c>
      <c r="V249" s="620">
        <v>9</v>
      </c>
      <c r="W249" s="620">
        <v>1</v>
      </c>
    </row>
    <row r="250" spans="1:23" x14ac:dyDescent="0.25">
      <c r="A250" s="620" t="s">
        <v>1284</v>
      </c>
      <c r="B250" s="620" t="s">
        <v>1285</v>
      </c>
      <c r="C250" s="620">
        <v>2</v>
      </c>
      <c r="D250" s="620">
        <v>30</v>
      </c>
      <c r="E250" s="620">
        <v>104900000</v>
      </c>
      <c r="F250" s="620">
        <v>3497</v>
      </c>
      <c r="G250" s="620">
        <v>3490</v>
      </c>
      <c r="H250" s="620">
        <v>3500</v>
      </c>
      <c r="I250" s="620">
        <v>3</v>
      </c>
      <c r="J250" s="620">
        <v>0.09</v>
      </c>
      <c r="K250" s="620">
        <v>3497</v>
      </c>
      <c r="L250" s="620">
        <v>0</v>
      </c>
      <c r="M250" s="620">
        <v>0</v>
      </c>
      <c r="N250" s="620">
        <v>3490</v>
      </c>
      <c r="O250" s="620">
        <v>3500</v>
      </c>
      <c r="R250" s="620">
        <v>1</v>
      </c>
      <c r="S250" s="620">
        <v>100</v>
      </c>
      <c r="T250" s="620">
        <v>303</v>
      </c>
      <c r="U250" s="620">
        <v>0</v>
      </c>
      <c r="V250" s="620">
        <v>0</v>
      </c>
      <c r="W250" s="620">
        <v>0</v>
      </c>
    </row>
    <row r="251" spans="1:23" x14ac:dyDescent="0.25">
      <c r="A251" s="620" t="s">
        <v>1286</v>
      </c>
      <c r="B251" s="620" t="s">
        <v>1287</v>
      </c>
      <c r="C251" s="620">
        <v>59</v>
      </c>
      <c r="D251" s="620">
        <v>361335</v>
      </c>
      <c r="E251" s="620">
        <v>982469865</v>
      </c>
      <c r="F251" s="620">
        <v>2640</v>
      </c>
      <c r="G251" s="620">
        <v>2719</v>
      </c>
      <c r="H251" s="620">
        <v>2719</v>
      </c>
      <c r="I251" s="620">
        <v>79</v>
      </c>
      <c r="J251" s="620">
        <v>2.99</v>
      </c>
      <c r="K251" s="620">
        <v>2719</v>
      </c>
      <c r="L251" s="620">
        <v>79</v>
      </c>
      <c r="M251" s="620">
        <v>2.99</v>
      </c>
      <c r="N251" s="620">
        <v>2719</v>
      </c>
      <c r="O251" s="620">
        <v>2719</v>
      </c>
      <c r="P251" s="620" t="s">
        <v>1288</v>
      </c>
      <c r="Q251" s="620" t="s">
        <v>1289</v>
      </c>
      <c r="R251" s="620">
        <v>151</v>
      </c>
      <c r="S251" s="620">
        <v>934021</v>
      </c>
      <c r="T251" s="620">
        <v>2719</v>
      </c>
      <c r="U251" s="620">
        <v>0</v>
      </c>
      <c r="V251" s="620">
        <v>0</v>
      </c>
      <c r="W251" s="620">
        <v>0</v>
      </c>
    </row>
    <row r="252" spans="1:23" x14ac:dyDescent="0.25">
      <c r="A252" s="620" t="s">
        <v>1290</v>
      </c>
      <c r="B252" s="620" t="s">
        <v>1291</v>
      </c>
      <c r="C252" s="620">
        <v>0</v>
      </c>
      <c r="D252" s="620">
        <v>0</v>
      </c>
      <c r="E252" s="620">
        <v>0</v>
      </c>
      <c r="F252" s="620">
        <v>1</v>
      </c>
      <c r="G252" s="620">
        <v>0</v>
      </c>
      <c r="H252" s="620">
        <v>1</v>
      </c>
      <c r="I252" s="620">
        <v>0</v>
      </c>
      <c r="J252" s="620">
        <v>0</v>
      </c>
      <c r="K252" s="620">
        <v>1</v>
      </c>
      <c r="L252" s="620">
        <v>0</v>
      </c>
      <c r="M252" s="620">
        <v>0</v>
      </c>
      <c r="N252" s="620">
        <v>0</v>
      </c>
      <c r="O252" s="620">
        <v>0</v>
      </c>
      <c r="R252" s="620">
        <v>1</v>
      </c>
      <c r="S252" s="620">
        <v>100</v>
      </c>
      <c r="T252" s="620">
        <v>2</v>
      </c>
      <c r="U252" s="620">
        <v>0</v>
      </c>
      <c r="V252" s="620">
        <v>0</v>
      </c>
      <c r="W252" s="620">
        <v>0</v>
      </c>
    </row>
    <row r="253" spans="1:23" x14ac:dyDescent="0.25">
      <c r="A253" s="620" t="s">
        <v>1292</v>
      </c>
      <c r="B253" s="620" t="s">
        <v>1293</v>
      </c>
      <c r="C253" s="620">
        <v>5</v>
      </c>
      <c r="D253" s="620">
        <v>246</v>
      </c>
      <c r="E253" s="620">
        <v>63370000</v>
      </c>
      <c r="F253" s="620">
        <v>253</v>
      </c>
      <c r="G253" s="620">
        <v>300</v>
      </c>
      <c r="H253" s="620">
        <v>222</v>
      </c>
      <c r="I253" s="620">
        <v>-31</v>
      </c>
      <c r="J253" s="620">
        <v>-12.25</v>
      </c>
      <c r="K253" s="620">
        <v>258</v>
      </c>
      <c r="L253" s="620">
        <v>5</v>
      </c>
      <c r="M253" s="620">
        <v>1.98</v>
      </c>
      <c r="N253" s="620">
        <v>222</v>
      </c>
      <c r="O253" s="620">
        <v>300</v>
      </c>
      <c r="R253" s="620">
        <v>1</v>
      </c>
      <c r="S253" s="620">
        <v>100</v>
      </c>
      <c r="T253" s="620">
        <v>2</v>
      </c>
      <c r="U253" s="620">
        <v>666</v>
      </c>
      <c r="V253" s="620">
        <v>3</v>
      </c>
      <c r="W253" s="620">
        <v>1</v>
      </c>
    </row>
    <row r="254" spans="1:23" x14ac:dyDescent="0.25">
      <c r="A254" s="620" t="s">
        <v>1294</v>
      </c>
      <c r="B254" s="620" t="s">
        <v>1295</v>
      </c>
      <c r="C254" s="620">
        <v>218</v>
      </c>
      <c r="D254" s="620">
        <v>140765</v>
      </c>
      <c r="E254" s="620">
        <v>4711678963</v>
      </c>
      <c r="F254" s="620">
        <v>34238</v>
      </c>
      <c r="G254" s="620">
        <v>32527</v>
      </c>
      <c r="H254" s="620">
        <v>34493</v>
      </c>
      <c r="I254" s="620">
        <v>255</v>
      </c>
      <c r="J254" s="620">
        <v>0.74</v>
      </c>
      <c r="K254" s="620">
        <v>33596</v>
      </c>
      <c r="L254" s="620">
        <v>-642</v>
      </c>
      <c r="M254" s="620">
        <v>-1.88</v>
      </c>
      <c r="N254" s="620">
        <v>32527</v>
      </c>
      <c r="O254" s="620">
        <v>35300</v>
      </c>
      <c r="P254" s="620" t="s">
        <v>1296</v>
      </c>
      <c r="Q254" s="620" t="s">
        <v>1297</v>
      </c>
      <c r="R254" s="620">
        <v>1</v>
      </c>
      <c r="S254" s="620">
        <v>153</v>
      </c>
      <c r="T254" s="620">
        <v>33981</v>
      </c>
      <c r="U254" s="620">
        <v>34479</v>
      </c>
      <c r="V254" s="620">
        <v>1000</v>
      </c>
      <c r="W254" s="620">
        <v>1</v>
      </c>
    </row>
    <row r="255" spans="1:23" x14ac:dyDescent="0.25">
      <c r="A255" s="620" t="s">
        <v>1298</v>
      </c>
      <c r="B255" s="620" t="s">
        <v>1299</v>
      </c>
      <c r="C255" s="620">
        <v>17</v>
      </c>
      <c r="D255" s="620">
        <v>4771</v>
      </c>
      <c r="E255" s="620">
        <v>4710545958</v>
      </c>
      <c r="F255" s="620">
        <v>985815</v>
      </c>
      <c r="G255" s="620">
        <v>987274</v>
      </c>
      <c r="H255" s="620">
        <v>987372</v>
      </c>
      <c r="I255" s="620">
        <v>1557</v>
      </c>
      <c r="J255" s="620">
        <v>0.16</v>
      </c>
      <c r="K255" s="620">
        <v>987329</v>
      </c>
      <c r="L255" s="620">
        <v>1514</v>
      </c>
      <c r="M255" s="620">
        <v>0.15</v>
      </c>
      <c r="N255" s="620">
        <v>987274</v>
      </c>
      <c r="O255" s="620">
        <v>988999</v>
      </c>
      <c r="R255" s="620">
        <v>1</v>
      </c>
      <c r="S255" s="620">
        <v>654</v>
      </c>
      <c r="T255" s="620">
        <v>987370</v>
      </c>
      <c r="U255" s="620">
        <v>988997</v>
      </c>
      <c r="V255" s="620">
        <v>30</v>
      </c>
      <c r="W255" s="620">
        <v>1</v>
      </c>
    </row>
    <row r="256" spans="1:23" x14ac:dyDescent="0.25">
      <c r="A256" s="620" t="s">
        <v>1300</v>
      </c>
      <c r="B256" s="620" t="s">
        <v>1301</v>
      </c>
      <c r="C256" s="620">
        <v>233</v>
      </c>
      <c r="D256" s="620">
        <v>611659</v>
      </c>
      <c r="E256" s="620">
        <v>12051283771</v>
      </c>
      <c r="F256" s="620">
        <v>20738</v>
      </c>
      <c r="G256" s="620">
        <v>19702</v>
      </c>
      <c r="H256" s="620">
        <v>19702</v>
      </c>
      <c r="I256" s="620">
        <v>-1036</v>
      </c>
      <c r="J256" s="620">
        <v>-5</v>
      </c>
      <c r="K256" s="620">
        <v>19703</v>
      </c>
      <c r="L256" s="620">
        <v>-1035</v>
      </c>
      <c r="M256" s="620">
        <v>-4.99</v>
      </c>
      <c r="N256" s="620">
        <v>19702</v>
      </c>
      <c r="O256" s="620">
        <v>19960</v>
      </c>
      <c r="P256" s="620" t="s">
        <v>1302</v>
      </c>
      <c r="Q256" s="620" t="s">
        <v>1303</v>
      </c>
      <c r="R256" s="620">
        <v>0</v>
      </c>
      <c r="S256" s="620">
        <v>0</v>
      </c>
      <c r="T256" s="620">
        <v>0</v>
      </c>
      <c r="U256" s="620">
        <v>19702</v>
      </c>
      <c r="V256" s="620">
        <v>356</v>
      </c>
      <c r="W256" s="620">
        <v>2</v>
      </c>
    </row>
    <row r="257" spans="1:23" x14ac:dyDescent="0.25">
      <c r="A257" s="620" t="s">
        <v>1304</v>
      </c>
      <c r="B257" s="620" t="s">
        <v>1305</v>
      </c>
      <c r="C257" s="620">
        <v>0</v>
      </c>
      <c r="D257" s="620">
        <v>0</v>
      </c>
      <c r="E257" s="620">
        <v>0</v>
      </c>
      <c r="F257" s="620">
        <v>870</v>
      </c>
      <c r="G257" s="620">
        <v>0</v>
      </c>
      <c r="H257" s="620">
        <v>869</v>
      </c>
      <c r="I257" s="620">
        <v>-1</v>
      </c>
      <c r="J257" s="620">
        <v>-0.11</v>
      </c>
      <c r="K257" s="620">
        <v>870</v>
      </c>
      <c r="L257" s="620">
        <v>0</v>
      </c>
      <c r="M257" s="620">
        <v>0</v>
      </c>
      <c r="N257" s="620">
        <v>0</v>
      </c>
      <c r="O257" s="620">
        <v>0</v>
      </c>
      <c r="R257" s="620">
        <v>1</v>
      </c>
      <c r="S257" s="620">
        <v>4</v>
      </c>
      <c r="T257" s="620">
        <v>300</v>
      </c>
      <c r="U257" s="620">
        <v>859</v>
      </c>
      <c r="V257" s="620">
        <v>5</v>
      </c>
      <c r="W257" s="620">
        <v>1</v>
      </c>
    </row>
    <row r="258" spans="1:23" x14ac:dyDescent="0.25">
      <c r="A258" s="620" t="s">
        <v>1306</v>
      </c>
      <c r="B258" s="620" t="s">
        <v>1307</v>
      </c>
      <c r="C258" s="620">
        <v>0</v>
      </c>
      <c r="D258" s="620">
        <v>0</v>
      </c>
      <c r="E258" s="620">
        <v>0</v>
      </c>
      <c r="F258" s="620">
        <v>9850</v>
      </c>
      <c r="G258" s="620">
        <v>0</v>
      </c>
      <c r="H258" s="620">
        <v>9850</v>
      </c>
      <c r="I258" s="620">
        <v>0</v>
      </c>
      <c r="J258" s="620">
        <v>0</v>
      </c>
      <c r="K258" s="620">
        <v>9850</v>
      </c>
      <c r="L258" s="620">
        <v>0</v>
      </c>
      <c r="M258" s="620">
        <v>0</v>
      </c>
      <c r="N258" s="620">
        <v>0</v>
      </c>
      <c r="O258" s="620">
        <v>0</v>
      </c>
      <c r="R258" s="620">
        <v>3</v>
      </c>
      <c r="S258" s="620">
        <v>300</v>
      </c>
      <c r="T258" s="620">
        <v>100</v>
      </c>
      <c r="U258" s="620">
        <v>0</v>
      </c>
      <c r="V258" s="620">
        <v>0</v>
      </c>
      <c r="W258" s="620">
        <v>0</v>
      </c>
    </row>
    <row r="259" spans="1:23" x14ac:dyDescent="0.25">
      <c r="A259" s="620" t="s">
        <v>1308</v>
      </c>
      <c r="B259" s="620" t="s">
        <v>1309</v>
      </c>
      <c r="C259" s="620">
        <v>41</v>
      </c>
      <c r="D259" s="620">
        <v>38777</v>
      </c>
      <c r="E259" s="620">
        <v>211993859</v>
      </c>
      <c r="F259" s="620">
        <v>5636</v>
      </c>
      <c r="G259" s="620">
        <v>5467</v>
      </c>
      <c r="H259" s="620">
        <v>5467</v>
      </c>
      <c r="I259" s="620">
        <v>-169</v>
      </c>
      <c r="J259" s="620">
        <v>-3</v>
      </c>
      <c r="K259" s="620">
        <v>5467</v>
      </c>
      <c r="L259" s="620">
        <v>-169</v>
      </c>
      <c r="M259" s="620">
        <v>-3</v>
      </c>
      <c r="N259" s="620">
        <v>5467</v>
      </c>
      <c r="O259" s="620">
        <v>5467</v>
      </c>
      <c r="P259" s="620" t="s">
        <v>1310</v>
      </c>
      <c r="Q259" s="620" t="s">
        <v>1311</v>
      </c>
      <c r="R259" s="620">
        <v>0</v>
      </c>
      <c r="S259" s="620">
        <v>0</v>
      </c>
      <c r="T259" s="620">
        <v>0</v>
      </c>
      <c r="U259" s="620">
        <v>5467</v>
      </c>
      <c r="V259" s="620">
        <v>109849</v>
      </c>
      <c r="W259" s="620">
        <v>26</v>
      </c>
    </row>
    <row r="260" spans="1:23" x14ac:dyDescent="0.25">
      <c r="A260" s="620" t="s">
        <v>1312</v>
      </c>
      <c r="B260" s="620" t="s">
        <v>1313</v>
      </c>
      <c r="C260" s="620">
        <v>586</v>
      </c>
      <c r="D260" s="620">
        <v>1385537</v>
      </c>
      <c r="E260" s="620">
        <v>59317241072</v>
      </c>
      <c r="F260" s="620">
        <v>44036</v>
      </c>
      <c r="G260" s="620">
        <v>42720</v>
      </c>
      <c r="H260" s="620">
        <v>42800</v>
      </c>
      <c r="I260" s="620">
        <v>-1236</v>
      </c>
      <c r="J260" s="620">
        <v>-2.81</v>
      </c>
      <c r="K260" s="620">
        <v>42812</v>
      </c>
      <c r="L260" s="620">
        <v>-1224</v>
      </c>
      <c r="M260" s="620">
        <v>-2.78</v>
      </c>
      <c r="N260" s="620">
        <v>42715</v>
      </c>
      <c r="O260" s="620">
        <v>43400</v>
      </c>
      <c r="P260" s="620" t="s">
        <v>1314</v>
      </c>
      <c r="Q260" s="620" t="s">
        <v>1315</v>
      </c>
      <c r="R260" s="620">
        <v>3</v>
      </c>
      <c r="S260" s="620">
        <v>316</v>
      </c>
      <c r="T260" s="620">
        <v>42800</v>
      </c>
      <c r="U260" s="620">
        <v>42862</v>
      </c>
      <c r="V260" s="620">
        <v>6620</v>
      </c>
      <c r="W260" s="620">
        <v>2</v>
      </c>
    </row>
    <row r="261" spans="1:23" x14ac:dyDescent="0.25">
      <c r="A261" s="620" t="s">
        <v>1316</v>
      </c>
      <c r="B261" s="620" t="s">
        <v>1317</v>
      </c>
      <c r="C261" s="620">
        <v>0</v>
      </c>
      <c r="D261" s="620">
        <v>0</v>
      </c>
      <c r="E261" s="620">
        <v>0</v>
      </c>
      <c r="F261" s="620">
        <v>1</v>
      </c>
      <c r="G261" s="620">
        <v>0</v>
      </c>
      <c r="H261" s="620">
        <v>1</v>
      </c>
      <c r="I261" s="620">
        <v>0</v>
      </c>
      <c r="J261" s="620">
        <v>0</v>
      </c>
      <c r="K261" s="620">
        <v>1</v>
      </c>
      <c r="L261" s="620">
        <v>0</v>
      </c>
      <c r="M261" s="620">
        <v>0</v>
      </c>
      <c r="N261" s="620">
        <v>0</v>
      </c>
      <c r="O261" s="620">
        <v>0</v>
      </c>
      <c r="R261" s="620">
        <v>1</v>
      </c>
      <c r="S261" s="620">
        <v>5</v>
      </c>
      <c r="T261" s="620">
        <v>50</v>
      </c>
      <c r="U261" s="620">
        <v>0</v>
      </c>
      <c r="V261" s="620">
        <v>0</v>
      </c>
      <c r="W261" s="620">
        <v>0</v>
      </c>
    </row>
    <row r="262" spans="1:23" x14ac:dyDescent="0.25">
      <c r="A262" s="620" t="s">
        <v>1318</v>
      </c>
      <c r="B262" s="620" t="s">
        <v>1319</v>
      </c>
      <c r="C262" s="620">
        <v>294</v>
      </c>
      <c r="D262" s="620">
        <v>2468384</v>
      </c>
      <c r="E262" s="620">
        <v>5230505696</v>
      </c>
      <c r="F262" s="620">
        <v>2230</v>
      </c>
      <c r="G262" s="620">
        <v>2119</v>
      </c>
      <c r="H262" s="620">
        <v>2119</v>
      </c>
      <c r="I262" s="620">
        <v>-111</v>
      </c>
      <c r="J262" s="620">
        <v>-4.9800000000000004</v>
      </c>
      <c r="K262" s="620">
        <v>2119</v>
      </c>
      <c r="L262" s="620">
        <v>-111</v>
      </c>
      <c r="M262" s="620">
        <v>-4.9800000000000004</v>
      </c>
      <c r="N262" s="620">
        <v>2119</v>
      </c>
      <c r="O262" s="620">
        <v>2119</v>
      </c>
      <c r="P262" s="620" t="s">
        <v>1320</v>
      </c>
      <c r="Q262" s="620" t="s">
        <v>1321</v>
      </c>
      <c r="R262" s="620">
        <v>1</v>
      </c>
      <c r="S262" s="620">
        <v>23487</v>
      </c>
      <c r="T262" s="620">
        <v>2119</v>
      </c>
      <c r="U262" s="620">
        <v>2119</v>
      </c>
      <c r="V262" s="620">
        <v>3867592</v>
      </c>
      <c r="W262" s="620">
        <v>127</v>
      </c>
    </row>
    <row r="263" spans="1:23" x14ac:dyDescent="0.25">
      <c r="A263" s="620" t="s">
        <v>1322</v>
      </c>
      <c r="B263" s="620" t="s">
        <v>1323</v>
      </c>
      <c r="C263" s="620">
        <v>242</v>
      </c>
      <c r="D263" s="620">
        <v>898894</v>
      </c>
      <c r="E263" s="620">
        <v>2944834178</v>
      </c>
      <c r="F263" s="620">
        <v>3347</v>
      </c>
      <c r="G263" s="620">
        <v>3260</v>
      </c>
      <c r="H263" s="620">
        <v>3257</v>
      </c>
      <c r="I263" s="620">
        <v>-90</v>
      </c>
      <c r="J263" s="620">
        <v>-2.69</v>
      </c>
      <c r="K263" s="620">
        <v>3312</v>
      </c>
      <c r="L263" s="620">
        <v>-35</v>
      </c>
      <c r="M263" s="620">
        <v>-1.05</v>
      </c>
      <c r="N263" s="620">
        <v>3238</v>
      </c>
      <c r="O263" s="620">
        <v>3350</v>
      </c>
      <c r="P263" s="620" t="s">
        <v>1324</v>
      </c>
      <c r="Q263" s="620" t="s">
        <v>1325</v>
      </c>
      <c r="R263" s="620">
        <v>1</v>
      </c>
      <c r="S263" s="620">
        <v>2000</v>
      </c>
      <c r="T263" s="620">
        <v>3250</v>
      </c>
      <c r="U263" s="620">
        <v>3287</v>
      </c>
      <c r="V263" s="620">
        <v>100</v>
      </c>
      <c r="W263" s="620">
        <v>1</v>
      </c>
    </row>
    <row r="264" spans="1:23" x14ac:dyDescent="0.25">
      <c r="A264" s="620" t="s">
        <v>1326</v>
      </c>
      <c r="B264" s="620" t="s">
        <v>1327</v>
      </c>
      <c r="C264" s="620">
        <v>57</v>
      </c>
      <c r="D264" s="620">
        <v>148704</v>
      </c>
      <c r="E264" s="620">
        <v>330271584</v>
      </c>
      <c r="F264" s="620">
        <v>2337</v>
      </c>
      <c r="G264" s="620">
        <v>2221</v>
      </c>
      <c r="H264" s="620">
        <v>2221</v>
      </c>
      <c r="I264" s="620">
        <v>-116</v>
      </c>
      <c r="J264" s="620">
        <v>-4.96</v>
      </c>
      <c r="K264" s="620">
        <v>2221</v>
      </c>
      <c r="L264" s="620">
        <v>-116</v>
      </c>
      <c r="M264" s="620">
        <v>-4.96</v>
      </c>
      <c r="N264" s="620">
        <v>2221</v>
      </c>
      <c r="O264" s="620">
        <v>2221</v>
      </c>
      <c r="P264" s="620" t="s">
        <v>1328</v>
      </c>
      <c r="Q264" s="620" t="s">
        <v>1329</v>
      </c>
      <c r="R264" s="620">
        <v>1</v>
      </c>
      <c r="S264" s="620">
        <v>500</v>
      </c>
      <c r="T264" s="620">
        <v>2134</v>
      </c>
      <c r="U264" s="620">
        <v>2221</v>
      </c>
      <c r="V264" s="620">
        <v>1319653</v>
      </c>
      <c r="W264" s="620">
        <v>88</v>
      </c>
    </row>
    <row r="265" spans="1:23" x14ac:dyDescent="0.25">
      <c r="A265" s="620" t="s">
        <v>1330</v>
      </c>
      <c r="B265" s="620" t="s">
        <v>1331</v>
      </c>
      <c r="C265" s="620">
        <v>1</v>
      </c>
      <c r="D265" s="620">
        <v>5</v>
      </c>
      <c r="E265" s="620">
        <v>1039775</v>
      </c>
      <c r="F265" s="620">
        <v>207955</v>
      </c>
      <c r="G265" s="620">
        <v>207955</v>
      </c>
      <c r="H265" s="620">
        <v>207955</v>
      </c>
      <c r="I265" s="620">
        <v>0</v>
      </c>
      <c r="J265" s="620">
        <v>0</v>
      </c>
      <c r="K265" s="620">
        <v>207955</v>
      </c>
      <c r="L265" s="620">
        <v>0</v>
      </c>
      <c r="M265" s="620">
        <v>0</v>
      </c>
      <c r="N265" s="620">
        <v>207955</v>
      </c>
      <c r="O265" s="620">
        <v>207955</v>
      </c>
      <c r="R265" s="620">
        <v>0</v>
      </c>
      <c r="S265" s="620">
        <v>0</v>
      </c>
      <c r="T265" s="620">
        <v>0</v>
      </c>
      <c r="U265" s="620">
        <v>284880</v>
      </c>
      <c r="V265" s="620">
        <v>4</v>
      </c>
      <c r="W265" s="620">
        <v>1</v>
      </c>
    </row>
    <row r="266" spans="1:23" x14ac:dyDescent="0.25">
      <c r="A266" s="620" t="s">
        <v>1332</v>
      </c>
      <c r="B266" s="620" t="s">
        <v>1333</v>
      </c>
      <c r="C266" s="620">
        <v>40</v>
      </c>
      <c r="D266" s="620">
        <v>301248</v>
      </c>
      <c r="E266" s="620">
        <v>702209088</v>
      </c>
      <c r="F266" s="620">
        <v>2453</v>
      </c>
      <c r="G266" s="620">
        <v>2331</v>
      </c>
      <c r="H266" s="620">
        <v>2331</v>
      </c>
      <c r="I266" s="620">
        <v>-122</v>
      </c>
      <c r="J266" s="620">
        <v>-4.97</v>
      </c>
      <c r="K266" s="620">
        <v>2438</v>
      </c>
      <c r="L266" s="620">
        <v>-15</v>
      </c>
      <c r="M266" s="620">
        <v>-0.61</v>
      </c>
      <c r="N266" s="620">
        <v>2331</v>
      </c>
      <c r="O266" s="620">
        <v>2331</v>
      </c>
      <c r="P266" s="620" t="s">
        <v>1334</v>
      </c>
      <c r="Q266" s="620" t="s">
        <v>1335</v>
      </c>
      <c r="R266" s="620">
        <v>0</v>
      </c>
      <c r="S266" s="620">
        <v>0</v>
      </c>
      <c r="T266" s="620">
        <v>0</v>
      </c>
      <c r="U266" s="620">
        <v>2331</v>
      </c>
      <c r="V266" s="620">
        <v>3600924</v>
      </c>
      <c r="W266" s="620">
        <v>123</v>
      </c>
    </row>
    <row r="267" spans="1:23" x14ac:dyDescent="0.25">
      <c r="A267" s="620" t="s">
        <v>1336</v>
      </c>
      <c r="B267" s="620" t="s">
        <v>1337</v>
      </c>
      <c r="C267" s="620">
        <v>261</v>
      </c>
      <c r="D267" s="620">
        <v>1469288</v>
      </c>
      <c r="E267" s="620">
        <v>8917070358</v>
      </c>
      <c r="F267" s="620">
        <v>6387</v>
      </c>
      <c r="G267" s="620">
        <v>6068</v>
      </c>
      <c r="H267" s="620">
        <v>6068</v>
      </c>
      <c r="I267" s="620">
        <v>-319</v>
      </c>
      <c r="J267" s="620">
        <v>-4.99</v>
      </c>
      <c r="K267" s="620">
        <v>6069</v>
      </c>
      <c r="L267" s="620">
        <v>-318</v>
      </c>
      <c r="M267" s="620">
        <v>-4.9800000000000004</v>
      </c>
      <c r="N267" s="620">
        <v>6068</v>
      </c>
      <c r="O267" s="620">
        <v>6280</v>
      </c>
      <c r="P267" s="620" t="s">
        <v>1338</v>
      </c>
      <c r="Q267" s="620" t="s">
        <v>1339</v>
      </c>
      <c r="R267" s="620">
        <v>1</v>
      </c>
      <c r="S267" s="620">
        <v>20000</v>
      </c>
      <c r="T267" s="620">
        <v>5905</v>
      </c>
      <c r="U267" s="620">
        <v>6068</v>
      </c>
      <c r="V267" s="620">
        <v>1232208</v>
      </c>
      <c r="W267" s="620">
        <v>64</v>
      </c>
    </row>
    <row r="268" spans="1:23" x14ac:dyDescent="0.25">
      <c r="A268" s="620" t="s">
        <v>1340</v>
      </c>
      <c r="B268" s="620" t="s">
        <v>1341</v>
      </c>
      <c r="C268" s="620">
        <v>84</v>
      </c>
      <c r="D268" s="620">
        <v>571698</v>
      </c>
      <c r="E268" s="620">
        <v>2678976828</v>
      </c>
      <c r="F268" s="620">
        <v>4781</v>
      </c>
      <c r="G268" s="620">
        <v>4686</v>
      </c>
      <c r="H268" s="620">
        <v>4686</v>
      </c>
      <c r="I268" s="620">
        <v>-95</v>
      </c>
      <c r="J268" s="620">
        <v>-1.99</v>
      </c>
      <c r="K268" s="620">
        <v>4686</v>
      </c>
      <c r="L268" s="620">
        <v>-95</v>
      </c>
      <c r="M268" s="620">
        <v>-1.99</v>
      </c>
      <c r="N268" s="620">
        <v>4686</v>
      </c>
      <c r="O268" s="620">
        <v>4686</v>
      </c>
      <c r="P268" s="620" t="s">
        <v>1342</v>
      </c>
      <c r="Q268" s="620" t="s">
        <v>1343</v>
      </c>
      <c r="R268" s="620">
        <v>0</v>
      </c>
      <c r="S268" s="620">
        <v>0</v>
      </c>
      <c r="T268" s="620">
        <v>0</v>
      </c>
      <c r="U268" s="620">
        <v>4686</v>
      </c>
      <c r="V268" s="620">
        <v>12055</v>
      </c>
      <c r="W268" s="620">
        <v>8</v>
      </c>
    </row>
    <row r="269" spans="1:23" x14ac:dyDescent="0.25">
      <c r="A269" s="620" t="s">
        <v>1344</v>
      </c>
      <c r="B269" s="620" t="s">
        <v>1345</v>
      </c>
      <c r="C269" s="620">
        <v>759</v>
      </c>
      <c r="D269" s="620">
        <v>10094783</v>
      </c>
      <c r="E269" s="620">
        <v>21055563915</v>
      </c>
      <c r="F269" s="620">
        <v>2193</v>
      </c>
      <c r="G269" s="620">
        <v>2084</v>
      </c>
      <c r="H269" s="620">
        <v>2084</v>
      </c>
      <c r="I269" s="620">
        <v>-109</v>
      </c>
      <c r="J269" s="620">
        <v>-4.97</v>
      </c>
      <c r="K269" s="620">
        <v>2086</v>
      </c>
      <c r="L269" s="620">
        <v>-107</v>
      </c>
      <c r="M269" s="620">
        <v>-4.88</v>
      </c>
      <c r="N269" s="620">
        <v>2084</v>
      </c>
      <c r="O269" s="620">
        <v>2186</v>
      </c>
      <c r="P269" s="620" t="s">
        <v>1346</v>
      </c>
      <c r="Q269" s="620" t="s">
        <v>1347</v>
      </c>
      <c r="R269" s="620">
        <v>0</v>
      </c>
      <c r="S269" s="620">
        <v>0</v>
      </c>
      <c r="T269" s="620">
        <v>0</v>
      </c>
      <c r="U269" s="620">
        <v>2084</v>
      </c>
      <c r="V269" s="620">
        <v>2130715</v>
      </c>
      <c r="W269" s="620">
        <v>64</v>
      </c>
    </row>
    <row r="270" spans="1:23" x14ac:dyDescent="0.25">
      <c r="A270" s="620" t="s">
        <v>1348</v>
      </c>
      <c r="B270" s="620" t="s">
        <v>1349</v>
      </c>
      <c r="C270" s="620">
        <v>286</v>
      </c>
      <c r="D270" s="620">
        <v>253843</v>
      </c>
      <c r="E270" s="620">
        <v>5800945864</v>
      </c>
      <c r="F270" s="620">
        <v>23961</v>
      </c>
      <c r="G270" s="620">
        <v>22763</v>
      </c>
      <c r="H270" s="620">
        <v>22763</v>
      </c>
      <c r="I270" s="620">
        <v>-1198</v>
      </c>
      <c r="J270" s="620">
        <v>-5</v>
      </c>
      <c r="K270" s="620">
        <v>22852</v>
      </c>
      <c r="L270" s="620">
        <v>-1109</v>
      </c>
      <c r="M270" s="620">
        <v>-4.63</v>
      </c>
      <c r="N270" s="620">
        <v>22763</v>
      </c>
      <c r="O270" s="620">
        <v>24199</v>
      </c>
      <c r="P270" s="620" t="s">
        <v>1350</v>
      </c>
      <c r="Q270" s="620" t="s">
        <v>1351</v>
      </c>
      <c r="R270" s="620">
        <v>0</v>
      </c>
      <c r="S270" s="620">
        <v>0</v>
      </c>
      <c r="T270" s="620">
        <v>0</v>
      </c>
      <c r="U270" s="620">
        <v>22763</v>
      </c>
      <c r="V270" s="620">
        <v>44759</v>
      </c>
      <c r="W270" s="620">
        <v>24</v>
      </c>
    </row>
    <row r="271" spans="1:23" x14ac:dyDescent="0.25">
      <c r="A271" s="620" t="s">
        <v>1352</v>
      </c>
      <c r="B271" s="620" t="s">
        <v>1353</v>
      </c>
      <c r="C271" s="620">
        <v>2409</v>
      </c>
      <c r="D271" s="620">
        <v>13895690</v>
      </c>
      <c r="E271" s="620">
        <v>73752430030</v>
      </c>
      <c r="F271" s="620">
        <v>5207</v>
      </c>
      <c r="G271" s="620">
        <v>5300</v>
      </c>
      <c r="H271" s="620">
        <v>5270</v>
      </c>
      <c r="I271" s="620">
        <v>63</v>
      </c>
      <c r="J271" s="620">
        <v>1.21</v>
      </c>
      <c r="K271" s="620">
        <v>5308</v>
      </c>
      <c r="L271" s="620">
        <v>101</v>
      </c>
      <c r="M271" s="620">
        <v>1.94</v>
      </c>
      <c r="N271" s="620">
        <v>5260</v>
      </c>
      <c r="O271" s="620">
        <v>5336</v>
      </c>
      <c r="P271" s="620" t="s">
        <v>627</v>
      </c>
      <c r="R271" s="620">
        <v>1</v>
      </c>
      <c r="S271" s="620">
        <v>1000</v>
      </c>
      <c r="T271" s="620">
        <v>5270</v>
      </c>
      <c r="U271" s="620">
        <v>5270</v>
      </c>
      <c r="V271" s="620">
        <v>98627</v>
      </c>
      <c r="W271" s="620">
        <v>2</v>
      </c>
    </row>
    <row r="272" spans="1:23" x14ac:dyDescent="0.25">
      <c r="A272" s="620" t="s">
        <v>1354</v>
      </c>
      <c r="B272" s="620" t="s">
        <v>1355</v>
      </c>
      <c r="C272" s="620">
        <v>118</v>
      </c>
      <c r="D272" s="620">
        <v>868625</v>
      </c>
      <c r="E272" s="620">
        <v>3278567202</v>
      </c>
      <c r="F272" s="620">
        <v>3770</v>
      </c>
      <c r="G272" s="620">
        <v>3797</v>
      </c>
      <c r="H272" s="620">
        <v>3762</v>
      </c>
      <c r="I272" s="620">
        <v>-8</v>
      </c>
      <c r="J272" s="620">
        <v>-0.21</v>
      </c>
      <c r="K272" s="620">
        <v>3774</v>
      </c>
      <c r="L272" s="620">
        <v>4</v>
      </c>
      <c r="M272" s="620">
        <v>0.11</v>
      </c>
      <c r="N272" s="620">
        <v>3701</v>
      </c>
      <c r="O272" s="620">
        <v>3884</v>
      </c>
      <c r="P272" s="620" t="s">
        <v>1356</v>
      </c>
      <c r="Q272" s="620" t="s">
        <v>1357</v>
      </c>
      <c r="R272" s="620">
        <v>1</v>
      </c>
      <c r="S272" s="620">
        <v>249</v>
      </c>
      <c r="T272" s="620">
        <v>3751</v>
      </c>
      <c r="U272" s="620">
        <v>3751</v>
      </c>
      <c r="V272" s="620">
        <v>477</v>
      </c>
      <c r="W272" s="620">
        <v>1</v>
      </c>
    </row>
    <row r="273" spans="1:23" x14ac:dyDescent="0.25">
      <c r="A273" s="620" t="s">
        <v>1358</v>
      </c>
      <c r="B273" s="620" t="s">
        <v>1359</v>
      </c>
      <c r="C273" s="620">
        <v>58</v>
      </c>
      <c r="D273" s="620">
        <v>105409</v>
      </c>
      <c r="E273" s="620">
        <v>76432369542</v>
      </c>
      <c r="F273" s="620">
        <v>723058</v>
      </c>
      <c r="G273" s="620">
        <v>723000</v>
      </c>
      <c r="H273" s="620">
        <v>728000</v>
      </c>
      <c r="I273" s="620">
        <v>4942</v>
      </c>
      <c r="J273" s="620">
        <v>0.68</v>
      </c>
      <c r="K273" s="620">
        <v>725103</v>
      </c>
      <c r="L273" s="620">
        <v>2045</v>
      </c>
      <c r="M273" s="620">
        <v>0.28000000000000003</v>
      </c>
      <c r="N273" s="620">
        <v>722001</v>
      </c>
      <c r="O273" s="620">
        <v>729000</v>
      </c>
      <c r="R273" s="620">
        <v>1</v>
      </c>
      <c r="S273" s="620">
        <v>58</v>
      </c>
      <c r="T273" s="620">
        <v>726250</v>
      </c>
      <c r="U273" s="620">
        <v>729000</v>
      </c>
      <c r="V273" s="620">
        <v>485</v>
      </c>
      <c r="W273" s="620">
        <v>1</v>
      </c>
    </row>
    <row r="274" spans="1:23" x14ac:dyDescent="0.25">
      <c r="A274" s="620" t="s">
        <v>1360</v>
      </c>
      <c r="B274" s="620" t="s">
        <v>1361</v>
      </c>
      <c r="C274" s="620">
        <v>213</v>
      </c>
      <c r="D274" s="620">
        <v>666296</v>
      </c>
      <c r="E274" s="620">
        <v>4363572504</v>
      </c>
      <c r="F274" s="620">
        <v>6893</v>
      </c>
      <c r="G274" s="620">
        <v>6549</v>
      </c>
      <c r="H274" s="620">
        <v>6549</v>
      </c>
      <c r="I274" s="620">
        <v>-344</v>
      </c>
      <c r="J274" s="620">
        <v>-4.99</v>
      </c>
      <c r="K274" s="620">
        <v>6549</v>
      </c>
      <c r="L274" s="620">
        <v>-344</v>
      </c>
      <c r="M274" s="620">
        <v>-4.99</v>
      </c>
      <c r="N274" s="620">
        <v>6549</v>
      </c>
      <c r="O274" s="620">
        <v>6549</v>
      </c>
      <c r="P274" s="620" t="s">
        <v>1362</v>
      </c>
      <c r="Q274" s="620" t="s">
        <v>1363</v>
      </c>
      <c r="R274" s="620">
        <v>0</v>
      </c>
      <c r="S274" s="620">
        <v>0</v>
      </c>
      <c r="T274" s="620">
        <v>0</v>
      </c>
      <c r="U274" s="620">
        <v>6549</v>
      </c>
      <c r="V274" s="620">
        <v>2602828</v>
      </c>
      <c r="W274" s="620">
        <v>236</v>
      </c>
    </row>
    <row r="275" spans="1:23" x14ac:dyDescent="0.25">
      <c r="A275" s="620" t="s">
        <v>1364</v>
      </c>
      <c r="B275" s="620" t="s">
        <v>1365</v>
      </c>
      <c r="C275" s="620">
        <v>0</v>
      </c>
      <c r="D275" s="620">
        <v>0</v>
      </c>
      <c r="E275" s="620">
        <v>0</v>
      </c>
      <c r="F275" s="620">
        <v>1</v>
      </c>
      <c r="G275" s="620">
        <v>0</v>
      </c>
      <c r="H275" s="620">
        <v>1</v>
      </c>
      <c r="I275" s="620">
        <v>0</v>
      </c>
      <c r="J275" s="620">
        <v>0</v>
      </c>
      <c r="K275" s="620">
        <v>1</v>
      </c>
      <c r="L275" s="620">
        <v>0</v>
      </c>
      <c r="M275" s="620">
        <v>0</v>
      </c>
      <c r="N275" s="620">
        <v>0</v>
      </c>
      <c r="O275" s="620">
        <v>0</v>
      </c>
      <c r="R275" s="620">
        <v>1</v>
      </c>
      <c r="S275" s="620">
        <v>5</v>
      </c>
      <c r="T275" s="620">
        <v>50</v>
      </c>
      <c r="U275" s="620">
        <v>0</v>
      </c>
      <c r="V275" s="620">
        <v>0</v>
      </c>
      <c r="W275" s="620">
        <v>0</v>
      </c>
    </row>
    <row r="276" spans="1:23" x14ac:dyDescent="0.25">
      <c r="A276" s="620" t="s">
        <v>1366</v>
      </c>
      <c r="B276" s="620" t="s">
        <v>1367</v>
      </c>
      <c r="C276" s="620">
        <v>1</v>
      </c>
      <c r="D276" s="620">
        <v>6</v>
      </c>
      <c r="E276" s="620">
        <v>5520000</v>
      </c>
      <c r="F276" s="620">
        <v>930000</v>
      </c>
      <c r="G276" s="620">
        <v>920000</v>
      </c>
      <c r="H276" s="620">
        <v>920000</v>
      </c>
      <c r="I276" s="620">
        <v>-10000</v>
      </c>
      <c r="J276" s="620">
        <v>-1.08</v>
      </c>
      <c r="K276" s="620">
        <v>920000</v>
      </c>
      <c r="L276" s="620">
        <v>-10000</v>
      </c>
      <c r="M276" s="620">
        <v>-1.08</v>
      </c>
      <c r="N276" s="620">
        <v>920000</v>
      </c>
      <c r="O276" s="620">
        <v>920000</v>
      </c>
      <c r="R276" s="620">
        <v>1</v>
      </c>
      <c r="S276" s="620">
        <v>3894</v>
      </c>
      <c r="T276" s="620">
        <v>920000</v>
      </c>
      <c r="U276" s="620">
        <v>0</v>
      </c>
      <c r="V276" s="620">
        <v>0</v>
      </c>
      <c r="W276" s="620">
        <v>0</v>
      </c>
    </row>
    <row r="277" spans="1:23" x14ac:dyDescent="0.25">
      <c r="A277" s="620" t="s">
        <v>1368</v>
      </c>
      <c r="B277" s="620" t="s">
        <v>1369</v>
      </c>
      <c r="C277" s="620">
        <v>46</v>
      </c>
      <c r="D277" s="620">
        <v>69303</v>
      </c>
      <c r="E277" s="620">
        <v>932956986</v>
      </c>
      <c r="F277" s="620">
        <v>14170</v>
      </c>
      <c r="G277" s="620">
        <v>13462</v>
      </c>
      <c r="H277" s="620">
        <v>13462</v>
      </c>
      <c r="I277" s="620">
        <v>-708</v>
      </c>
      <c r="J277" s="620">
        <v>-5</v>
      </c>
      <c r="K277" s="620">
        <v>13995</v>
      </c>
      <c r="L277" s="620">
        <v>-175</v>
      </c>
      <c r="M277" s="620">
        <v>-1.24</v>
      </c>
      <c r="N277" s="620">
        <v>13462</v>
      </c>
      <c r="O277" s="620">
        <v>13462</v>
      </c>
      <c r="P277" s="620" t="s">
        <v>1370</v>
      </c>
      <c r="Q277" s="620" t="s">
        <v>1371</v>
      </c>
      <c r="R277" s="620">
        <v>0</v>
      </c>
      <c r="S277" s="620">
        <v>0</v>
      </c>
      <c r="T277" s="620">
        <v>0</v>
      </c>
      <c r="U277" s="620">
        <v>13462</v>
      </c>
      <c r="V277" s="620">
        <v>368578</v>
      </c>
      <c r="W277" s="620">
        <v>125</v>
      </c>
    </row>
    <row r="278" spans="1:23" x14ac:dyDescent="0.25">
      <c r="A278" s="620" t="s">
        <v>1372</v>
      </c>
      <c r="B278" s="620" t="s">
        <v>1373</v>
      </c>
      <c r="C278" s="620">
        <v>105</v>
      </c>
      <c r="D278" s="620">
        <v>54849</v>
      </c>
      <c r="E278" s="620">
        <v>2013703140</v>
      </c>
      <c r="F278" s="620">
        <v>37366</v>
      </c>
      <c r="G278" s="620">
        <v>36620</v>
      </c>
      <c r="H278" s="620">
        <v>36619</v>
      </c>
      <c r="I278" s="620">
        <v>-747</v>
      </c>
      <c r="J278" s="620">
        <v>-2</v>
      </c>
      <c r="K278" s="620">
        <v>36714</v>
      </c>
      <c r="L278" s="620">
        <v>-652</v>
      </c>
      <c r="M278" s="620">
        <v>-1.74</v>
      </c>
      <c r="N278" s="620">
        <v>36619</v>
      </c>
      <c r="O278" s="620">
        <v>37498</v>
      </c>
      <c r="P278" s="620" t="s">
        <v>1374</v>
      </c>
      <c r="Q278" s="620" t="s">
        <v>1375</v>
      </c>
      <c r="R278" s="620">
        <v>0</v>
      </c>
      <c r="S278" s="620">
        <v>0</v>
      </c>
      <c r="T278" s="620">
        <v>0</v>
      </c>
      <c r="U278" s="620">
        <v>36619</v>
      </c>
      <c r="V278" s="620">
        <v>188</v>
      </c>
      <c r="W278" s="620">
        <v>1</v>
      </c>
    </row>
    <row r="279" spans="1:23" x14ac:dyDescent="0.25">
      <c r="A279" s="620" t="s">
        <v>1376</v>
      </c>
      <c r="B279" s="620" t="s">
        <v>1377</v>
      </c>
      <c r="C279" s="620">
        <v>69</v>
      </c>
      <c r="D279" s="620">
        <v>81969</v>
      </c>
      <c r="E279" s="620">
        <v>1175189553</v>
      </c>
      <c r="F279" s="620">
        <v>15091</v>
      </c>
      <c r="G279" s="620">
        <v>14337</v>
      </c>
      <c r="H279" s="620">
        <v>14337</v>
      </c>
      <c r="I279" s="620">
        <v>-754</v>
      </c>
      <c r="J279" s="620">
        <v>-5</v>
      </c>
      <c r="K279" s="620">
        <v>14968</v>
      </c>
      <c r="L279" s="620">
        <v>-123</v>
      </c>
      <c r="M279" s="620">
        <v>-0.82</v>
      </c>
      <c r="N279" s="620">
        <v>14337</v>
      </c>
      <c r="O279" s="620">
        <v>14337</v>
      </c>
      <c r="P279" s="620" t="s">
        <v>1378</v>
      </c>
      <c r="Q279" s="620" t="s">
        <v>1379</v>
      </c>
      <c r="R279" s="620">
        <v>1</v>
      </c>
      <c r="S279" s="620">
        <v>5000</v>
      </c>
      <c r="T279" s="620">
        <v>13000</v>
      </c>
      <c r="U279" s="620">
        <v>14337</v>
      </c>
      <c r="V279" s="620">
        <v>3134304</v>
      </c>
      <c r="W279" s="620">
        <v>176</v>
      </c>
    </row>
    <row r="280" spans="1:23" x14ac:dyDescent="0.25">
      <c r="A280" s="620" t="s">
        <v>1380</v>
      </c>
      <c r="B280" s="620" t="s">
        <v>1381</v>
      </c>
      <c r="C280" s="620">
        <v>0</v>
      </c>
      <c r="D280" s="620">
        <v>0</v>
      </c>
      <c r="E280" s="620">
        <v>0</v>
      </c>
      <c r="F280" s="620">
        <v>1</v>
      </c>
      <c r="G280" s="620">
        <v>0</v>
      </c>
      <c r="H280" s="620">
        <v>1</v>
      </c>
      <c r="I280" s="620">
        <v>0</v>
      </c>
      <c r="J280" s="620">
        <v>0</v>
      </c>
      <c r="K280" s="620">
        <v>1</v>
      </c>
      <c r="L280" s="620">
        <v>0</v>
      </c>
      <c r="M280" s="620">
        <v>0</v>
      </c>
      <c r="N280" s="620">
        <v>0</v>
      </c>
      <c r="O280" s="620">
        <v>0</v>
      </c>
      <c r="R280" s="620">
        <v>1</v>
      </c>
      <c r="S280" s="620">
        <v>100</v>
      </c>
      <c r="T280" s="620">
        <v>150</v>
      </c>
      <c r="U280" s="620">
        <v>0</v>
      </c>
      <c r="V280" s="620">
        <v>0</v>
      </c>
      <c r="W280" s="620">
        <v>0</v>
      </c>
    </row>
    <row r="281" spans="1:23" x14ac:dyDescent="0.25">
      <c r="A281" s="620" t="s">
        <v>1382</v>
      </c>
      <c r="B281" s="620" t="s">
        <v>1383</v>
      </c>
      <c r="C281" s="620">
        <v>0</v>
      </c>
      <c r="D281" s="620">
        <v>0</v>
      </c>
      <c r="E281" s="620">
        <v>0</v>
      </c>
      <c r="F281" s="620">
        <v>969600</v>
      </c>
      <c r="G281" s="620">
        <v>0</v>
      </c>
      <c r="H281" s="620">
        <v>969600</v>
      </c>
      <c r="I281" s="620">
        <v>0</v>
      </c>
      <c r="J281" s="620">
        <v>0</v>
      </c>
      <c r="K281" s="620">
        <v>969600</v>
      </c>
      <c r="L281" s="620">
        <v>0</v>
      </c>
      <c r="M281" s="620">
        <v>0</v>
      </c>
      <c r="N281" s="620">
        <v>0</v>
      </c>
      <c r="O281" s="620">
        <v>0</v>
      </c>
      <c r="R281" s="620">
        <v>1</v>
      </c>
      <c r="S281" s="620">
        <v>1250</v>
      </c>
      <c r="T281" s="620">
        <v>965113</v>
      </c>
      <c r="U281" s="620">
        <v>984415</v>
      </c>
      <c r="V281" s="620">
        <v>1250</v>
      </c>
      <c r="W281" s="620">
        <v>1</v>
      </c>
    </row>
    <row r="282" spans="1:23" x14ac:dyDescent="0.25">
      <c r="A282" s="620" t="s">
        <v>1384</v>
      </c>
      <c r="B282" s="620" t="s">
        <v>1385</v>
      </c>
      <c r="C282" s="620">
        <v>103</v>
      </c>
      <c r="D282" s="620">
        <v>493424</v>
      </c>
      <c r="E282" s="620">
        <v>939163710</v>
      </c>
      <c r="F282" s="620">
        <v>1921</v>
      </c>
      <c r="G282" s="620">
        <v>1866</v>
      </c>
      <c r="H282" s="620">
        <v>1870</v>
      </c>
      <c r="I282" s="620">
        <v>-51</v>
      </c>
      <c r="J282" s="620">
        <v>-2.65</v>
      </c>
      <c r="K282" s="620">
        <v>1918</v>
      </c>
      <c r="L282" s="620">
        <v>-3</v>
      </c>
      <c r="M282" s="620">
        <v>-0.16</v>
      </c>
      <c r="N282" s="620">
        <v>1850</v>
      </c>
      <c r="O282" s="620">
        <v>1958</v>
      </c>
      <c r="P282" s="620" t="s">
        <v>1386</v>
      </c>
      <c r="Q282" s="620" t="s">
        <v>1387</v>
      </c>
      <c r="R282" s="620">
        <v>1</v>
      </c>
      <c r="S282" s="620">
        <v>10000</v>
      </c>
      <c r="T282" s="620">
        <v>1862</v>
      </c>
      <c r="U282" s="620">
        <v>1910</v>
      </c>
      <c r="V282" s="620">
        <v>25000</v>
      </c>
      <c r="W282" s="620">
        <v>1</v>
      </c>
    </row>
    <row r="283" spans="1:23" x14ac:dyDescent="0.25">
      <c r="A283" s="620" t="s">
        <v>1388</v>
      </c>
      <c r="B283" s="620" t="s">
        <v>1389</v>
      </c>
      <c r="C283" s="620">
        <v>0</v>
      </c>
      <c r="D283" s="620">
        <v>0</v>
      </c>
      <c r="E283" s="620">
        <v>0</v>
      </c>
      <c r="F283" s="620">
        <v>1000000</v>
      </c>
      <c r="G283" s="620">
        <v>0</v>
      </c>
      <c r="H283" s="620">
        <v>1000000</v>
      </c>
      <c r="I283" s="620">
        <v>0</v>
      </c>
      <c r="J283" s="620">
        <v>0</v>
      </c>
      <c r="K283" s="620">
        <v>1000000</v>
      </c>
      <c r="L283" s="620">
        <v>0</v>
      </c>
      <c r="M283" s="620">
        <v>0</v>
      </c>
      <c r="N283" s="620">
        <v>0</v>
      </c>
      <c r="O283" s="620">
        <v>0</v>
      </c>
      <c r="R283" s="620">
        <v>1</v>
      </c>
      <c r="S283" s="620">
        <v>700</v>
      </c>
      <c r="T283" s="620">
        <v>1000000</v>
      </c>
      <c r="U283" s="620">
        <v>1010000</v>
      </c>
      <c r="V283" s="620">
        <v>700</v>
      </c>
      <c r="W283" s="620">
        <v>1</v>
      </c>
    </row>
    <row r="284" spans="1:23" x14ac:dyDescent="0.25">
      <c r="A284" s="620" t="s">
        <v>1390</v>
      </c>
      <c r="B284" s="620" t="s">
        <v>1391</v>
      </c>
      <c r="C284" s="620">
        <v>0</v>
      </c>
      <c r="D284" s="620">
        <v>0</v>
      </c>
      <c r="E284" s="620">
        <v>0</v>
      </c>
      <c r="F284" s="620">
        <v>1</v>
      </c>
      <c r="G284" s="620">
        <v>0</v>
      </c>
      <c r="H284" s="620">
        <v>1</v>
      </c>
      <c r="I284" s="620">
        <v>0</v>
      </c>
      <c r="J284" s="620">
        <v>0</v>
      </c>
      <c r="K284" s="620">
        <v>1</v>
      </c>
      <c r="L284" s="620">
        <v>0</v>
      </c>
      <c r="M284" s="620">
        <v>0</v>
      </c>
      <c r="N284" s="620">
        <v>0</v>
      </c>
      <c r="O284" s="620">
        <v>0</v>
      </c>
      <c r="R284" s="620">
        <v>2367</v>
      </c>
      <c r="S284" s="620">
        <v>236691</v>
      </c>
      <c r="T284" s="620">
        <v>1</v>
      </c>
      <c r="U284" s="620">
        <v>0</v>
      </c>
      <c r="V284" s="620">
        <v>0</v>
      </c>
      <c r="W284" s="620">
        <v>0</v>
      </c>
    </row>
    <row r="285" spans="1:23" x14ac:dyDescent="0.25">
      <c r="A285" s="620" t="s">
        <v>1392</v>
      </c>
      <c r="B285" s="620" t="s">
        <v>1393</v>
      </c>
      <c r="C285" s="620">
        <v>1</v>
      </c>
      <c r="D285" s="620">
        <v>800</v>
      </c>
      <c r="E285" s="620">
        <v>704000000</v>
      </c>
      <c r="F285" s="620">
        <v>925000</v>
      </c>
      <c r="G285" s="620">
        <v>880000</v>
      </c>
      <c r="H285" s="620">
        <v>880000</v>
      </c>
      <c r="I285" s="620">
        <v>-45000</v>
      </c>
      <c r="J285" s="620">
        <v>-4.8600000000000003</v>
      </c>
      <c r="K285" s="620">
        <v>880000</v>
      </c>
      <c r="L285" s="620">
        <v>-45000</v>
      </c>
      <c r="M285" s="620">
        <v>-4.8600000000000003</v>
      </c>
      <c r="N285" s="620">
        <v>880000</v>
      </c>
      <c r="O285" s="620">
        <v>880000</v>
      </c>
      <c r="R285" s="620">
        <v>1</v>
      </c>
      <c r="S285" s="620">
        <v>199</v>
      </c>
      <c r="T285" s="620">
        <v>880000</v>
      </c>
      <c r="U285" s="620">
        <v>925000</v>
      </c>
      <c r="V285" s="620">
        <v>900</v>
      </c>
      <c r="W285" s="620">
        <v>1</v>
      </c>
    </row>
    <row r="286" spans="1:23" x14ac:dyDescent="0.25">
      <c r="A286" s="620" t="s">
        <v>1394</v>
      </c>
      <c r="B286" s="620" t="s">
        <v>1395</v>
      </c>
      <c r="C286" s="620">
        <v>17</v>
      </c>
      <c r="D286" s="620">
        <v>86854</v>
      </c>
      <c r="E286" s="620">
        <v>418288864</v>
      </c>
      <c r="F286" s="620">
        <v>5069</v>
      </c>
      <c r="G286" s="620">
        <v>4816</v>
      </c>
      <c r="H286" s="620">
        <v>4816</v>
      </c>
      <c r="I286" s="620">
        <v>-253</v>
      </c>
      <c r="J286" s="620">
        <v>-4.99</v>
      </c>
      <c r="K286" s="620">
        <v>4816</v>
      </c>
      <c r="L286" s="620">
        <v>-253</v>
      </c>
      <c r="M286" s="620">
        <v>-4.99</v>
      </c>
      <c r="N286" s="620">
        <v>4816</v>
      </c>
      <c r="O286" s="620">
        <v>4816</v>
      </c>
      <c r="P286" s="620" t="s">
        <v>1396</v>
      </c>
      <c r="Q286" s="620" t="s">
        <v>1397</v>
      </c>
      <c r="R286" s="620">
        <v>0</v>
      </c>
      <c r="S286" s="620">
        <v>0</v>
      </c>
      <c r="T286" s="620">
        <v>0</v>
      </c>
      <c r="U286" s="620">
        <v>4816</v>
      </c>
      <c r="V286" s="620">
        <v>1022506</v>
      </c>
      <c r="W286" s="620">
        <v>91</v>
      </c>
    </row>
    <row r="287" spans="1:23" x14ac:dyDescent="0.25">
      <c r="A287" s="620" t="s">
        <v>1398</v>
      </c>
      <c r="B287" s="620" t="s">
        <v>1399</v>
      </c>
      <c r="C287" s="620">
        <v>0</v>
      </c>
      <c r="D287" s="620">
        <v>0</v>
      </c>
      <c r="E287" s="620">
        <v>0</v>
      </c>
      <c r="F287" s="620">
        <v>1</v>
      </c>
      <c r="G287" s="620">
        <v>0</v>
      </c>
      <c r="H287" s="620">
        <v>1</v>
      </c>
      <c r="I287" s="620">
        <v>0</v>
      </c>
      <c r="J287" s="620">
        <v>0</v>
      </c>
      <c r="K287" s="620">
        <v>1</v>
      </c>
      <c r="L287" s="620">
        <v>0</v>
      </c>
      <c r="M287" s="620">
        <v>0</v>
      </c>
      <c r="N287" s="620">
        <v>0</v>
      </c>
      <c r="O287" s="620">
        <v>0</v>
      </c>
      <c r="R287" s="620">
        <v>1</v>
      </c>
      <c r="S287" s="620">
        <v>5</v>
      </c>
      <c r="T287" s="620">
        <v>50</v>
      </c>
      <c r="U287" s="620">
        <v>0</v>
      </c>
      <c r="V287" s="620">
        <v>0</v>
      </c>
      <c r="W287" s="620">
        <v>0</v>
      </c>
    </row>
    <row r="288" spans="1:23" x14ac:dyDescent="0.25">
      <c r="A288" s="620" t="s">
        <v>1400</v>
      </c>
      <c r="B288" s="620" t="s">
        <v>1401</v>
      </c>
      <c r="C288" s="620">
        <v>5</v>
      </c>
      <c r="D288" s="620">
        <v>36111</v>
      </c>
      <c r="E288" s="620">
        <v>20705603</v>
      </c>
      <c r="F288" s="620">
        <v>590</v>
      </c>
      <c r="G288" s="620">
        <v>580</v>
      </c>
      <c r="H288" s="620">
        <v>573</v>
      </c>
      <c r="I288" s="620">
        <v>-17</v>
      </c>
      <c r="J288" s="620">
        <v>-2.88</v>
      </c>
      <c r="K288" s="620">
        <v>573</v>
      </c>
      <c r="L288" s="620">
        <v>-17</v>
      </c>
      <c r="M288" s="620">
        <v>-2.88</v>
      </c>
      <c r="N288" s="620">
        <v>573</v>
      </c>
      <c r="O288" s="620">
        <v>580</v>
      </c>
      <c r="R288" s="620">
        <v>0</v>
      </c>
      <c r="S288" s="620">
        <v>0</v>
      </c>
      <c r="T288" s="620">
        <v>0</v>
      </c>
      <c r="U288" s="620">
        <v>0</v>
      </c>
      <c r="V288" s="620">
        <v>0</v>
      </c>
      <c r="W288" s="620">
        <v>0</v>
      </c>
    </row>
    <row r="289" spans="1:23" x14ac:dyDescent="0.25">
      <c r="A289" s="620" t="s">
        <v>1402</v>
      </c>
      <c r="B289" s="620" t="s">
        <v>1393</v>
      </c>
      <c r="C289" s="620">
        <v>0</v>
      </c>
      <c r="D289" s="620">
        <v>0</v>
      </c>
      <c r="E289" s="620">
        <v>0</v>
      </c>
      <c r="F289" s="620">
        <v>925000</v>
      </c>
      <c r="G289" s="620">
        <v>0</v>
      </c>
      <c r="H289" s="620">
        <v>925000</v>
      </c>
      <c r="I289" s="620">
        <v>0</v>
      </c>
      <c r="J289" s="620">
        <v>0</v>
      </c>
      <c r="K289" s="620">
        <v>925000</v>
      </c>
      <c r="L289" s="620">
        <v>0</v>
      </c>
      <c r="M289" s="620">
        <v>0</v>
      </c>
      <c r="N289" s="620">
        <v>0</v>
      </c>
      <c r="O289" s="620">
        <v>0</v>
      </c>
      <c r="R289" s="620">
        <v>1</v>
      </c>
      <c r="S289" s="620">
        <v>10000</v>
      </c>
      <c r="T289" s="620">
        <v>915000</v>
      </c>
      <c r="U289" s="620">
        <v>0</v>
      </c>
      <c r="V289" s="620">
        <v>0</v>
      </c>
      <c r="W289" s="620">
        <v>0</v>
      </c>
    </row>
    <row r="290" spans="1:23" x14ac:dyDescent="0.25">
      <c r="A290" s="620" t="s">
        <v>1403</v>
      </c>
      <c r="B290" s="620" t="s">
        <v>1404</v>
      </c>
      <c r="C290" s="620">
        <v>3224</v>
      </c>
      <c r="D290" s="620">
        <v>1647794</v>
      </c>
      <c r="E290" s="620">
        <v>54443081781</v>
      </c>
      <c r="F290" s="620">
        <v>32605</v>
      </c>
      <c r="G290" s="620">
        <v>32851</v>
      </c>
      <c r="H290" s="620">
        <v>32950</v>
      </c>
      <c r="I290" s="620">
        <v>345</v>
      </c>
      <c r="J290" s="620">
        <v>1.06</v>
      </c>
      <c r="K290" s="620">
        <v>33040</v>
      </c>
      <c r="L290" s="620">
        <v>435</v>
      </c>
      <c r="M290" s="620">
        <v>1.33</v>
      </c>
      <c r="N290" s="620">
        <v>32601</v>
      </c>
      <c r="O290" s="620">
        <v>33700</v>
      </c>
      <c r="P290" s="620" t="s">
        <v>1405</v>
      </c>
      <c r="Q290" s="620" t="s">
        <v>1406</v>
      </c>
      <c r="R290" s="620">
        <v>1</v>
      </c>
      <c r="S290" s="620">
        <v>52</v>
      </c>
      <c r="T290" s="620">
        <v>32950</v>
      </c>
      <c r="U290" s="620">
        <v>32950</v>
      </c>
      <c r="V290" s="620">
        <v>322</v>
      </c>
      <c r="W290" s="620">
        <v>1</v>
      </c>
    </row>
    <row r="291" spans="1:23" x14ac:dyDescent="0.25">
      <c r="A291" s="620" t="s">
        <v>1407</v>
      </c>
      <c r="B291" s="620" t="s">
        <v>1408</v>
      </c>
      <c r="C291" s="620">
        <v>375</v>
      </c>
      <c r="D291" s="620">
        <v>2304368</v>
      </c>
      <c r="E291" s="620">
        <v>10807474427</v>
      </c>
      <c r="F291" s="620">
        <v>4914</v>
      </c>
      <c r="G291" s="620">
        <v>4705</v>
      </c>
      <c r="H291" s="620">
        <v>4669</v>
      </c>
      <c r="I291" s="620">
        <v>-245</v>
      </c>
      <c r="J291" s="620">
        <v>-4.99</v>
      </c>
      <c r="K291" s="620">
        <v>4690</v>
      </c>
      <c r="L291" s="620">
        <v>-224</v>
      </c>
      <c r="M291" s="620">
        <v>-4.5599999999999996</v>
      </c>
      <c r="N291" s="620">
        <v>4669</v>
      </c>
      <c r="O291" s="620">
        <v>4925</v>
      </c>
      <c r="P291" s="620" t="s">
        <v>1409</v>
      </c>
      <c r="Q291" s="620" t="s">
        <v>1410</v>
      </c>
      <c r="R291" s="620">
        <v>0</v>
      </c>
      <c r="S291" s="620">
        <v>0</v>
      </c>
      <c r="T291" s="620">
        <v>0</v>
      </c>
      <c r="U291" s="620">
        <v>4669</v>
      </c>
      <c r="V291" s="620">
        <v>304267</v>
      </c>
      <c r="W291" s="620">
        <v>19</v>
      </c>
    </row>
    <row r="292" spans="1:23" x14ac:dyDescent="0.25">
      <c r="A292" s="620" t="s">
        <v>1411</v>
      </c>
      <c r="B292" s="620" t="s">
        <v>1412</v>
      </c>
      <c r="C292" s="620">
        <v>318</v>
      </c>
      <c r="D292" s="620">
        <v>654211</v>
      </c>
      <c r="E292" s="620">
        <v>7323706829</v>
      </c>
      <c r="F292" s="620">
        <v>11234</v>
      </c>
      <c r="G292" s="620">
        <v>10873</v>
      </c>
      <c r="H292" s="620">
        <v>11233</v>
      </c>
      <c r="I292" s="620">
        <v>-1</v>
      </c>
      <c r="J292" s="620">
        <v>-0.01</v>
      </c>
      <c r="K292" s="620">
        <v>11198</v>
      </c>
      <c r="L292" s="620">
        <v>-36</v>
      </c>
      <c r="M292" s="620">
        <v>-0.32</v>
      </c>
      <c r="N292" s="620">
        <v>10873</v>
      </c>
      <c r="O292" s="620">
        <v>11490</v>
      </c>
      <c r="P292" s="620" t="s">
        <v>1413</v>
      </c>
      <c r="Q292" s="620" t="s">
        <v>1414</v>
      </c>
      <c r="R292" s="620">
        <v>1</v>
      </c>
      <c r="S292" s="620">
        <v>3000</v>
      </c>
      <c r="T292" s="620">
        <v>11101</v>
      </c>
      <c r="U292" s="620">
        <v>11233</v>
      </c>
      <c r="V292" s="620">
        <v>17000</v>
      </c>
      <c r="W292" s="620">
        <v>1</v>
      </c>
    </row>
    <row r="293" spans="1:23" x14ac:dyDescent="0.25">
      <c r="A293" s="620" t="s">
        <v>1415</v>
      </c>
      <c r="B293" s="620" t="s">
        <v>1416</v>
      </c>
      <c r="C293" s="620">
        <v>81</v>
      </c>
      <c r="D293" s="620">
        <v>637859</v>
      </c>
      <c r="E293" s="620">
        <v>1576859899</v>
      </c>
      <c r="F293" s="620">
        <v>2547</v>
      </c>
      <c r="G293" s="620">
        <v>2471</v>
      </c>
      <c r="H293" s="620">
        <v>2471</v>
      </c>
      <c r="I293" s="620">
        <v>-76</v>
      </c>
      <c r="J293" s="620">
        <v>-2.98</v>
      </c>
      <c r="K293" s="620">
        <v>2472</v>
      </c>
      <c r="L293" s="620">
        <v>-75</v>
      </c>
      <c r="M293" s="620">
        <v>-2.94</v>
      </c>
      <c r="N293" s="620">
        <v>2471</v>
      </c>
      <c r="O293" s="620">
        <v>2575</v>
      </c>
      <c r="P293" s="620" t="s">
        <v>1417</v>
      </c>
      <c r="Q293" s="620" t="s">
        <v>1418</v>
      </c>
      <c r="R293" s="620">
        <v>0</v>
      </c>
      <c r="S293" s="620">
        <v>0</v>
      </c>
      <c r="T293" s="620">
        <v>0</v>
      </c>
      <c r="U293" s="620">
        <v>2471</v>
      </c>
      <c r="V293" s="620">
        <v>786985</v>
      </c>
      <c r="W293" s="620">
        <v>20</v>
      </c>
    </row>
    <row r="294" spans="1:23" x14ac:dyDescent="0.25">
      <c r="A294" s="620" t="s">
        <v>1419</v>
      </c>
      <c r="B294" s="620" t="s">
        <v>1420</v>
      </c>
      <c r="C294" s="620">
        <v>1201</v>
      </c>
      <c r="D294" s="620">
        <v>23872</v>
      </c>
      <c r="E294" s="620">
        <v>9418125815</v>
      </c>
      <c r="F294" s="620">
        <v>395116</v>
      </c>
      <c r="G294" s="620">
        <v>399980</v>
      </c>
      <c r="H294" s="620">
        <v>386000</v>
      </c>
      <c r="I294" s="620">
        <v>-9116</v>
      </c>
      <c r="J294" s="620">
        <v>-2.31</v>
      </c>
      <c r="K294" s="620">
        <v>394526</v>
      </c>
      <c r="L294" s="620">
        <v>-590</v>
      </c>
      <c r="M294" s="620">
        <v>-0.15</v>
      </c>
      <c r="N294" s="620">
        <v>386000</v>
      </c>
      <c r="O294" s="620">
        <v>399999</v>
      </c>
      <c r="R294" s="620">
        <v>2</v>
      </c>
      <c r="S294" s="620">
        <v>124</v>
      </c>
      <c r="T294" s="620">
        <v>376000</v>
      </c>
      <c r="U294" s="620">
        <v>410000</v>
      </c>
      <c r="V294" s="620">
        <v>119</v>
      </c>
      <c r="W294" s="620">
        <v>1</v>
      </c>
    </row>
    <row r="295" spans="1:23" x14ac:dyDescent="0.25">
      <c r="A295" s="620" t="s">
        <v>1421</v>
      </c>
      <c r="B295" s="620" t="s">
        <v>1422</v>
      </c>
      <c r="C295" s="620">
        <v>14</v>
      </c>
      <c r="D295" s="620">
        <v>11996</v>
      </c>
      <c r="E295" s="620">
        <v>227959988</v>
      </c>
      <c r="F295" s="620">
        <v>20003</v>
      </c>
      <c r="G295" s="620">
        <v>19003</v>
      </c>
      <c r="H295" s="620">
        <v>19003</v>
      </c>
      <c r="I295" s="620">
        <v>-1000</v>
      </c>
      <c r="J295" s="620">
        <v>-5</v>
      </c>
      <c r="K295" s="620">
        <v>19003</v>
      </c>
      <c r="L295" s="620">
        <v>-1000</v>
      </c>
      <c r="M295" s="620">
        <v>-5</v>
      </c>
      <c r="N295" s="620">
        <v>19003</v>
      </c>
      <c r="O295" s="620">
        <v>19003</v>
      </c>
      <c r="R295" s="620">
        <v>0</v>
      </c>
      <c r="S295" s="620">
        <v>0</v>
      </c>
      <c r="T295" s="620">
        <v>0</v>
      </c>
      <c r="U295" s="620">
        <v>19003</v>
      </c>
      <c r="V295" s="620">
        <v>796362</v>
      </c>
      <c r="W295" s="620">
        <v>122</v>
      </c>
    </row>
    <row r="296" spans="1:23" x14ac:dyDescent="0.25">
      <c r="A296" s="620" t="s">
        <v>1423</v>
      </c>
      <c r="B296" s="620" t="s">
        <v>1424</v>
      </c>
      <c r="C296" s="620">
        <v>679</v>
      </c>
      <c r="D296" s="620">
        <v>681636</v>
      </c>
      <c r="E296" s="620">
        <v>24907500640</v>
      </c>
      <c r="F296" s="620">
        <v>37135</v>
      </c>
      <c r="G296" s="620">
        <v>38000</v>
      </c>
      <c r="H296" s="620">
        <v>35988</v>
      </c>
      <c r="I296" s="620">
        <v>-1147</v>
      </c>
      <c r="J296" s="620">
        <v>-3.09</v>
      </c>
      <c r="K296" s="620">
        <v>36541</v>
      </c>
      <c r="L296" s="620">
        <v>-594</v>
      </c>
      <c r="M296" s="620">
        <v>-1.6</v>
      </c>
      <c r="N296" s="620">
        <v>35323</v>
      </c>
      <c r="O296" s="620">
        <v>38515</v>
      </c>
      <c r="P296" s="620" t="s">
        <v>1425</v>
      </c>
      <c r="Q296" s="620" t="s">
        <v>1426</v>
      </c>
      <c r="R296" s="620">
        <v>1</v>
      </c>
      <c r="S296" s="620">
        <v>90</v>
      </c>
      <c r="T296" s="620">
        <v>35876</v>
      </c>
      <c r="U296" s="620">
        <v>35876</v>
      </c>
      <c r="V296" s="620">
        <v>25</v>
      </c>
      <c r="W296" s="620">
        <v>1</v>
      </c>
    </row>
    <row r="297" spans="1:23" x14ac:dyDescent="0.25">
      <c r="A297" s="620" t="s">
        <v>1427</v>
      </c>
      <c r="B297" s="620" t="s">
        <v>1428</v>
      </c>
      <c r="C297" s="620">
        <v>0</v>
      </c>
      <c r="D297" s="620">
        <v>0</v>
      </c>
      <c r="E297" s="620">
        <v>0</v>
      </c>
      <c r="F297" s="620">
        <v>1</v>
      </c>
      <c r="G297" s="620">
        <v>0</v>
      </c>
      <c r="H297" s="620">
        <v>1</v>
      </c>
      <c r="I297" s="620">
        <v>0</v>
      </c>
      <c r="J297" s="620">
        <v>0</v>
      </c>
      <c r="K297" s="620">
        <v>1</v>
      </c>
      <c r="L297" s="620">
        <v>0</v>
      </c>
      <c r="M297" s="620">
        <v>0</v>
      </c>
      <c r="N297" s="620">
        <v>0</v>
      </c>
      <c r="O297" s="620">
        <v>0</v>
      </c>
      <c r="R297" s="620">
        <v>1</v>
      </c>
      <c r="S297" s="620">
        <v>100</v>
      </c>
      <c r="T297" s="620">
        <v>100</v>
      </c>
      <c r="U297" s="620">
        <v>0</v>
      </c>
      <c r="V297" s="620">
        <v>0</v>
      </c>
      <c r="W297" s="620">
        <v>0</v>
      </c>
    </row>
    <row r="298" spans="1:23" x14ac:dyDescent="0.25">
      <c r="A298" s="620" t="s">
        <v>1429</v>
      </c>
      <c r="B298" s="620" t="s">
        <v>1430</v>
      </c>
      <c r="C298" s="620">
        <v>72</v>
      </c>
      <c r="D298" s="620">
        <v>381447</v>
      </c>
      <c r="E298" s="620">
        <v>815041350</v>
      </c>
      <c r="F298" s="620">
        <v>2201</v>
      </c>
      <c r="G298" s="620">
        <v>2265</v>
      </c>
      <c r="H298" s="620">
        <v>2150</v>
      </c>
      <c r="I298" s="620">
        <v>-51</v>
      </c>
      <c r="J298" s="620">
        <v>-2.3199999999999998</v>
      </c>
      <c r="K298" s="620">
        <v>2137</v>
      </c>
      <c r="L298" s="620">
        <v>-64</v>
      </c>
      <c r="M298" s="620">
        <v>-2.91</v>
      </c>
      <c r="N298" s="620">
        <v>2135</v>
      </c>
      <c r="O298" s="620">
        <v>2265</v>
      </c>
      <c r="P298" s="620" t="s">
        <v>562</v>
      </c>
      <c r="Q298" s="620" t="s">
        <v>1431</v>
      </c>
      <c r="R298" s="620">
        <v>0</v>
      </c>
      <c r="S298" s="620">
        <v>0</v>
      </c>
      <c r="T298" s="620">
        <v>0</v>
      </c>
      <c r="U298" s="620">
        <v>2222</v>
      </c>
      <c r="V298" s="620">
        <v>600</v>
      </c>
      <c r="W298" s="620">
        <v>1</v>
      </c>
    </row>
    <row r="299" spans="1:23" x14ac:dyDescent="0.25">
      <c r="A299" s="620" t="s">
        <v>1432</v>
      </c>
      <c r="B299" s="620" t="s">
        <v>1433</v>
      </c>
      <c r="C299" s="620">
        <v>96</v>
      </c>
      <c r="D299" s="620">
        <v>818</v>
      </c>
      <c r="E299" s="620">
        <v>310271606</v>
      </c>
      <c r="F299" s="620">
        <v>379115</v>
      </c>
      <c r="G299" s="620">
        <v>375555</v>
      </c>
      <c r="H299" s="620">
        <v>370000</v>
      </c>
      <c r="I299" s="620">
        <v>-9115</v>
      </c>
      <c r="J299" s="620">
        <v>-2.4</v>
      </c>
      <c r="K299" s="620">
        <v>379305</v>
      </c>
      <c r="L299" s="620">
        <v>190</v>
      </c>
      <c r="M299" s="620">
        <v>0.05</v>
      </c>
      <c r="N299" s="620">
        <v>369180</v>
      </c>
      <c r="O299" s="620">
        <v>384744</v>
      </c>
      <c r="R299" s="620">
        <v>1</v>
      </c>
      <c r="S299" s="620">
        <v>13</v>
      </c>
      <c r="T299" s="620">
        <v>370320</v>
      </c>
      <c r="U299" s="620">
        <v>377996</v>
      </c>
      <c r="V299" s="620">
        <v>6</v>
      </c>
      <c r="W299" s="620">
        <v>1</v>
      </c>
    </row>
    <row r="300" spans="1:23" x14ac:dyDescent="0.25">
      <c r="A300" s="620" t="s">
        <v>1434</v>
      </c>
      <c r="B300" s="620" t="s">
        <v>1435</v>
      </c>
      <c r="C300" s="620">
        <v>36</v>
      </c>
      <c r="D300" s="620">
        <v>255762</v>
      </c>
      <c r="E300" s="620">
        <v>412988270</v>
      </c>
      <c r="F300" s="620">
        <v>1646</v>
      </c>
      <c r="G300" s="620">
        <v>1670</v>
      </c>
      <c r="H300" s="620">
        <v>1614</v>
      </c>
      <c r="I300" s="620">
        <v>-32</v>
      </c>
      <c r="J300" s="620">
        <v>-1.94</v>
      </c>
      <c r="K300" s="620">
        <v>1615</v>
      </c>
      <c r="L300" s="620">
        <v>-31</v>
      </c>
      <c r="M300" s="620">
        <v>-1.88</v>
      </c>
      <c r="N300" s="620">
        <v>1614</v>
      </c>
      <c r="O300" s="620">
        <v>1676</v>
      </c>
      <c r="P300" s="620" t="s">
        <v>1436</v>
      </c>
      <c r="Q300" s="620" t="s">
        <v>1437</v>
      </c>
      <c r="R300" s="620">
        <v>0</v>
      </c>
      <c r="S300" s="620">
        <v>0</v>
      </c>
      <c r="T300" s="620">
        <v>0</v>
      </c>
      <c r="U300" s="620">
        <v>1614</v>
      </c>
      <c r="V300" s="620">
        <v>15857</v>
      </c>
      <c r="W300" s="620">
        <v>2</v>
      </c>
    </row>
    <row r="301" spans="1:23" x14ac:dyDescent="0.25">
      <c r="A301" s="620" t="s">
        <v>1438</v>
      </c>
      <c r="B301" s="620" t="s">
        <v>1439</v>
      </c>
      <c r="C301" s="620">
        <v>0</v>
      </c>
      <c r="D301" s="620">
        <v>0</v>
      </c>
      <c r="E301" s="620">
        <v>0</v>
      </c>
      <c r="F301" s="620">
        <v>2850</v>
      </c>
      <c r="G301" s="620">
        <v>0</v>
      </c>
      <c r="H301" s="620">
        <v>2850</v>
      </c>
      <c r="I301" s="620">
        <v>0</v>
      </c>
      <c r="J301" s="620">
        <v>0</v>
      </c>
      <c r="K301" s="620">
        <v>2850</v>
      </c>
      <c r="L301" s="620">
        <v>0</v>
      </c>
      <c r="M301" s="620">
        <v>0</v>
      </c>
      <c r="N301" s="620">
        <v>0</v>
      </c>
      <c r="O301" s="620">
        <v>0</v>
      </c>
      <c r="R301" s="620">
        <v>1</v>
      </c>
      <c r="S301" s="620">
        <v>50</v>
      </c>
      <c r="T301" s="620">
        <v>850</v>
      </c>
      <c r="U301" s="620">
        <v>3250</v>
      </c>
      <c r="V301" s="620">
        <v>5</v>
      </c>
      <c r="W301" s="620">
        <v>1</v>
      </c>
    </row>
    <row r="302" spans="1:23" x14ac:dyDescent="0.25">
      <c r="A302" s="620" t="s">
        <v>1440</v>
      </c>
      <c r="B302" s="620" t="s">
        <v>1441</v>
      </c>
      <c r="C302" s="620">
        <v>32</v>
      </c>
      <c r="D302" s="620">
        <v>23320</v>
      </c>
      <c r="E302" s="620">
        <v>274639640</v>
      </c>
      <c r="F302" s="620">
        <v>12396</v>
      </c>
      <c r="G302" s="620">
        <v>11777</v>
      </c>
      <c r="H302" s="620">
        <v>11777</v>
      </c>
      <c r="I302" s="620">
        <v>-619</v>
      </c>
      <c r="J302" s="620">
        <v>-4.99</v>
      </c>
      <c r="K302" s="620">
        <v>12333</v>
      </c>
      <c r="L302" s="620">
        <v>-63</v>
      </c>
      <c r="M302" s="620">
        <v>-0.51</v>
      </c>
      <c r="N302" s="620">
        <v>11777</v>
      </c>
      <c r="O302" s="620">
        <v>11777</v>
      </c>
      <c r="P302" s="620" t="s">
        <v>1442</v>
      </c>
      <c r="Q302" s="620" t="s">
        <v>1443</v>
      </c>
      <c r="R302" s="620">
        <v>0</v>
      </c>
      <c r="S302" s="620">
        <v>0</v>
      </c>
      <c r="T302" s="620">
        <v>0</v>
      </c>
      <c r="U302" s="620">
        <v>11777</v>
      </c>
      <c r="V302" s="620">
        <v>919477</v>
      </c>
      <c r="W302" s="620">
        <v>124</v>
      </c>
    </row>
    <row r="303" spans="1:23" x14ac:dyDescent="0.25">
      <c r="A303" s="620" t="s">
        <v>1444</v>
      </c>
      <c r="B303" s="620" t="s">
        <v>1445</v>
      </c>
      <c r="C303" s="620">
        <v>108</v>
      </c>
      <c r="D303" s="620">
        <v>706646</v>
      </c>
      <c r="E303" s="620">
        <v>1238043792</v>
      </c>
      <c r="F303" s="620">
        <v>1806</v>
      </c>
      <c r="G303" s="620">
        <v>1752</v>
      </c>
      <c r="H303" s="620">
        <v>1752</v>
      </c>
      <c r="I303" s="620">
        <v>-54</v>
      </c>
      <c r="J303" s="620">
        <v>-2.99</v>
      </c>
      <c r="K303" s="620">
        <v>1752</v>
      </c>
      <c r="L303" s="620">
        <v>-54</v>
      </c>
      <c r="M303" s="620">
        <v>-2.99</v>
      </c>
      <c r="N303" s="620">
        <v>1752</v>
      </c>
      <c r="O303" s="620">
        <v>1752</v>
      </c>
      <c r="P303" s="620" t="s">
        <v>1446</v>
      </c>
      <c r="Q303" s="620" t="s">
        <v>1447</v>
      </c>
      <c r="R303" s="620">
        <v>0</v>
      </c>
      <c r="S303" s="620">
        <v>0</v>
      </c>
      <c r="T303" s="620">
        <v>0</v>
      </c>
      <c r="U303" s="620">
        <v>1752</v>
      </c>
      <c r="V303" s="620">
        <v>714815</v>
      </c>
      <c r="W303" s="620">
        <v>43</v>
      </c>
    </row>
    <row r="304" spans="1:23" x14ac:dyDescent="0.25">
      <c r="A304" s="620" t="s">
        <v>1448</v>
      </c>
      <c r="B304" s="620" t="s">
        <v>1449</v>
      </c>
      <c r="C304" s="620">
        <v>0</v>
      </c>
      <c r="D304" s="620">
        <v>0</v>
      </c>
      <c r="E304" s="620">
        <v>0</v>
      </c>
      <c r="F304" s="620">
        <v>1</v>
      </c>
      <c r="G304" s="620">
        <v>0</v>
      </c>
      <c r="H304" s="620">
        <v>1</v>
      </c>
      <c r="I304" s="620">
        <v>0</v>
      </c>
      <c r="J304" s="620">
        <v>0</v>
      </c>
      <c r="K304" s="620">
        <v>1</v>
      </c>
      <c r="L304" s="620">
        <v>0</v>
      </c>
      <c r="M304" s="620">
        <v>0</v>
      </c>
      <c r="N304" s="620">
        <v>0</v>
      </c>
      <c r="O304" s="620">
        <v>0</v>
      </c>
      <c r="R304" s="620">
        <v>0</v>
      </c>
      <c r="S304" s="620">
        <v>0</v>
      </c>
      <c r="T304" s="620">
        <v>0</v>
      </c>
      <c r="U304" s="620">
        <v>144</v>
      </c>
      <c r="V304" s="620">
        <v>5</v>
      </c>
      <c r="W304" s="620">
        <v>1</v>
      </c>
    </row>
    <row r="305" spans="1:23" x14ac:dyDescent="0.25">
      <c r="A305" s="620" t="s">
        <v>1450</v>
      </c>
      <c r="B305" s="620" t="s">
        <v>1451</v>
      </c>
      <c r="C305" s="620">
        <v>159</v>
      </c>
      <c r="D305" s="620">
        <v>1740</v>
      </c>
      <c r="E305" s="620">
        <v>663644879</v>
      </c>
      <c r="F305" s="620">
        <v>383588</v>
      </c>
      <c r="G305" s="620">
        <v>365200</v>
      </c>
      <c r="H305" s="620">
        <v>390000</v>
      </c>
      <c r="I305" s="620">
        <v>6412</v>
      </c>
      <c r="J305" s="620">
        <v>1.67</v>
      </c>
      <c r="K305" s="620">
        <v>381405</v>
      </c>
      <c r="L305" s="620">
        <v>-2183</v>
      </c>
      <c r="M305" s="620">
        <v>-0.56999999999999995</v>
      </c>
      <c r="N305" s="620">
        <v>365200</v>
      </c>
      <c r="O305" s="620">
        <v>390000</v>
      </c>
      <c r="R305" s="620">
        <v>1</v>
      </c>
      <c r="S305" s="620">
        <v>121</v>
      </c>
      <c r="T305" s="620">
        <v>370000</v>
      </c>
      <c r="U305" s="620">
        <v>402767</v>
      </c>
      <c r="V305" s="620">
        <v>5</v>
      </c>
      <c r="W305" s="620">
        <v>1</v>
      </c>
    </row>
    <row r="306" spans="1:23" x14ac:dyDescent="0.25">
      <c r="A306" s="620" t="s">
        <v>1452</v>
      </c>
      <c r="B306" s="620" t="s">
        <v>1453</v>
      </c>
      <c r="C306" s="620">
        <v>788</v>
      </c>
      <c r="D306" s="620">
        <v>4219231</v>
      </c>
      <c r="E306" s="620">
        <v>30731129292</v>
      </c>
      <c r="F306" s="620">
        <v>7317</v>
      </c>
      <c r="G306" s="620">
        <v>7211</v>
      </c>
      <c r="H306" s="620">
        <v>7253</v>
      </c>
      <c r="I306" s="620">
        <v>-64</v>
      </c>
      <c r="J306" s="620">
        <v>-0.87</v>
      </c>
      <c r="K306" s="620">
        <v>7284</v>
      </c>
      <c r="L306" s="620">
        <v>-33</v>
      </c>
      <c r="M306" s="620">
        <v>-0.45</v>
      </c>
      <c r="N306" s="620">
        <v>7210</v>
      </c>
      <c r="O306" s="620">
        <v>7400</v>
      </c>
      <c r="P306" s="620" t="s">
        <v>1454</v>
      </c>
      <c r="Q306" s="620" t="s">
        <v>1455</v>
      </c>
      <c r="R306" s="620">
        <v>1</v>
      </c>
      <c r="S306" s="620">
        <v>8050</v>
      </c>
      <c r="T306" s="620">
        <v>7209</v>
      </c>
      <c r="U306" s="620">
        <v>7310</v>
      </c>
      <c r="V306" s="620">
        <v>1400</v>
      </c>
      <c r="W306" s="620">
        <v>2</v>
      </c>
    </row>
    <row r="307" spans="1:23" x14ac:dyDescent="0.25">
      <c r="A307" s="620" t="s">
        <v>1456</v>
      </c>
      <c r="B307" s="620" t="s">
        <v>1457</v>
      </c>
      <c r="C307" s="620">
        <v>326</v>
      </c>
      <c r="D307" s="620">
        <v>1096059</v>
      </c>
      <c r="E307" s="620">
        <v>17999566885</v>
      </c>
      <c r="F307" s="620">
        <v>17259</v>
      </c>
      <c r="G307" s="620">
        <v>16397</v>
      </c>
      <c r="H307" s="620">
        <v>16840</v>
      </c>
      <c r="I307" s="620">
        <v>-419</v>
      </c>
      <c r="J307" s="620">
        <v>-2.4300000000000002</v>
      </c>
      <c r="K307" s="620">
        <v>16422</v>
      </c>
      <c r="L307" s="620">
        <v>-837</v>
      </c>
      <c r="M307" s="620">
        <v>-4.8499999999999996</v>
      </c>
      <c r="N307" s="620">
        <v>16397</v>
      </c>
      <c r="O307" s="620">
        <v>17000</v>
      </c>
      <c r="P307" s="620" t="s">
        <v>1458</v>
      </c>
      <c r="Q307" s="620" t="s">
        <v>1459</v>
      </c>
      <c r="R307" s="620">
        <v>0</v>
      </c>
      <c r="S307" s="620">
        <v>0</v>
      </c>
      <c r="T307" s="620">
        <v>0</v>
      </c>
      <c r="U307" s="620">
        <v>16840</v>
      </c>
      <c r="V307" s="620">
        <v>9044</v>
      </c>
      <c r="W307" s="620">
        <v>1</v>
      </c>
    </row>
    <row r="308" spans="1:23" x14ac:dyDescent="0.25">
      <c r="A308" s="620" t="s">
        <v>1460</v>
      </c>
      <c r="B308" s="620" t="s">
        <v>1461</v>
      </c>
      <c r="C308" s="620">
        <v>894</v>
      </c>
      <c r="D308" s="620">
        <v>1898959</v>
      </c>
      <c r="E308" s="620">
        <v>28035462166</v>
      </c>
      <c r="F308" s="620">
        <v>15390</v>
      </c>
      <c r="G308" s="620">
        <v>14621</v>
      </c>
      <c r="H308" s="620">
        <v>14892</v>
      </c>
      <c r="I308" s="620">
        <v>-498</v>
      </c>
      <c r="J308" s="620">
        <v>-3.24</v>
      </c>
      <c r="K308" s="620">
        <v>14764</v>
      </c>
      <c r="L308" s="620">
        <v>-626</v>
      </c>
      <c r="M308" s="620">
        <v>-4.07</v>
      </c>
      <c r="N308" s="620">
        <v>14621</v>
      </c>
      <c r="O308" s="620">
        <v>15600</v>
      </c>
      <c r="P308" s="620" t="s">
        <v>1462</v>
      </c>
      <c r="Q308" s="620" t="s">
        <v>1198</v>
      </c>
      <c r="R308" s="620">
        <v>1</v>
      </c>
      <c r="S308" s="620">
        <v>450</v>
      </c>
      <c r="T308" s="620">
        <v>14621</v>
      </c>
      <c r="U308" s="620">
        <v>14892</v>
      </c>
      <c r="V308" s="620">
        <v>596</v>
      </c>
      <c r="W308" s="620">
        <v>1</v>
      </c>
    </row>
    <row r="309" spans="1:23" x14ac:dyDescent="0.25">
      <c r="A309" s="620" t="s">
        <v>1463</v>
      </c>
      <c r="B309" s="620" t="s">
        <v>1464</v>
      </c>
      <c r="C309" s="620">
        <v>574</v>
      </c>
      <c r="D309" s="620">
        <v>1202835</v>
      </c>
      <c r="E309" s="620">
        <v>31111558623</v>
      </c>
      <c r="F309" s="620">
        <v>27207</v>
      </c>
      <c r="G309" s="620">
        <v>25847</v>
      </c>
      <c r="H309" s="620">
        <v>25847</v>
      </c>
      <c r="I309" s="620">
        <v>-1360</v>
      </c>
      <c r="J309" s="620">
        <v>-5</v>
      </c>
      <c r="K309" s="620">
        <v>25865</v>
      </c>
      <c r="L309" s="620">
        <v>-1342</v>
      </c>
      <c r="M309" s="620">
        <v>-4.93</v>
      </c>
      <c r="N309" s="620">
        <v>25847</v>
      </c>
      <c r="O309" s="620">
        <v>27000</v>
      </c>
      <c r="P309" s="620" t="s">
        <v>1465</v>
      </c>
      <c r="Q309" s="620" t="s">
        <v>1466</v>
      </c>
      <c r="R309" s="620">
        <v>1</v>
      </c>
      <c r="S309" s="620">
        <v>953</v>
      </c>
      <c r="T309" s="620">
        <v>25847</v>
      </c>
      <c r="U309" s="620">
        <v>25899</v>
      </c>
      <c r="V309" s="620">
        <v>552</v>
      </c>
      <c r="W309" s="620">
        <v>1</v>
      </c>
    </row>
    <row r="310" spans="1:23" x14ac:dyDescent="0.25">
      <c r="A310" s="620" t="s">
        <v>1467</v>
      </c>
      <c r="B310" s="620" t="s">
        <v>1468</v>
      </c>
      <c r="C310" s="620">
        <v>333</v>
      </c>
      <c r="D310" s="620">
        <v>487597</v>
      </c>
      <c r="E310" s="620">
        <v>11594932286</v>
      </c>
      <c r="F310" s="620">
        <v>23288</v>
      </c>
      <c r="G310" s="620">
        <v>23472</v>
      </c>
      <c r="H310" s="620">
        <v>23619</v>
      </c>
      <c r="I310" s="620">
        <v>331</v>
      </c>
      <c r="J310" s="620">
        <v>1.42</v>
      </c>
      <c r="K310" s="620">
        <v>23780</v>
      </c>
      <c r="L310" s="620">
        <v>492</v>
      </c>
      <c r="M310" s="620">
        <v>2.11</v>
      </c>
      <c r="N310" s="620">
        <v>23110</v>
      </c>
      <c r="O310" s="620">
        <v>24299</v>
      </c>
      <c r="P310" s="620" t="s">
        <v>1469</v>
      </c>
      <c r="Q310" s="620" t="s">
        <v>1470</v>
      </c>
      <c r="R310" s="620">
        <v>1</v>
      </c>
      <c r="S310" s="620">
        <v>650</v>
      </c>
      <c r="T310" s="620">
        <v>23303</v>
      </c>
      <c r="U310" s="620">
        <v>23620</v>
      </c>
      <c r="V310" s="620">
        <v>2190</v>
      </c>
      <c r="W310" s="620">
        <v>1</v>
      </c>
    </row>
    <row r="311" spans="1:23" x14ac:dyDescent="0.25">
      <c r="A311" s="620" t="s">
        <v>1471</v>
      </c>
      <c r="B311" s="620" t="s">
        <v>1472</v>
      </c>
      <c r="C311" s="620">
        <v>2614</v>
      </c>
      <c r="D311" s="620">
        <v>30859260</v>
      </c>
      <c r="E311" s="620">
        <v>59173200767</v>
      </c>
      <c r="F311" s="620">
        <v>2003</v>
      </c>
      <c r="G311" s="620">
        <v>1903</v>
      </c>
      <c r="H311" s="620">
        <v>1903</v>
      </c>
      <c r="I311" s="620">
        <v>-100</v>
      </c>
      <c r="J311" s="620">
        <v>-4.99</v>
      </c>
      <c r="K311" s="620">
        <v>1918</v>
      </c>
      <c r="L311" s="620">
        <v>-85</v>
      </c>
      <c r="M311" s="620">
        <v>-4.24</v>
      </c>
      <c r="N311" s="620">
        <v>1903</v>
      </c>
      <c r="O311" s="620">
        <v>1988</v>
      </c>
      <c r="P311" s="620" t="s">
        <v>1473</v>
      </c>
      <c r="Q311" s="620" t="s">
        <v>1474</v>
      </c>
      <c r="R311" s="620">
        <v>2</v>
      </c>
      <c r="S311" s="620">
        <v>1899</v>
      </c>
      <c r="T311" s="620">
        <v>1722</v>
      </c>
      <c r="U311" s="620">
        <v>1903</v>
      </c>
      <c r="V311" s="620">
        <v>3103423</v>
      </c>
      <c r="W311" s="620">
        <v>73</v>
      </c>
    </row>
    <row r="312" spans="1:23" x14ac:dyDescent="0.25">
      <c r="A312" s="620" t="s">
        <v>1475</v>
      </c>
      <c r="B312" s="620" t="s">
        <v>1476</v>
      </c>
      <c r="C312" s="620">
        <v>2</v>
      </c>
      <c r="D312" s="620">
        <v>140</v>
      </c>
      <c r="E312" s="620">
        <v>11200000</v>
      </c>
      <c r="F312" s="620">
        <v>80600</v>
      </c>
      <c r="G312" s="620">
        <v>80000</v>
      </c>
      <c r="H312" s="620">
        <v>80000</v>
      </c>
      <c r="I312" s="620">
        <v>-600</v>
      </c>
      <c r="J312" s="620">
        <v>-0.74</v>
      </c>
      <c r="K312" s="620">
        <v>80000</v>
      </c>
      <c r="L312" s="620">
        <v>-600</v>
      </c>
      <c r="M312" s="620">
        <v>-0.74</v>
      </c>
      <c r="N312" s="620">
        <v>80000</v>
      </c>
      <c r="O312" s="620">
        <v>80000</v>
      </c>
      <c r="R312" s="620">
        <v>1</v>
      </c>
      <c r="S312" s="620">
        <v>20</v>
      </c>
      <c r="T312" s="620">
        <v>80001</v>
      </c>
      <c r="U312" s="620">
        <v>81500</v>
      </c>
      <c r="V312" s="620">
        <v>127</v>
      </c>
      <c r="W312" s="620">
        <v>1</v>
      </c>
    </row>
    <row r="313" spans="1:23" x14ac:dyDescent="0.25">
      <c r="A313" s="620" t="s">
        <v>1477</v>
      </c>
      <c r="B313" s="620" t="s">
        <v>1478</v>
      </c>
      <c r="C313" s="620">
        <v>18</v>
      </c>
      <c r="D313" s="620">
        <v>12007</v>
      </c>
      <c r="E313" s="620">
        <v>7945226613</v>
      </c>
      <c r="F313" s="620">
        <v>664476</v>
      </c>
      <c r="G313" s="620">
        <v>683000</v>
      </c>
      <c r="H313" s="620">
        <v>661500</v>
      </c>
      <c r="I313" s="620">
        <v>-2976</v>
      </c>
      <c r="J313" s="620">
        <v>-0.45</v>
      </c>
      <c r="K313" s="620">
        <v>661716</v>
      </c>
      <c r="L313" s="620">
        <v>-2760</v>
      </c>
      <c r="M313" s="620">
        <v>-0.42</v>
      </c>
      <c r="N313" s="620">
        <v>661500</v>
      </c>
      <c r="O313" s="620">
        <v>683000</v>
      </c>
      <c r="R313" s="620">
        <v>1</v>
      </c>
      <c r="S313" s="620">
        <v>823</v>
      </c>
      <c r="T313" s="620">
        <v>661500</v>
      </c>
      <c r="U313" s="620">
        <v>682000</v>
      </c>
      <c r="V313" s="620">
        <v>193</v>
      </c>
      <c r="W313" s="620">
        <v>1</v>
      </c>
    </row>
    <row r="314" spans="1:23" x14ac:dyDescent="0.25">
      <c r="A314" s="620" t="s">
        <v>1479</v>
      </c>
      <c r="B314" s="620" t="s">
        <v>1480</v>
      </c>
      <c r="C314" s="620">
        <v>99</v>
      </c>
      <c r="D314" s="620">
        <v>493479</v>
      </c>
      <c r="E314" s="620">
        <v>1241593164</v>
      </c>
      <c r="F314" s="620">
        <v>2648</v>
      </c>
      <c r="G314" s="620">
        <v>2516</v>
      </c>
      <c r="H314" s="620">
        <v>2516</v>
      </c>
      <c r="I314" s="620">
        <v>-132</v>
      </c>
      <c r="J314" s="620">
        <v>-4.9800000000000004</v>
      </c>
      <c r="K314" s="620">
        <v>2516</v>
      </c>
      <c r="L314" s="620">
        <v>-132</v>
      </c>
      <c r="M314" s="620">
        <v>-4.9800000000000004</v>
      </c>
      <c r="N314" s="620">
        <v>2516</v>
      </c>
      <c r="O314" s="620">
        <v>2516</v>
      </c>
      <c r="P314" s="620" t="s">
        <v>1481</v>
      </c>
      <c r="Q314" s="620" t="s">
        <v>1482</v>
      </c>
      <c r="R314" s="620">
        <v>2</v>
      </c>
      <c r="S314" s="620">
        <v>64804</v>
      </c>
      <c r="T314" s="620">
        <v>2350</v>
      </c>
      <c r="U314" s="620">
        <v>2516</v>
      </c>
      <c r="V314" s="620">
        <v>4858982</v>
      </c>
      <c r="W314" s="620">
        <v>224</v>
      </c>
    </row>
    <row r="315" spans="1:23" x14ac:dyDescent="0.25">
      <c r="A315" s="620" t="s">
        <v>1483</v>
      </c>
      <c r="B315" s="620" t="s">
        <v>1484</v>
      </c>
      <c r="C315" s="620">
        <v>127</v>
      </c>
      <c r="D315" s="620">
        <v>1116789</v>
      </c>
      <c r="E315" s="620">
        <v>5185251327</v>
      </c>
      <c r="F315" s="620">
        <v>4887</v>
      </c>
      <c r="G315" s="620">
        <v>4643</v>
      </c>
      <c r="H315" s="620">
        <v>4643</v>
      </c>
      <c r="I315" s="620">
        <v>-244</v>
      </c>
      <c r="J315" s="620">
        <v>-4.99</v>
      </c>
      <c r="K315" s="620">
        <v>4643</v>
      </c>
      <c r="L315" s="620">
        <v>-244</v>
      </c>
      <c r="M315" s="620">
        <v>-4.99</v>
      </c>
      <c r="N315" s="620">
        <v>4643</v>
      </c>
      <c r="O315" s="620">
        <v>4643</v>
      </c>
      <c r="P315" s="620" t="s">
        <v>1485</v>
      </c>
      <c r="Q315" s="620" t="s">
        <v>1486</v>
      </c>
      <c r="R315" s="620">
        <v>1</v>
      </c>
      <c r="S315" s="620">
        <v>2500</v>
      </c>
      <c r="T315" s="620">
        <v>4300</v>
      </c>
      <c r="U315" s="620">
        <v>4643</v>
      </c>
      <c r="V315" s="620">
        <v>3104461</v>
      </c>
      <c r="W315" s="620">
        <v>199</v>
      </c>
    </row>
    <row r="316" spans="1:23" x14ac:dyDescent="0.25">
      <c r="A316" s="620" t="s">
        <v>1487</v>
      </c>
      <c r="B316" s="620" t="s">
        <v>1488</v>
      </c>
      <c r="C316" s="620">
        <v>2</v>
      </c>
      <c r="D316" s="620">
        <v>2</v>
      </c>
      <c r="E316" s="620">
        <v>27580000</v>
      </c>
      <c r="F316" s="620">
        <v>1969</v>
      </c>
      <c r="G316" s="620">
        <v>1970</v>
      </c>
      <c r="H316" s="620">
        <v>1970</v>
      </c>
      <c r="I316" s="620">
        <v>1</v>
      </c>
      <c r="J316" s="620">
        <v>0.05</v>
      </c>
      <c r="K316" s="620">
        <v>1970</v>
      </c>
      <c r="L316" s="620">
        <v>1</v>
      </c>
      <c r="M316" s="620">
        <v>0.05</v>
      </c>
      <c r="N316" s="620">
        <v>1970</v>
      </c>
      <c r="O316" s="620">
        <v>1970</v>
      </c>
      <c r="R316" s="620">
        <v>0</v>
      </c>
      <c r="S316" s="620">
        <v>0</v>
      </c>
      <c r="T316" s="620">
        <v>0</v>
      </c>
      <c r="U316" s="620">
        <v>1995</v>
      </c>
      <c r="V316" s="620">
        <v>1</v>
      </c>
      <c r="W316" s="620">
        <v>1</v>
      </c>
    </row>
    <row r="317" spans="1:23" x14ac:dyDescent="0.25">
      <c r="A317" s="620" t="s">
        <v>1489</v>
      </c>
      <c r="B317" s="620" t="s">
        <v>1490</v>
      </c>
      <c r="C317" s="620">
        <v>7</v>
      </c>
      <c r="D317" s="620">
        <v>5733</v>
      </c>
      <c r="E317" s="620">
        <v>131440278</v>
      </c>
      <c r="F317" s="620">
        <v>23098</v>
      </c>
      <c r="G317" s="620">
        <v>22974</v>
      </c>
      <c r="H317" s="620">
        <v>22868</v>
      </c>
      <c r="I317" s="620">
        <v>-230</v>
      </c>
      <c r="J317" s="620">
        <v>-1</v>
      </c>
      <c r="K317" s="620">
        <v>22927</v>
      </c>
      <c r="L317" s="620">
        <v>-171</v>
      </c>
      <c r="M317" s="620">
        <v>-0.74</v>
      </c>
      <c r="N317" s="620">
        <v>22868</v>
      </c>
      <c r="O317" s="620">
        <v>22974</v>
      </c>
      <c r="P317" s="620" t="s">
        <v>1491</v>
      </c>
      <c r="Q317" s="620" t="s">
        <v>1492</v>
      </c>
      <c r="R317" s="620">
        <v>0</v>
      </c>
      <c r="S317" s="620">
        <v>0</v>
      </c>
      <c r="T317" s="620">
        <v>0</v>
      </c>
      <c r="U317" s="620">
        <v>22868</v>
      </c>
      <c r="V317" s="620">
        <v>500</v>
      </c>
      <c r="W317" s="620">
        <v>1</v>
      </c>
    </row>
    <row r="318" spans="1:23" x14ac:dyDescent="0.25">
      <c r="A318" s="620" t="s">
        <v>1493</v>
      </c>
      <c r="B318" s="620" t="s">
        <v>1494</v>
      </c>
      <c r="C318" s="620">
        <v>0</v>
      </c>
      <c r="D318" s="620">
        <v>0</v>
      </c>
      <c r="E318" s="620">
        <v>0</v>
      </c>
      <c r="F318" s="620">
        <v>1</v>
      </c>
      <c r="G318" s="620">
        <v>0</v>
      </c>
      <c r="H318" s="620">
        <v>1</v>
      </c>
      <c r="I318" s="620">
        <v>0</v>
      </c>
      <c r="J318" s="620">
        <v>0</v>
      </c>
      <c r="K318" s="620">
        <v>1</v>
      </c>
      <c r="L318" s="620">
        <v>0</v>
      </c>
      <c r="M318" s="620">
        <v>0</v>
      </c>
      <c r="N318" s="620">
        <v>0</v>
      </c>
      <c r="O318" s="620">
        <v>0</v>
      </c>
      <c r="R318" s="620">
        <v>1</v>
      </c>
      <c r="S318" s="620">
        <v>50</v>
      </c>
      <c r="T318" s="620">
        <v>260</v>
      </c>
      <c r="U318" s="620">
        <v>0</v>
      </c>
      <c r="V318" s="620">
        <v>0</v>
      </c>
      <c r="W318" s="620">
        <v>0</v>
      </c>
    </row>
    <row r="319" spans="1:23" x14ac:dyDescent="0.25">
      <c r="A319" s="620" t="s">
        <v>1495</v>
      </c>
      <c r="B319" s="620" t="s">
        <v>1496</v>
      </c>
      <c r="C319" s="620">
        <v>0</v>
      </c>
      <c r="D319" s="620">
        <v>0</v>
      </c>
      <c r="E319" s="620">
        <v>0</v>
      </c>
      <c r="F319" s="620">
        <v>1</v>
      </c>
      <c r="G319" s="620">
        <v>0</v>
      </c>
      <c r="H319" s="620">
        <v>1</v>
      </c>
      <c r="I319" s="620">
        <v>0</v>
      </c>
      <c r="J319" s="620">
        <v>0</v>
      </c>
      <c r="K319" s="620">
        <v>1</v>
      </c>
      <c r="L319" s="620">
        <v>0</v>
      </c>
      <c r="M319" s="620">
        <v>0</v>
      </c>
      <c r="N319" s="620">
        <v>0</v>
      </c>
      <c r="O319" s="620">
        <v>0</v>
      </c>
      <c r="R319" s="620">
        <v>1</v>
      </c>
      <c r="S319" s="620">
        <v>100</v>
      </c>
      <c r="T319" s="620">
        <v>2</v>
      </c>
      <c r="U319" s="620">
        <v>0</v>
      </c>
      <c r="V319" s="620">
        <v>0</v>
      </c>
      <c r="W319" s="620">
        <v>0</v>
      </c>
    </row>
    <row r="320" spans="1:23" x14ac:dyDescent="0.25">
      <c r="A320" s="620" t="s">
        <v>1497</v>
      </c>
      <c r="B320" s="620" t="s">
        <v>1498</v>
      </c>
      <c r="C320" s="620">
        <v>0</v>
      </c>
      <c r="D320" s="620">
        <v>0</v>
      </c>
      <c r="E320" s="620">
        <v>0</v>
      </c>
      <c r="F320" s="620">
        <v>1</v>
      </c>
      <c r="G320" s="620">
        <v>0</v>
      </c>
      <c r="H320" s="620">
        <v>1</v>
      </c>
      <c r="I320" s="620">
        <v>0</v>
      </c>
      <c r="J320" s="620">
        <v>0</v>
      </c>
      <c r="K320" s="620">
        <v>1</v>
      </c>
      <c r="L320" s="620">
        <v>0</v>
      </c>
      <c r="M320" s="620">
        <v>0</v>
      </c>
      <c r="N320" s="620">
        <v>0</v>
      </c>
      <c r="O320" s="620">
        <v>0</v>
      </c>
      <c r="R320" s="620">
        <v>1</v>
      </c>
      <c r="S320" s="620">
        <v>10</v>
      </c>
      <c r="T320" s="620">
        <v>5</v>
      </c>
      <c r="U320" s="620">
        <v>0</v>
      </c>
      <c r="V320" s="620">
        <v>0</v>
      </c>
      <c r="W320" s="620">
        <v>0</v>
      </c>
    </row>
    <row r="321" spans="1:23" x14ac:dyDescent="0.25">
      <c r="A321" s="620" t="s">
        <v>1499</v>
      </c>
      <c r="B321" s="620" t="s">
        <v>1500</v>
      </c>
      <c r="C321" s="620">
        <v>0</v>
      </c>
      <c r="D321" s="620">
        <v>0</v>
      </c>
      <c r="E321" s="620">
        <v>0</v>
      </c>
      <c r="F321" s="620">
        <v>960000</v>
      </c>
      <c r="G321" s="620">
        <v>0</v>
      </c>
      <c r="H321" s="620">
        <v>960000</v>
      </c>
      <c r="I321" s="620">
        <v>0</v>
      </c>
      <c r="J321" s="620">
        <v>0</v>
      </c>
      <c r="K321" s="620">
        <v>960000</v>
      </c>
      <c r="L321" s="620">
        <v>0</v>
      </c>
      <c r="M321" s="620">
        <v>0</v>
      </c>
      <c r="N321" s="620">
        <v>0</v>
      </c>
      <c r="O321" s="620">
        <v>0</v>
      </c>
      <c r="R321" s="620">
        <v>1</v>
      </c>
      <c r="S321" s="620">
        <v>7996</v>
      </c>
      <c r="T321" s="620">
        <v>960000</v>
      </c>
      <c r="U321" s="620">
        <v>980000</v>
      </c>
      <c r="V321" s="620">
        <v>411</v>
      </c>
      <c r="W321" s="620">
        <v>1</v>
      </c>
    </row>
    <row r="322" spans="1:23" x14ac:dyDescent="0.25">
      <c r="A322" s="620" t="s">
        <v>1501</v>
      </c>
      <c r="B322" s="620" t="s">
        <v>1502</v>
      </c>
      <c r="C322" s="620">
        <v>0</v>
      </c>
      <c r="D322" s="620">
        <v>0</v>
      </c>
      <c r="E322" s="620">
        <v>0</v>
      </c>
      <c r="F322" s="620">
        <v>1</v>
      </c>
      <c r="G322" s="620">
        <v>0</v>
      </c>
      <c r="H322" s="620">
        <v>1</v>
      </c>
      <c r="I322" s="620">
        <v>0</v>
      </c>
      <c r="J322" s="620">
        <v>0</v>
      </c>
      <c r="K322" s="620">
        <v>1</v>
      </c>
      <c r="L322" s="620">
        <v>0</v>
      </c>
      <c r="M322" s="620">
        <v>0</v>
      </c>
      <c r="N322" s="620">
        <v>0</v>
      </c>
      <c r="O322" s="620">
        <v>0</v>
      </c>
      <c r="R322" s="620">
        <v>1</v>
      </c>
      <c r="S322" s="620">
        <v>5</v>
      </c>
      <c r="T322" s="620">
        <v>50</v>
      </c>
      <c r="U322" s="620">
        <v>0</v>
      </c>
      <c r="V322" s="620">
        <v>0</v>
      </c>
      <c r="W322" s="620">
        <v>0</v>
      </c>
    </row>
    <row r="323" spans="1:23" x14ac:dyDescent="0.25">
      <c r="A323" s="620" t="s">
        <v>1503</v>
      </c>
      <c r="B323" s="620" t="s">
        <v>1504</v>
      </c>
      <c r="C323" s="620">
        <v>0</v>
      </c>
      <c r="D323" s="620">
        <v>0</v>
      </c>
      <c r="E323" s="620">
        <v>0</v>
      </c>
      <c r="F323" s="620">
        <v>950000</v>
      </c>
      <c r="G323" s="620">
        <v>0</v>
      </c>
      <c r="H323" s="620">
        <v>950000</v>
      </c>
      <c r="I323" s="620">
        <v>0</v>
      </c>
      <c r="J323" s="620">
        <v>0</v>
      </c>
      <c r="K323" s="620">
        <v>950000</v>
      </c>
      <c r="L323" s="620">
        <v>0</v>
      </c>
      <c r="M323" s="620">
        <v>0</v>
      </c>
      <c r="N323" s="620">
        <v>0</v>
      </c>
      <c r="O323" s="620">
        <v>0</v>
      </c>
      <c r="R323" s="620">
        <v>1</v>
      </c>
      <c r="S323" s="620">
        <v>2000</v>
      </c>
      <c r="T323" s="620">
        <v>970000</v>
      </c>
      <c r="U323" s="620">
        <v>979000</v>
      </c>
      <c r="V323" s="620">
        <v>2000</v>
      </c>
      <c r="W323" s="620">
        <v>1</v>
      </c>
    </row>
    <row r="324" spans="1:23" x14ac:dyDescent="0.25">
      <c r="A324" s="620" t="s">
        <v>1505</v>
      </c>
      <c r="B324" s="620" t="s">
        <v>1506</v>
      </c>
      <c r="C324" s="620">
        <v>10</v>
      </c>
      <c r="D324" s="620">
        <v>500000</v>
      </c>
      <c r="E324" s="620">
        <v>4950000000</v>
      </c>
      <c r="F324" s="620">
        <v>9990</v>
      </c>
      <c r="G324" s="620">
        <v>9900</v>
      </c>
      <c r="H324" s="620">
        <v>9900</v>
      </c>
      <c r="I324" s="620">
        <v>-90</v>
      </c>
      <c r="J324" s="620">
        <v>-0.9</v>
      </c>
      <c r="K324" s="620">
        <v>9900</v>
      </c>
      <c r="L324" s="620">
        <v>-90</v>
      </c>
      <c r="M324" s="620">
        <v>-0.9</v>
      </c>
      <c r="N324" s="620">
        <v>9900</v>
      </c>
      <c r="O324" s="620">
        <v>9900</v>
      </c>
      <c r="P324" s="620" t="s">
        <v>1507</v>
      </c>
      <c r="Q324" s="620" t="s">
        <v>1508</v>
      </c>
      <c r="R324" s="620">
        <v>0</v>
      </c>
      <c r="S324" s="620">
        <v>0</v>
      </c>
      <c r="T324" s="620">
        <v>0</v>
      </c>
      <c r="U324" s="620">
        <v>9990</v>
      </c>
      <c r="V324" s="620">
        <v>185053</v>
      </c>
      <c r="W324" s="620">
        <v>4</v>
      </c>
    </row>
    <row r="325" spans="1:23" x14ac:dyDescent="0.25">
      <c r="A325" s="620" t="s">
        <v>1509</v>
      </c>
      <c r="B325" s="620" t="s">
        <v>1510</v>
      </c>
      <c r="C325" s="620">
        <v>943</v>
      </c>
      <c r="D325" s="620">
        <v>3751919</v>
      </c>
      <c r="E325" s="620">
        <v>26818240328</v>
      </c>
      <c r="F325" s="620">
        <v>7190</v>
      </c>
      <c r="G325" s="620">
        <v>7007</v>
      </c>
      <c r="H325" s="620">
        <v>7100</v>
      </c>
      <c r="I325" s="620">
        <v>-90</v>
      </c>
      <c r="J325" s="620">
        <v>-1.25</v>
      </c>
      <c r="K325" s="620">
        <v>7148</v>
      </c>
      <c r="L325" s="620">
        <v>-42</v>
      </c>
      <c r="M325" s="620">
        <v>-0.57999999999999996</v>
      </c>
      <c r="N325" s="620">
        <v>6910</v>
      </c>
      <c r="O325" s="620">
        <v>7520</v>
      </c>
      <c r="P325" s="620" t="s">
        <v>942</v>
      </c>
      <c r="Q325" s="620" t="s">
        <v>1511</v>
      </c>
      <c r="R325" s="620">
        <v>1</v>
      </c>
      <c r="S325" s="620">
        <v>700</v>
      </c>
      <c r="T325" s="620">
        <v>7100</v>
      </c>
      <c r="U325" s="620">
        <v>7125</v>
      </c>
      <c r="V325" s="620">
        <v>5000</v>
      </c>
      <c r="W325" s="620">
        <v>1</v>
      </c>
    </row>
    <row r="326" spans="1:23" x14ac:dyDescent="0.25">
      <c r="A326" s="620" t="s">
        <v>1512</v>
      </c>
      <c r="B326" s="620" t="s">
        <v>1513</v>
      </c>
      <c r="C326" s="620">
        <v>0</v>
      </c>
      <c r="D326" s="620">
        <v>0</v>
      </c>
      <c r="E326" s="620">
        <v>0</v>
      </c>
      <c r="F326" s="620">
        <v>19566</v>
      </c>
      <c r="G326" s="620">
        <v>0</v>
      </c>
      <c r="H326" s="620">
        <v>20000</v>
      </c>
      <c r="I326" s="620">
        <v>434</v>
      </c>
      <c r="J326" s="620">
        <v>2.2200000000000002</v>
      </c>
      <c r="K326" s="620">
        <v>19706</v>
      </c>
      <c r="L326" s="620">
        <v>140</v>
      </c>
      <c r="M326" s="620">
        <v>0.72</v>
      </c>
      <c r="N326" s="620">
        <v>0</v>
      </c>
      <c r="O326" s="620">
        <v>0</v>
      </c>
      <c r="R326" s="620">
        <v>0</v>
      </c>
      <c r="S326" s="620">
        <v>0</v>
      </c>
      <c r="T326" s="620">
        <v>0</v>
      </c>
      <c r="U326" s="620">
        <v>20000</v>
      </c>
      <c r="V326" s="620">
        <v>3</v>
      </c>
      <c r="W326" s="620">
        <v>1</v>
      </c>
    </row>
    <row r="327" spans="1:23" x14ac:dyDescent="0.25">
      <c r="A327" s="620" t="s">
        <v>1514</v>
      </c>
      <c r="B327" s="620" t="s">
        <v>1515</v>
      </c>
      <c r="C327" s="620">
        <v>1</v>
      </c>
      <c r="D327" s="620">
        <v>15</v>
      </c>
      <c r="E327" s="620">
        <v>750000</v>
      </c>
      <c r="F327" s="620">
        <v>200</v>
      </c>
      <c r="G327" s="620">
        <v>50</v>
      </c>
      <c r="H327" s="620">
        <v>50</v>
      </c>
      <c r="I327" s="620">
        <v>-150</v>
      </c>
      <c r="J327" s="620">
        <v>-75</v>
      </c>
      <c r="K327" s="620">
        <v>50</v>
      </c>
      <c r="L327" s="620">
        <v>-150</v>
      </c>
      <c r="M327" s="620">
        <v>-75</v>
      </c>
      <c r="N327" s="620">
        <v>50</v>
      </c>
      <c r="O327" s="620">
        <v>50</v>
      </c>
      <c r="R327" s="620">
        <v>1</v>
      </c>
      <c r="S327" s="620">
        <v>85</v>
      </c>
      <c r="T327" s="620">
        <v>50</v>
      </c>
      <c r="U327" s="620">
        <v>200</v>
      </c>
      <c r="V327" s="620">
        <v>300</v>
      </c>
      <c r="W327" s="620">
        <v>3</v>
      </c>
    </row>
    <row r="328" spans="1:23" x14ac:dyDescent="0.25">
      <c r="A328" s="620" t="s">
        <v>1516</v>
      </c>
      <c r="B328" s="620" t="s">
        <v>897</v>
      </c>
      <c r="C328" s="620">
        <v>2</v>
      </c>
      <c r="D328" s="620">
        <v>10000000</v>
      </c>
      <c r="E328" s="620">
        <v>57250000000</v>
      </c>
      <c r="F328" s="620">
        <v>5525</v>
      </c>
      <c r="G328" s="620">
        <v>5750</v>
      </c>
      <c r="H328" s="620">
        <v>5700</v>
      </c>
      <c r="I328" s="620">
        <v>175</v>
      </c>
      <c r="J328" s="620">
        <v>3.17</v>
      </c>
      <c r="K328" s="620">
        <v>5725</v>
      </c>
      <c r="L328" s="620">
        <v>200</v>
      </c>
      <c r="M328" s="620">
        <v>3.62</v>
      </c>
      <c r="N328" s="620">
        <v>5700</v>
      </c>
      <c r="O328" s="620">
        <v>5750</v>
      </c>
      <c r="P328" s="620" t="s">
        <v>898</v>
      </c>
      <c r="Q328" s="620" t="s">
        <v>1517</v>
      </c>
      <c r="R328" s="620">
        <v>0</v>
      </c>
      <c r="S328" s="620">
        <v>0</v>
      </c>
      <c r="T328" s="620">
        <v>0</v>
      </c>
      <c r="U328" s="620">
        <v>0</v>
      </c>
      <c r="V328" s="620">
        <v>0</v>
      </c>
      <c r="W328" s="620">
        <v>0</v>
      </c>
    </row>
    <row r="329" spans="1:23" x14ac:dyDescent="0.25">
      <c r="A329" s="620" t="s">
        <v>1518</v>
      </c>
      <c r="B329" s="620" t="s">
        <v>1519</v>
      </c>
      <c r="C329" s="620">
        <v>0</v>
      </c>
      <c r="D329" s="620">
        <v>0</v>
      </c>
      <c r="E329" s="620">
        <v>0</v>
      </c>
      <c r="F329" s="620">
        <v>703</v>
      </c>
      <c r="G329" s="620">
        <v>0</v>
      </c>
      <c r="H329" s="620">
        <v>800</v>
      </c>
      <c r="I329" s="620">
        <v>97</v>
      </c>
      <c r="J329" s="620">
        <v>13.8</v>
      </c>
      <c r="K329" s="620">
        <v>703</v>
      </c>
      <c r="L329" s="620">
        <v>0</v>
      </c>
      <c r="M329" s="620">
        <v>0</v>
      </c>
      <c r="N329" s="620">
        <v>0</v>
      </c>
      <c r="O329" s="620">
        <v>0</v>
      </c>
      <c r="R329" s="620">
        <v>0</v>
      </c>
      <c r="S329" s="620">
        <v>0</v>
      </c>
      <c r="T329" s="620">
        <v>0</v>
      </c>
      <c r="U329" s="620">
        <v>1500</v>
      </c>
      <c r="V329" s="620">
        <v>1</v>
      </c>
      <c r="W329" s="620">
        <v>1</v>
      </c>
    </row>
    <row r="330" spans="1:23" x14ac:dyDescent="0.25">
      <c r="A330" s="620" t="s">
        <v>1520</v>
      </c>
      <c r="B330" s="620" t="s">
        <v>1521</v>
      </c>
      <c r="C330" s="620">
        <v>0</v>
      </c>
      <c r="D330" s="620">
        <v>0</v>
      </c>
      <c r="E330" s="620">
        <v>0</v>
      </c>
      <c r="F330" s="620">
        <v>1</v>
      </c>
      <c r="G330" s="620">
        <v>0</v>
      </c>
      <c r="H330" s="620">
        <v>1</v>
      </c>
      <c r="I330" s="620">
        <v>0</v>
      </c>
      <c r="J330" s="620">
        <v>0</v>
      </c>
      <c r="K330" s="620">
        <v>1</v>
      </c>
      <c r="L330" s="620">
        <v>0</v>
      </c>
      <c r="M330" s="620">
        <v>0</v>
      </c>
      <c r="N330" s="620">
        <v>0</v>
      </c>
      <c r="O330" s="620">
        <v>0</v>
      </c>
      <c r="R330" s="620">
        <v>1</v>
      </c>
      <c r="S330" s="620">
        <v>10</v>
      </c>
      <c r="T330" s="620">
        <v>1</v>
      </c>
      <c r="U330" s="620">
        <v>0</v>
      </c>
      <c r="V330" s="620">
        <v>0</v>
      </c>
      <c r="W330" s="620">
        <v>0</v>
      </c>
    </row>
    <row r="331" spans="1:23" x14ac:dyDescent="0.25">
      <c r="A331" s="620" t="s">
        <v>1522</v>
      </c>
      <c r="B331" s="620" t="s">
        <v>1523</v>
      </c>
      <c r="C331" s="620">
        <v>748</v>
      </c>
      <c r="D331" s="620">
        <v>1010346</v>
      </c>
      <c r="E331" s="620">
        <v>17331273019</v>
      </c>
      <c r="F331" s="620">
        <v>17014</v>
      </c>
      <c r="G331" s="620">
        <v>16501</v>
      </c>
      <c r="H331" s="620">
        <v>17170</v>
      </c>
      <c r="I331" s="620">
        <v>156</v>
      </c>
      <c r="J331" s="620">
        <v>0.92</v>
      </c>
      <c r="K331" s="620">
        <v>17154</v>
      </c>
      <c r="L331" s="620">
        <v>140</v>
      </c>
      <c r="M331" s="620">
        <v>0.82</v>
      </c>
      <c r="N331" s="620">
        <v>16501</v>
      </c>
      <c r="O331" s="620">
        <v>17750</v>
      </c>
      <c r="P331" s="620" t="s">
        <v>1524</v>
      </c>
      <c r="Q331" s="620" t="s">
        <v>1525</v>
      </c>
      <c r="R331" s="620">
        <v>1</v>
      </c>
      <c r="S331" s="620">
        <v>60</v>
      </c>
      <c r="T331" s="620">
        <v>16851</v>
      </c>
      <c r="U331" s="620">
        <v>17280</v>
      </c>
      <c r="V331" s="620">
        <v>260</v>
      </c>
      <c r="W331" s="620">
        <v>1</v>
      </c>
    </row>
    <row r="332" spans="1:23" x14ac:dyDescent="0.25">
      <c r="A332" s="620" t="s">
        <v>1526</v>
      </c>
      <c r="B332" s="620" t="s">
        <v>1527</v>
      </c>
      <c r="C332" s="620">
        <v>1334</v>
      </c>
      <c r="D332" s="620">
        <v>14932558</v>
      </c>
      <c r="E332" s="620">
        <v>67842248916</v>
      </c>
      <c r="F332" s="620">
        <v>4775</v>
      </c>
      <c r="G332" s="620">
        <v>4537</v>
      </c>
      <c r="H332" s="620">
        <v>4596</v>
      </c>
      <c r="I332" s="620">
        <v>-179</v>
      </c>
      <c r="J332" s="620">
        <v>-3.75</v>
      </c>
      <c r="K332" s="620">
        <v>4543</v>
      </c>
      <c r="L332" s="620">
        <v>-232</v>
      </c>
      <c r="M332" s="620">
        <v>-4.8600000000000003</v>
      </c>
      <c r="N332" s="620">
        <v>4537</v>
      </c>
      <c r="O332" s="620">
        <v>4698</v>
      </c>
      <c r="P332" s="620" t="s">
        <v>1528</v>
      </c>
      <c r="Q332" s="620" t="s">
        <v>1529</v>
      </c>
      <c r="R332" s="620">
        <v>1</v>
      </c>
      <c r="S332" s="620">
        <v>150</v>
      </c>
      <c r="T332" s="620">
        <v>4596</v>
      </c>
      <c r="U332" s="620">
        <v>4598</v>
      </c>
      <c r="V332" s="620">
        <v>20000</v>
      </c>
      <c r="W332" s="620">
        <v>1</v>
      </c>
    </row>
    <row r="333" spans="1:23" x14ac:dyDescent="0.25">
      <c r="A333" s="620" t="s">
        <v>1530</v>
      </c>
      <c r="B333" s="620" t="s">
        <v>1531</v>
      </c>
      <c r="C333" s="620">
        <v>2</v>
      </c>
      <c r="D333" s="620">
        <v>25000</v>
      </c>
      <c r="E333" s="620">
        <v>23750000000</v>
      </c>
      <c r="F333" s="620">
        <v>951655</v>
      </c>
      <c r="G333" s="620">
        <v>950000</v>
      </c>
      <c r="H333" s="620">
        <v>950000</v>
      </c>
      <c r="I333" s="620">
        <v>-1655</v>
      </c>
      <c r="J333" s="620">
        <v>-0.17</v>
      </c>
      <c r="K333" s="620">
        <v>950000</v>
      </c>
      <c r="L333" s="620">
        <v>-1655</v>
      </c>
      <c r="M333" s="620">
        <v>-0.17</v>
      </c>
      <c r="N333" s="620">
        <v>950000</v>
      </c>
      <c r="O333" s="620">
        <v>950000</v>
      </c>
      <c r="R333" s="620">
        <v>1</v>
      </c>
      <c r="S333" s="620">
        <v>100</v>
      </c>
      <c r="T333" s="620">
        <v>950500</v>
      </c>
      <c r="U333" s="620">
        <v>955000</v>
      </c>
      <c r="V333" s="620">
        <v>3000</v>
      </c>
      <c r="W333" s="620">
        <v>1</v>
      </c>
    </row>
    <row r="334" spans="1:23" x14ac:dyDescent="0.25">
      <c r="A334" s="620" t="s">
        <v>1532</v>
      </c>
      <c r="B334" s="620" t="s">
        <v>1533</v>
      </c>
      <c r="C334" s="620">
        <v>57</v>
      </c>
      <c r="D334" s="620">
        <v>286989</v>
      </c>
      <c r="E334" s="620">
        <v>7121058057</v>
      </c>
      <c r="F334" s="620">
        <v>26118</v>
      </c>
      <c r="G334" s="620">
        <v>24813</v>
      </c>
      <c r="H334" s="620">
        <v>24813</v>
      </c>
      <c r="I334" s="620">
        <v>-1305</v>
      </c>
      <c r="J334" s="620">
        <v>-5</v>
      </c>
      <c r="K334" s="620">
        <v>24813</v>
      </c>
      <c r="L334" s="620">
        <v>-1305</v>
      </c>
      <c r="M334" s="620">
        <v>-5</v>
      </c>
      <c r="N334" s="620">
        <v>24813</v>
      </c>
      <c r="O334" s="620">
        <v>24813</v>
      </c>
      <c r="P334" s="620" t="s">
        <v>1534</v>
      </c>
      <c r="Q334" s="620" t="s">
        <v>1535</v>
      </c>
      <c r="R334" s="620">
        <v>0</v>
      </c>
      <c r="S334" s="620">
        <v>0</v>
      </c>
      <c r="T334" s="620">
        <v>0</v>
      </c>
      <c r="U334" s="620">
        <v>24813</v>
      </c>
      <c r="V334" s="620">
        <v>530304</v>
      </c>
      <c r="W334" s="620">
        <v>82</v>
      </c>
    </row>
    <row r="335" spans="1:23" x14ac:dyDescent="0.25">
      <c r="A335" s="620" t="s">
        <v>1536</v>
      </c>
      <c r="B335" s="620" t="s">
        <v>1537</v>
      </c>
      <c r="C335" s="620">
        <v>203</v>
      </c>
      <c r="D335" s="620">
        <v>428927</v>
      </c>
      <c r="E335" s="620">
        <v>4530755901</v>
      </c>
      <c r="F335" s="620">
        <v>11118</v>
      </c>
      <c r="G335" s="620">
        <v>10563</v>
      </c>
      <c r="H335" s="620">
        <v>10563</v>
      </c>
      <c r="I335" s="620">
        <v>-555</v>
      </c>
      <c r="J335" s="620">
        <v>-4.99</v>
      </c>
      <c r="K335" s="620">
        <v>10563</v>
      </c>
      <c r="L335" s="620">
        <v>-555</v>
      </c>
      <c r="M335" s="620">
        <v>-4.99</v>
      </c>
      <c r="N335" s="620">
        <v>10563</v>
      </c>
      <c r="O335" s="620">
        <v>10563</v>
      </c>
      <c r="P335" s="620" t="s">
        <v>1538</v>
      </c>
      <c r="Q335" s="620" t="s">
        <v>1539</v>
      </c>
      <c r="R335" s="620">
        <v>0</v>
      </c>
      <c r="S335" s="620">
        <v>0</v>
      </c>
      <c r="T335" s="620">
        <v>0</v>
      </c>
      <c r="U335" s="620">
        <v>10563</v>
      </c>
      <c r="V335" s="620">
        <v>1763729</v>
      </c>
      <c r="W335" s="620">
        <v>230</v>
      </c>
    </row>
    <row r="336" spans="1:23" x14ac:dyDescent="0.25">
      <c r="A336" s="620" t="s">
        <v>1540</v>
      </c>
      <c r="B336" s="620" t="s">
        <v>1541</v>
      </c>
      <c r="C336" s="620">
        <v>247</v>
      </c>
      <c r="D336" s="620">
        <v>2508431</v>
      </c>
      <c r="E336" s="620">
        <v>25939821014</v>
      </c>
      <c r="F336" s="620">
        <v>10885</v>
      </c>
      <c r="G336" s="620">
        <v>10341</v>
      </c>
      <c r="H336" s="620">
        <v>10341</v>
      </c>
      <c r="I336" s="620">
        <v>-544</v>
      </c>
      <c r="J336" s="620">
        <v>-5</v>
      </c>
      <c r="K336" s="620">
        <v>10341</v>
      </c>
      <c r="L336" s="620">
        <v>-544</v>
      </c>
      <c r="M336" s="620">
        <v>-5</v>
      </c>
      <c r="N336" s="620">
        <v>10341</v>
      </c>
      <c r="O336" s="620">
        <v>10598</v>
      </c>
      <c r="P336" s="620" t="s">
        <v>1542</v>
      </c>
      <c r="Q336" s="620" t="s">
        <v>1543</v>
      </c>
      <c r="R336" s="620">
        <v>1</v>
      </c>
      <c r="S336" s="620">
        <v>192</v>
      </c>
      <c r="T336" s="620">
        <v>10341</v>
      </c>
      <c r="U336" s="620">
        <v>10341</v>
      </c>
      <c r="V336" s="620">
        <v>17750</v>
      </c>
      <c r="W336" s="620">
        <v>1</v>
      </c>
    </row>
    <row r="337" spans="1:23" x14ac:dyDescent="0.25">
      <c r="A337" s="620" t="s">
        <v>1544</v>
      </c>
      <c r="B337" s="620" t="s">
        <v>1545</v>
      </c>
      <c r="C337" s="620">
        <v>212</v>
      </c>
      <c r="D337" s="620">
        <v>113588</v>
      </c>
      <c r="E337" s="620">
        <v>5325686968</v>
      </c>
      <c r="F337" s="620">
        <v>49353</v>
      </c>
      <c r="G337" s="620">
        <v>46886</v>
      </c>
      <c r="H337" s="620">
        <v>46886</v>
      </c>
      <c r="I337" s="620">
        <v>-2467</v>
      </c>
      <c r="J337" s="620">
        <v>-5</v>
      </c>
      <c r="K337" s="620">
        <v>46886</v>
      </c>
      <c r="L337" s="620">
        <v>-2467</v>
      </c>
      <c r="M337" s="620">
        <v>-5</v>
      </c>
      <c r="N337" s="620">
        <v>46886</v>
      </c>
      <c r="O337" s="620">
        <v>46886</v>
      </c>
      <c r="P337" s="620" t="s">
        <v>1546</v>
      </c>
      <c r="Q337" s="620" t="s">
        <v>806</v>
      </c>
      <c r="R337" s="620">
        <v>0</v>
      </c>
      <c r="S337" s="620">
        <v>0</v>
      </c>
      <c r="T337" s="620">
        <v>0</v>
      </c>
      <c r="U337" s="620">
        <v>46886</v>
      </c>
      <c r="V337" s="620">
        <v>474217</v>
      </c>
      <c r="W337" s="620">
        <v>102</v>
      </c>
    </row>
    <row r="338" spans="1:23" x14ac:dyDescent="0.25">
      <c r="A338" s="620" t="s">
        <v>1547</v>
      </c>
      <c r="B338" s="620" t="s">
        <v>1548</v>
      </c>
      <c r="C338" s="620">
        <v>38</v>
      </c>
      <c r="D338" s="620">
        <v>228900</v>
      </c>
      <c r="E338" s="620">
        <v>824520900</v>
      </c>
      <c r="F338" s="620">
        <v>3674</v>
      </c>
      <c r="G338" s="620">
        <v>3601</v>
      </c>
      <c r="H338" s="620">
        <v>3601</v>
      </c>
      <c r="I338" s="620">
        <v>-73</v>
      </c>
      <c r="J338" s="620">
        <v>-1.99</v>
      </c>
      <c r="K338" s="620">
        <v>3602</v>
      </c>
      <c r="L338" s="620">
        <v>-72</v>
      </c>
      <c r="M338" s="620">
        <v>-1.96</v>
      </c>
      <c r="N338" s="620">
        <v>3601</v>
      </c>
      <c r="O338" s="620">
        <v>3629</v>
      </c>
      <c r="P338" s="620" t="s">
        <v>1549</v>
      </c>
      <c r="Q338" s="620" t="s">
        <v>1550</v>
      </c>
      <c r="R338" s="620">
        <v>0</v>
      </c>
      <c r="S338" s="620">
        <v>0</v>
      </c>
      <c r="T338" s="620">
        <v>0</v>
      </c>
      <c r="U338" s="620">
        <v>3601</v>
      </c>
      <c r="V338" s="620">
        <v>46980</v>
      </c>
      <c r="W338" s="620">
        <v>3</v>
      </c>
    </row>
    <row r="339" spans="1:23" x14ac:dyDescent="0.25">
      <c r="A339" s="620" t="s">
        <v>1551</v>
      </c>
      <c r="B339" s="620" t="s">
        <v>1552</v>
      </c>
      <c r="C339" s="620">
        <v>0</v>
      </c>
      <c r="D339" s="620">
        <v>0</v>
      </c>
      <c r="E339" s="620">
        <v>0</v>
      </c>
      <c r="F339" s="620">
        <v>1</v>
      </c>
      <c r="G339" s="620">
        <v>0</v>
      </c>
      <c r="H339" s="620">
        <v>1</v>
      </c>
      <c r="I339" s="620">
        <v>0</v>
      </c>
      <c r="J339" s="620">
        <v>0</v>
      </c>
      <c r="K339" s="620">
        <v>1</v>
      </c>
      <c r="L339" s="620">
        <v>0</v>
      </c>
      <c r="M339" s="620">
        <v>0</v>
      </c>
      <c r="N339" s="620">
        <v>0</v>
      </c>
      <c r="O339" s="620">
        <v>0</v>
      </c>
      <c r="R339" s="620">
        <v>1</v>
      </c>
      <c r="S339" s="620">
        <v>100</v>
      </c>
      <c r="T339" s="620">
        <v>110</v>
      </c>
      <c r="U339" s="620">
        <v>0</v>
      </c>
      <c r="V339" s="620">
        <v>0</v>
      </c>
      <c r="W339" s="620">
        <v>0</v>
      </c>
    </row>
    <row r="340" spans="1:23" x14ac:dyDescent="0.25">
      <c r="A340" s="620" t="s">
        <v>1553</v>
      </c>
      <c r="B340" s="620" t="s">
        <v>1554</v>
      </c>
      <c r="C340" s="620">
        <v>485</v>
      </c>
      <c r="D340" s="620">
        <v>1626161</v>
      </c>
      <c r="E340" s="620">
        <v>21421306301</v>
      </c>
      <c r="F340" s="620">
        <v>12659</v>
      </c>
      <c r="G340" s="620">
        <v>13000</v>
      </c>
      <c r="H340" s="620">
        <v>13015</v>
      </c>
      <c r="I340" s="620">
        <v>356</v>
      </c>
      <c r="J340" s="620">
        <v>2.81</v>
      </c>
      <c r="K340" s="620">
        <v>13173</v>
      </c>
      <c r="L340" s="620">
        <v>514</v>
      </c>
      <c r="M340" s="620">
        <v>4.0599999999999996</v>
      </c>
      <c r="N340" s="620">
        <v>12720</v>
      </c>
      <c r="O340" s="620">
        <v>13291</v>
      </c>
      <c r="P340" s="620" t="s">
        <v>1555</v>
      </c>
      <c r="Q340" s="620" t="s">
        <v>1556</v>
      </c>
      <c r="R340" s="620">
        <v>1</v>
      </c>
      <c r="S340" s="620">
        <v>2620</v>
      </c>
      <c r="T340" s="620">
        <v>13010</v>
      </c>
      <c r="U340" s="620">
        <v>13020</v>
      </c>
      <c r="V340" s="620">
        <v>151</v>
      </c>
      <c r="W340" s="620">
        <v>1</v>
      </c>
    </row>
    <row r="341" spans="1:23" x14ac:dyDescent="0.25">
      <c r="A341" s="620" t="s">
        <v>1557</v>
      </c>
      <c r="B341" s="620" t="s">
        <v>1558</v>
      </c>
      <c r="C341" s="620">
        <v>0</v>
      </c>
      <c r="D341" s="620">
        <v>0</v>
      </c>
      <c r="E341" s="620">
        <v>0</v>
      </c>
      <c r="F341" s="620">
        <v>977857</v>
      </c>
      <c r="G341" s="620">
        <v>0</v>
      </c>
      <c r="H341" s="620">
        <v>987000</v>
      </c>
      <c r="I341" s="620">
        <v>9143</v>
      </c>
      <c r="J341" s="620">
        <v>0.94</v>
      </c>
      <c r="K341" s="620">
        <v>977857</v>
      </c>
      <c r="L341" s="620">
        <v>0</v>
      </c>
      <c r="M341" s="620">
        <v>0</v>
      </c>
      <c r="N341" s="620">
        <v>0</v>
      </c>
      <c r="O341" s="620">
        <v>0</v>
      </c>
      <c r="R341" s="620">
        <v>1</v>
      </c>
      <c r="S341" s="620">
        <v>10</v>
      </c>
      <c r="T341" s="620">
        <v>977666</v>
      </c>
      <c r="U341" s="620">
        <v>983800</v>
      </c>
      <c r="V341" s="620">
        <v>3</v>
      </c>
      <c r="W341" s="620">
        <v>1</v>
      </c>
    </row>
    <row r="342" spans="1:23" x14ac:dyDescent="0.25">
      <c r="A342" s="620" t="s">
        <v>1559</v>
      </c>
      <c r="B342" s="620" t="s">
        <v>1560</v>
      </c>
      <c r="C342" s="620">
        <v>2673</v>
      </c>
      <c r="D342" s="620">
        <v>31825894</v>
      </c>
      <c r="E342" s="620">
        <v>101705529370</v>
      </c>
      <c r="F342" s="620">
        <v>3147</v>
      </c>
      <c r="G342" s="620">
        <v>3112</v>
      </c>
      <c r="H342" s="620">
        <v>3180</v>
      </c>
      <c r="I342" s="620">
        <v>33</v>
      </c>
      <c r="J342" s="620">
        <v>1.05</v>
      </c>
      <c r="K342" s="620">
        <v>3196</v>
      </c>
      <c r="L342" s="620">
        <v>49</v>
      </c>
      <c r="M342" s="620">
        <v>1.56</v>
      </c>
      <c r="N342" s="620">
        <v>3090</v>
      </c>
      <c r="O342" s="620">
        <v>3255</v>
      </c>
      <c r="P342" s="620" t="s">
        <v>1561</v>
      </c>
      <c r="Q342" s="620" t="s">
        <v>1562</v>
      </c>
      <c r="R342" s="620">
        <v>1</v>
      </c>
      <c r="S342" s="620">
        <v>497</v>
      </c>
      <c r="T342" s="620">
        <v>3179</v>
      </c>
      <c r="U342" s="620">
        <v>3180</v>
      </c>
      <c r="V342" s="620">
        <v>10000</v>
      </c>
      <c r="W342" s="620">
        <v>1</v>
      </c>
    </row>
    <row r="343" spans="1:23" x14ac:dyDescent="0.25">
      <c r="A343" s="620" t="s">
        <v>1563</v>
      </c>
      <c r="B343" s="620" t="s">
        <v>1564</v>
      </c>
      <c r="C343" s="620">
        <v>504</v>
      </c>
      <c r="D343" s="620">
        <v>756453</v>
      </c>
      <c r="E343" s="620">
        <v>15893477965</v>
      </c>
      <c r="F343" s="620">
        <v>20644</v>
      </c>
      <c r="G343" s="620">
        <v>20900</v>
      </c>
      <c r="H343" s="620">
        <v>20999</v>
      </c>
      <c r="I343" s="620">
        <v>355</v>
      </c>
      <c r="J343" s="620">
        <v>1.72</v>
      </c>
      <c r="K343" s="620">
        <v>21011</v>
      </c>
      <c r="L343" s="620">
        <v>367</v>
      </c>
      <c r="M343" s="620">
        <v>1.78</v>
      </c>
      <c r="N343" s="620">
        <v>20640</v>
      </c>
      <c r="O343" s="620">
        <v>21450</v>
      </c>
      <c r="P343" s="620" t="s">
        <v>1565</v>
      </c>
      <c r="Q343" s="620" t="s">
        <v>1566</v>
      </c>
      <c r="R343" s="620">
        <v>1</v>
      </c>
      <c r="S343" s="620">
        <v>250</v>
      </c>
      <c r="T343" s="620">
        <v>20902</v>
      </c>
      <c r="U343" s="620">
        <v>21000</v>
      </c>
      <c r="V343" s="620">
        <v>300</v>
      </c>
      <c r="W343" s="620">
        <v>1</v>
      </c>
    </row>
    <row r="344" spans="1:23" x14ac:dyDescent="0.25">
      <c r="A344" s="620" t="s">
        <v>1567</v>
      </c>
      <c r="B344" s="620" t="s">
        <v>1568</v>
      </c>
      <c r="C344" s="620">
        <v>302</v>
      </c>
      <c r="D344" s="620">
        <v>827051</v>
      </c>
      <c r="E344" s="620">
        <v>6292846845</v>
      </c>
      <c r="F344" s="620">
        <v>7563</v>
      </c>
      <c r="G344" s="620">
        <v>7549</v>
      </c>
      <c r="H344" s="620">
        <v>7430</v>
      </c>
      <c r="I344" s="620">
        <v>-133</v>
      </c>
      <c r="J344" s="620">
        <v>-1.76</v>
      </c>
      <c r="K344" s="620">
        <v>7602</v>
      </c>
      <c r="L344" s="620">
        <v>39</v>
      </c>
      <c r="M344" s="620">
        <v>0.52</v>
      </c>
      <c r="N344" s="620">
        <v>7410</v>
      </c>
      <c r="O344" s="620">
        <v>7851</v>
      </c>
      <c r="P344" s="620" t="s">
        <v>1569</v>
      </c>
      <c r="Q344" s="620" t="s">
        <v>1570</v>
      </c>
      <c r="R344" s="620">
        <v>1</v>
      </c>
      <c r="S344" s="620">
        <v>194</v>
      </c>
      <c r="T344" s="620">
        <v>7430</v>
      </c>
      <c r="U344" s="620">
        <v>7450</v>
      </c>
      <c r="V344" s="620">
        <v>70806</v>
      </c>
      <c r="W344" s="620">
        <v>3</v>
      </c>
    </row>
    <row r="345" spans="1:23" x14ac:dyDescent="0.25">
      <c r="A345" s="620" t="s">
        <v>1571</v>
      </c>
      <c r="B345" s="620" t="s">
        <v>1572</v>
      </c>
      <c r="C345" s="620">
        <v>1711</v>
      </c>
      <c r="D345" s="620">
        <v>17187932</v>
      </c>
      <c r="E345" s="620">
        <v>66054916768</v>
      </c>
      <c r="F345" s="620">
        <v>3817</v>
      </c>
      <c r="G345" s="620">
        <v>3717</v>
      </c>
      <c r="H345" s="620">
        <v>3805</v>
      </c>
      <c r="I345" s="620">
        <v>-12</v>
      </c>
      <c r="J345" s="620">
        <v>-0.31</v>
      </c>
      <c r="K345" s="620">
        <v>3843</v>
      </c>
      <c r="L345" s="620">
        <v>26</v>
      </c>
      <c r="M345" s="620">
        <v>0.68</v>
      </c>
      <c r="N345" s="620">
        <v>3717</v>
      </c>
      <c r="O345" s="620">
        <v>3940</v>
      </c>
      <c r="P345" s="620" t="s">
        <v>1573</v>
      </c>
      <c r="Q345" s="620" t="s">
        <v>1058</v>
      </c>
      <c r="R345" s="620">
        <v>2</v>
      </c>
      <c r="S345" s="620">
        <v>1850</v>
      </c>
      <c r="T345" s="620">
        <v>3800</v>
      </c>
      <c r="U345" s="620">
        <v>3820</v>
      </c>
      <c r="V345" s="620">
        <v>75380</v>
      </c>
      <c r="W345" s="620">
        <v>4</v>
      </c>
    </row>
    <row r="346" spans="1:23" x14ac:dyDescent="0.25">
      <c r="A346" s="620" t="s">
        <v>1574</v>
      </c>
      <c r="B346" s="620" t="s">
        <v>1575</v>
      </c>
      <c r="C346" s="620">
        <v>29</v>
      </c>
      <c r="D346" s="620">
        <v>31816</v>
      </c>
      <c r="E346" s="620">
        <v>1402998311</v>
      </c>
      <c r="F346" s="620">
        <v>45087</v>
      </c>
      <c r="G346" s="620">
        <v>44119</v>
      </c>
      <c r="H346" s="620">
        <v>43913</v>
      </c>
      <c r="I346" s="620">
        <v>-1174</v>
      </c>
      <c r="J346" s="620">
        <v>-2.6</v>
      </c>
      <c r="K346" s="620">
        <v>44097</v>
      </c>
      <c r="L346" s="620">
        <v>-990</v>
      </c>
      <c r="M346" s="620">
        <v>-2.2000000000000002</v>
      </c>
      <c r="N346" s="620">
        <v>43913</v>
      </c>
      <c r="O346" s="620">
        <v>44755</v>
      </c>
      <c r="R346" s="620">
        <v>1</v>
      </c>
      <c r="S346" s="620">
        <v>50000</v>
      </c>
      <c r="T346" s="620">
        <v>43919</v>
      </c>
      <c r="U346" s="620">
        <v>44360</v>
      </c>
      <c r="V346" s="620">
        <v>50000</v>
      </c>
      <c r="W346" s="620">
        <v>1</v>
      </c>
    </row>
    <row r="347" spans="1:23" x14ac:dyDescent="0.25">
      <c r="A347" s="620" t="s">
        <v>1576</v>
      </c>
      <c r="B347" s="620" t="s">
        <v>1577</v>
      </c>
      <c r="C347" s="620">
        <v>41</v>
      </c>
      <c r="D347" s="620">
        <v>67328</v>
      </c>
      <c r="E347" s="620">
        <v>607231232</v>
      </c>
      <c r="F347" s="620">
        <v>8590</v>
      </c>
      <c r="G347" s="620">
        <v>9019</v>
      </c>
      <c r="H347" s="620">
        <v>9019</v>
      </c>
      <c r="I347" s="620">
        <v>429</v>
      </c>
      <c r="J347" s="620">
        <v>4.99</v>
      </c>
      <c r="K347" s="620">
        <v>8718</v>
      </c>
      <c r="L347" s="620">
        <v>128</v>
      </c>
      <c r="M347" s="620">
        <v>1.49</v>
      </c>
      <c r="N347" s="620">
        <v>9019</v>
      </c>
      <c r="O347" s="620">
        <v>9019</v>
      </c>
      <c r="P347" s="620" t="s">
        <v>1052</v>
      </c>
      <c r="Q347" s="620" t="s">
        <v>1578</v>
      </c>
      <c r="R347" s="620">
        <v>263</v>
      </c>
      <c r="S347" s="620">
        <v>1144124</v>
      </c>
      <c r="T347" s="620">
        <v>9019</v>
      </c>
      <c r="U347" s="620">
        <v>15000</v>
      </c>
      <c r="V347" s="620">
        <v>700</v>
      </c>
      <c r="W347" s="620">
        <v>1</v>
      </c>
    </row>
    <row r="348" spans="1:23" x14ac:dyDescent="0.25">
      <c r="A348" s="620" t="s">
        <v>1579</v>
      </c>
      <c r="B348" s="620" t="s">
        <v>1580</v>
      </c>
      <c r="C348" s="620">
        <v>132</v>
      </c>
      <c r="D348" s="620">
        <v>100905</v>
      </c>
      <c r="E348" s="620">
        <v>1519629300</v>
      </c>
      <c r="F348" s="620">
        <v>15852</v>
      </c>
      <c r="G348" s="620">
        <v>15060</v>
      </c>
      <c r="H348" s="620">
        <v>15060</v>
      </c>
      <c r="I348" s="620">
        <v>-792</v>
      </c>
      <c r="J348" s="620">
        <v>-5</v>
      </c>
      <c r="K348" s="620">
        <v>15060</v>
      </c>
      <c r="L348" s="620">
        <v>-792</v>
      </c>
      <c r="M348" s="620">
        <v>-5</v>
      </c>
      <c r="N348" s="620">
        <v>15060</v>
      </c>
      <c r="O348" s="620">
        <v>15060</v>
      </c>
      <c r="P348" s="620" t="s">
        <v>1581</v>
      </c>
      <c r="Q348" s="620" t="s">
        <v>1582</v>
      </c>
      <c r="R348" s="620">
        <v>0</v>
      </c>
      <c r="S348" s="620">
        <v>0</v>
      </c>
      <c r="T348" s="620">
        <v>0</v>
      </c>
      <c r="U348" s="620">
        <v>15060</v>
      </c>
      <c r="V348" s="620">
        <v>619220</v>
      </c>
      <c r="W348" s="620">
        <v>117</v>
      </c>
    </row>
    <row r="349" spans="1:23" x14ac:dyDescent="0.25">
      <c r="A349" s="620" t="s">
        <v>1583</v>
      </c>
      <c r="B349" s="620" t="s">
        <v>1584</v>
      </c>
      <c r="C349" s="620">
        <v>287</v>
      </c>
      <c r="D349" s="620">
        <v>316085</v>
      </c>
      <c r="E349" s="620">
        <v>14404606307</v>
      </c>
      <c r="F349" s="620">
        <v>44245</v>
      </c>
      <c r="G349" s="620">
        <v>45572</v>
      </c>
      <c r="H349" s="620">
        <v>45572</v>
      </c>
      <c r="I349" s="620">
        <v>1327</v>
      </c>
      <c r="J349" s="620">
        <v>3</v>
      </c>
      <c r="K349" s="620">
        <v>45572</v>
      </c>
      <c r="L349" s="620">
        <v>1327</v>
      </c>
      <c r="M349" s="620">
        <v>3</v>
      </c>
      <c r="N349" s="620">
        <v>45568</v>
      </c>
      <c r="O349" s="620">
        <v>45572</v>
      </c>
      <c r="P349" s="620" t="s">
        <v>1585</v>
      </c>
      <c r="Q349" s="620" t="s">
        <v>1586</v>
      </c>
      <c r="R349" s="620">
        <v>76</v>
      </c>
      <c r="S349" s="620">
        <v>36901</v>
      </c>
      <c r="T349" s="620">
        <v>45572</v>
      </c>
      <c r="U349" s="620">
        <v>0</v>
      </c>
      <c r="V349" s="620">
        <v>0</v>
      </c>
      <c r="W349" s="620">
        <v>0</v>
      </c>
    </row>
    <row r="350" spans="1:23" x14ac:dyDescent="0.25">
      <c r="A350" s="620" t="s">
        <v>1587</v>
      </c>
      <c r="B350" s="620" t="s">
        <v>1588</v>
      </c>
      <c r="C350" s="620">
        <v>43</v>
      </c>
      <c r="D350" s="620">
        <v>14996</v>
      </c>
      <c r="E350" s="620">
        <v>590842400</v>
      </c>
      <c r="F350" s="620">
        <v>40618</v>
      </c>
      <c r="G350" s="620">
        <v>39400</v>
      </c>
      <c r="H350" s="620">
        <v>39400</v>
      </c>
      <c r="I350" s="620">
        <v>-1218</v>
      </c>
      <c r="J350" s="620">
        <v>-3</v>
      </c>
      <c r="K350" s="620">
        <v>39400</v>
      </c>
      <c r="L350" s="620">
        <v>-1218</v>
      </c>
      <c r="M350" s="620">
        <v>-3</v>
      </c>
      <c r="N350" s="620">
        <v>39400</v>
      </c>
      <c r="O350" s="620">
        <v>39400</v>
      </c>
      <c r="P350" s="620" t="s">
        <v>1589</v>
      </c>
      <c r="Q350" s="620" t="s">
        <v>1590</v>
      </c>
      <c r="R350" s="620">
        <v>0</v>
      </c>
      <c r="S350" s="620">
        <v>0</v>
      </c>
      <c r="T350" s="620">
        <v>0</v>
      </c>
      <c r="U350" s="620">
        <v>39400</v>
      </c>
      <c r="V350" s="620">
        <v>462546</v>
      </c>
      <c r="W350" s="620">
        <v>120</v>
      </c>
    </row>
    <row r="351" spans="1:23" x14ac:dyDescent="0.25">
      <c r="A351" s="620" t="s">
        <v>1591</v>
      </c>
      <c r="B351" s="620" t="s">
        <v>1592</v>
      </c>
      <c r="C351" s="620">
        <v>12</v>
      </c>
      <c r="D351" s="620">
        <v>1150</v>
      </c>
      <c r="E351" s="620">
        <v>380505580</v>
      </c>
      <c r="F351" s="620">
        <v>347420</v>
      </c>
      <c r="G351" s="620">
        <v>349000</v>
      </c>
      <c r="H351" s="620">
        <v>330049</v>
      </c>
      <c r="I351" s="620">
        <v>-17371</v>
      </c>
      <c r="J351" s="620">
        <v>-5</v>
      </c>
      <c r="K351" s="620">
        <v>330874</v>
      </c>
      <c r="L351" s="620">
        <v>-16546</v>
      </c>
      <c r="M351" s="620">
        <v>-4.76</v>
      </c>
      <c r="N351" s="620">
        <v>330049</v>
      </c>
      <c r="O351" s="620">
        <v>349000</v>
      </c>
      <c r="R351" s="620">
        <v>1</v>
      </c>
      <c r="S351" s="620">
        <v>16</v>
      </c>
      <c r="T351" s="620">
        <v>306887</v>
      </c>
      <c r="U351" s="620">
        <v>340999</v>
      </c>
      <c r="V351" s="620">
        <v>100</v>
      </c>
      <c r="W351" s="620">
        <v>1</v>
      </c>
    </row>
    <row r="352" spans="1:23" x14ac:dyDescent="0.25">
      <c r="A352" s="620" t="s">
        <v>1593</v>
      </c>
      <c r="B352" s="620" t="s">
        <v>1594</v>
      </c>
      <c r="C352" s="620">
        <v>74</v>
      </c>
      <c r="D352" s="620">
        <v>78387</v>
      </c>
      <c r="E352" s="620">
        <v>938057229</v>
      </c>
      <c r="F352" s="620">
        <v>12337</v>
      </c>
      <c r="G352" s="620">
        <v>11967</v>
      </c>
      <c r="H352" s="620">
        <v>11967</v>
      </c>
      <c r="I352" s="620">
        <v>-370</v>
      </c>
      <c r="J352" s="620">
        <v>-3</v>
      </c>
      <c r="K352" s="620">
        <v>11967</v>
      </c>
      <c r="L352" s="620">
        <v>-370</v>
      </c>
      <c r="M352" s="620">
        <v>-3</v>
      </c>
      <c r="N352" s="620">
        <v>11967</v>
      </c>
      <c r="O352" s="620">
        <v>11967</v>
      </c>
      <c r="P352" s="620" t="s">
        <v>1595</v>
      </c>
      <c r="Q352" s="620" t="s">
        <v>1596</v>
      </c>
      <c r="R352" s="620">
        <v>0</v>
      </c>
      <c r="S352" s="620">
        <v>0</v>
      </c>
      <c r="T352" s="620">
        <v>0</v>
      </c>
      <c r="U352" s="620">
        <v>11967</v>
      </c>
      <c r="V352" s="620">
        <v>53844</v>
      </c>
      <c r="W352" s="620">
        <v>18</v>
      </c>
    </row>
    <row r="353" spans="1:23" x14ac:dyDescent="0.25">
      <c r="A353" s="620" t="s">
        <v>1597</v>
      </c>
      <c r="B353" s="620" t="s">
        <v>1598</v>
      </c>
      <c r="C353" s="620">
        <v>311</v>
      </c>
      <c r="D353" s="620">
        <v>2790064</v>
      </c>
      <c r="E353" s="620">
        <v>11381069633</v>
      </c>
      <c r="F353" s="620">
        <v>4257</v>
      </c>
      <c r="G353" s="620">
        <v>4045</v>
      </c>
      <c r="H353" s="620">
        <v>4045</v>
      </c>
      <c r="I353" s="620">
        <v>-212</v>
      </c>
      <c r="J353" s="620">
        <v>-4.9800000000000004</v>
      </c>
      <c r="K353" s="620">
        <v>4079</v>
      </c>
      <c r="L353" s="620">
        <v>-178</v>
      </c>
      <c r="M353" s="620">
        <v>-4.18</v>
      </c>
      <c r="N353" s="620">
        <v>4045</v>
      </c>
      <c r="O353" s="620">
        <v>4257</v>
      </c>
      <c r="P353" s="620" t="s">
        <v>1599</v>
      </c>
      <c r="Q353" s="620" t="s">
        <v>1600</v>
      </c>
      <c r="R353" s="620">
        <v>1</v>
      </c>
      <c r="S353" s="620">
        <v>1000</v>
      </c>
      <c r="T353" s="620">
        <v>2438</v>
      </c>
      <c r="U353" s="620">
        <v>4045</v>
      </c>
      <c r="V353" s="620">
        <v>12002</v>
      </c>
      <c r="W353" s="620">
        <v>2</v>
      </c>
    </row>
    <row r="354" spans="1:23" x14ac:dyDescent="0.25">
      <c r="A354" s="620" t="s">
        <v>1601</v>
      </c>
      <c r="B354" s="620" t="s">
        <v>1602</v>
      </c>
      <c r="C354" s="620">
        <v>8</v>
      </c>
      <c r="D354" s="620">
        <v>262000</v>
      </c>
      <c r="E354" s="620">
        <v>658406000</v>
      </c>
      <c r="F354" s="620">
        <v>2464</v>
      </c>
      <c r="G354" s="620">
        <v>2513</v>
      </c>
      <c r="H354" s="620">
        <v>2513</v>
      </c>
      <c r="I354" s="620">
        <v>49</v>
      </c>
      <c r="J354" s="620">
        <v>1.99</v>
      </c>
      <c r="K354" s="620">
        <v>2513</v>
      </c>
      <c r="L354" s="620">
        <v>49</v>
      </c>
      <c r="M354" s="620">
        <v>1.99</v>
      </c>
      <c r="N354" s="620">
        <v>2513</v>
      </c>
      <c r="O354" s="620">
        <v>2513</v>
      </c>
      <c r="P354" s="620" t="s">
        <v>1603</v>
      </c>
      <c r="Q354" s="620" t="s">
        <v>1604</v>
      </c>
      <c r="R354" s="620">
        <v>50</v>
      </c>
      <c r="S354" s="620">
        <v>2168896</v>
      </c>
      <c r="T354" s="620">
        <v>2513</v>
      </c>
      <c r="U354" s="620">
        <v>0</v>
      </c>
      <c r="V354" s="620">
        <v>0</v>
      </c>
      <c r="W354" s="620">
        <v>0</v>
      </c>
    </row>
    <row r="355" spans="1:23" x14ac:dyDescent="0.25">
      <c r="A355" s="620" t="s">
        <v>1605</v>
      </c>
      <c r="B355" s="620" t="s">
        <v>1606</v>
      </c>
      <c r="C355" s="620">
        <v>247</v>
      </c>
      <c r="D355" s="620">
        <v>1657196</v>
      </c>
      <c r="E355" s="620">
        <v>10704573791</v>
      </c>
      <c r="F355" s="620">
        <v>6578</v>
      </c>
      <c r="G355" s="620">
        <v>6325</v>
      </c>
      <c r="H355" s="620">
        <v>6469</v>
      </c>
      <c r="I355" s="620">
        <v>-109</v>
      </c>
      <c r="J355" s="620">
        <v>-1.66</v>
      </c>
      <c r="K355" s="620">
        <v>6459</v>
      </c>
      <c r="L355" s="620">
        <v>-119</v>
      </c>
      <c r="M355" s="620">
        <v>-1.81</v>
      </c>
      <c r="N355" s="620">
        <v>6325</v>
      </c>
      <c r="O355" s="620">
        <v>6538</v>
      </c>
      <c r="P355" s="620" t="s">
        <v>1607</v>
      </c>
      <c r="Q355" s="620" t="s">
        <v>1608</v>
      </c>
      <c r="R355" s="620">
        <v>1</v>
      </c>
      <c r="S355" s="620">
        <v>2417</v>
      </c>
      <c r="T355" s="620">
        <v>6469</v>
      </c>
      <c r="U355" s="620">
        <v>6470</v>
      </c>
      <c r="V355" s="620">
        <v>2846</v>
      </c>
      <c r="W355" s="620">
        <v>1</v>
      </c>
    </row>
    <row r="356" spans="1:23" x14ac:dyDescent="0.25">
      <c r="A356" s="620" t="s">
        <v>1609</v>
      </c>
      <c r="B356" s="620" t="s">
        <v>1610</v>
      </c>
      <c r="C356" s="620">
        <v>2912</v>
      </c>
      <c r="D356" s="620">
        <v>19762605</v>
      </c>
      <c r="E356" s="620">
        <v>55659714100</v>
      </c>
      <c r="F356" s="620">
        <v>2834</v>
      </c>
      <c r="G356" s="620">
        <v>2760</v>
      </c>
      <c r="H356" s="620">
        <v>2833</v>
      </c>
      <c r="I356" s="620">
        <v>-1</v>
      </c>
      <c r="J356" s="620">
        <v>-0.04</v>
      </c>
      <c r="K356" s="620">
        <v>2816</v>
      </c>
      <c r="L356" s="620">
        <v>-18</v>
      </c>
      <c r="M356" s="620">
        <v>-0.64</v>
      </c>
      <c r="N356" s="620">
        <v>2757</v>
      </c>
      <c r="O356" s="620">
        <v>2870</v>
      </c>
      <c r="P356" s="620" t="s">
        <v>1611</v>
      </c>
      <c r="Q356" s="620" t="s">
        <v>612</v>
      </c>
      <c r="R356" s="620">
        <v>1</v>
      </c>
      <c r="S356" s="620">
        <v>1754</v>
      </c>
      <c r="T356" s="620">
        <v>2822</v>
      </c>
      <c r="U356" s="620">
        <v>2834</v>
      </c>
      <c r="V356" s="620">
        <v>377</v>
      </c>
      <c r="W356" s="620">
        <v>1</v>
      </c>
    </row>
    <row r="357" spans="1:23" x14ac:dyDescent="0.25">
      <c r="A357" s="620" t="s">
        <v>1612</v>
      </c>
      <c r="B357" s="620" t="s">
        <v>1613</v>
      </c>
      <c r="C357" s="620">
        <v>565</v>
      </c>
      <c r="D357" s="620">
        <v>1881200</v>
      </c>
      <c r="E357" s="620">
        <v>13584536547</v>
      </c>
      <c r="F357" s="620">
        <v>7578</v>
      </c>
      <c r="G357" s="620">
        <v>7200</v>
      </c>
      <c r="H357" s="620">
        <v>7200</v>
      </c>
      <c r="I357" s="620">
        <v>-378</v>
      </c>
      <c r="J357" s="620">
        <v>-4.99</v>
      </c>
      <c r="K357" s="620">
        <v>7221</v>
      </c>
      <c r="L357" s="620">
        <v>-357</v>
      </c>
      <c r="M357" s="620">
        <v>-4.71</v>
      </c>
      <c r="N357" s="620">
        <v>7200</v>
      </c>
      <c r="O357" s="620">
        <v>7447</v>
      </c>
      <c r="P357" s="620" t="s">
        <v>652</v>
      </c>
      <c r="Q357" s="620" t="s">
        <v>1614</v>
      </c>
      <c r="R357" s="620">
        <v>0</v>
      </c>
      <c r="S357" s="620">
        <v>0</v>
      </c>
      <c r="T357" s="620">
        <v>0</v>
      </c>
      <c r="U357" s="620">
        <v>7200</v>
      </c>
      <c r="V357" s="620">
        <v>412602</v>
      </c>
      <c r="W357" s="620">
        <v>25</v>
      </c>
    </row>
    <row r="358" spans="1:23" x14ac:dyDescent="0.25">
      <c r="A358" s="620" t="s">
        <v>1615</v>
      </c>
      <c r="B358" s="620" t="s">
        <v>1616</v>
      </c>
      <c r="C358" s="620">
        <v>1598</v>
      </c>
      <c r="D358" s="620">
        <v>17433061</v>
      </c>
      <c r="E358" s="620">
        <v>114936567211</v>
      </c>
      <c r="F358" s="620">
        <v>6634</v>
      </c>
      <c r="G358" s="620">
        <v>6550</v>
      </c>
      <c r="H358" s="620">
        <v>6500</v>
      </c>
      <c r="I358" s="620">
        <v>-134</v>
      </c>
      <c r="J358" s="620">
        <v>-2.02</v>
      </c>
      <c r="K358" s="620">
        <v>6593</v>
      </c>
      <c r="L358" s="620">
        <v>-41</v>
      </c>
      <c r="M358" s="620">
        <v>-0.62</v>
      </c>
      <c r="N358" s="620">
        <v>6460</v>
      </c>
      <c r="O358" s="620">
        <v>6890</v>
      </c>
      <c r="P358" s="620" t="s">
        <v>1617</v>
      </c>
      <c r="Q358" s="620" t="s">
        <v>1618</v>
      </c>
      <c r="R358" s="620">
        <v>1</v>
      </c>
      <c r="S358" s="620">
        <v>7773</v>
      </c>
      <c r="T358" s="620">
        <v>6500</v>
      </c>
      <c r="U358" s="620">
        <v>6550</v>
      </c>
      <c r="V358" s="620">
        <v>77591</v>
      </c>
      <c r="W358" s="620">
        <v>3</v>
      </c>
    </row>
    <row r="359" spans="1:23" x14ac:dyDescent="0.25">
      <c r="A359" s="620" t="s">
        <v>1619</v>
      </c>
      <c r="B359" s="620" t="s">
        <v>1620</v>
      </c>
      <c r="C359" s="620">
        <v>0</v>
      </c>
      <c r="D359" s="620">
        <v>0</v>
      </c>
      <c r="E359" s="620">
        <v>0</v>
      </c>
      <c r="F359" s="620">
        <v>975000</v>
      </c>
      <c r="G359" s="620">
        <v>0</v>
      </c>
      <c r="H359" s="620">
        <v>975000</v>
      </c>
      <c r="I359" s="620">
        <v>0</v>
      </c>
      <c r="J359" s="620">
        <v>0</v>
      </c>
      <c r="K359" s="620">
        <v>975000</v>
      </c>
      <c r="L359" s="620">
        <v>0</v>
      </c>
      <c r="M359" s="620">
        <v>0</v>
      </c>
      <c r="N359" s="620">
        <v>0</v>
      </c>
      <c r="O359" s="620">
        <v>0</v>
      </c>
      <c r="R359" s="620">
        <v>1</v>
      </c>
      <c r="S359" s="620">
        <v>2000</v>
      </c>
      <c r="T359" s="620">
        <v>975000</v>
      </c>
      <c r="U359" s="620">
        <v>0</v>
      </c>
      <c r="V359" s="620">
        <v>0</v>
      </c>
      <c r="W359" s="620">
        <v>0</v>
      </c>
    </row>
    <row r="360" spans="1:23" x14ac:dyDescent="0.25">
      <c r="A360" s="620" t="s">
        <v>1621</v>
      </c>
      <c r="B360" s="620" t="s">
        <v>1622</v>
      </c>
      <c r="C360" s="620">
        <v>49</v>
      </c>
      <c r="D360" s="620">
        <v>32671</v>
      </c>
      <c r="E360" s="620">
        <v>972053228</v>
      </c>
      <c r="F360" s="620">
        <v>30000</v>
      </c>
      <c r="G360" s="620">
        <v>28500</v>
      </c>
      <c r="H360" s="620">
        <v>30899</v>
      </c>
      <c r="I360" s="620">
        <v>899</v>
      </c>
      <c r="J360" s="620">
        <v>3</v>
      </c>
      <c r="K360" s="620">
        <v>29753</v>
      </c>
      <c r="L360" s="620">
        <v>-247</v>
      </c>
      <c r="M360" s="620">
        <v>-0.82</v>
      </c>
      <c r="N360" s="620">
        <v>28500</v>
      </c>
      <c r="O360" s="620">
        <v>31450</v>
      </c>
      <c r="P360" s="620" t="s">
        <v>1623</v>
      </c>
      <c r="Q360" s="620" t="s">
        <v>1624</v>
      </c>
      <c r="R360" s="620">
        <v>2</v>
      </c>
      <c r="S360" s="620">
        <v>301</v>
      </c>
      <c r="T360" s="620">
        <v>28800</v>
      </c>
      <c r="U360" s="620">
        <v>31000</v>
      </c>
      <c r="V360" s="620">
        <v>1250</v>
      </c>
      <c r="W360" s="620">
        <v>3</v>
      </c>
    </row>
    <row r="361" spans="1:23" x14ac:dyDescent="0.25">
      <c r="A361" s="620" t="s">
        <v>1625</v>
      </c>
      <c r="B361" s="620" t="s">
        <v>1217</v>
      </c>
      <c r="C361" s="620">
        <v>12</v>
      </c>
      <c r="D361" s="620">
        <v>2770</v>
      </c>
      <c r="E361" s="620">
        <v>2394873090</v>
      </c>
      <c r="F361" s="620">
        <v>863795</v>
      </c>
      <c r="G361" s="620">
        <v>860528</v>
      </c>
      <c r="H361" s="620">
        <v>865062</v>
      </c>
      <c r="I361" s="620">
        <v>1267</v>
      </c>
      <c r="J361" s="620">
        <v>0.15</v>
      </c>
      <c r="K361" s="620">
        <v>864575</v>
      </c>
      <c r="L361" s="620">
        <v>780</v>
      </c>
      <c r="M361" s="620">
        <v>0.09</v>
      </c>
      <c r="N361" s="620">
        <v>860528</v>
      </c>
      <c r="O361" s="620">
        <v>865062</v>
      </c>
      <c r="R361" s="620">
        <v>1</v>
      </c>
      <c r="S361" s="620">
        <v>1187</v>
      </c>
      <c r="T361" s="620">
        <v>865062</v>
      </c>
      <c r="U361" s="620">
        <v>868300</v>
      </c>
      <c r="V361" s="620">
        <v>92</v>
      </c>
      <c r="W361" s="620">
        <v>2</v>
      </c>
    </row>
    <row r="362" spans="1:23" x14ac:dyDescent="0.25">
      <c r="A362" s="620" t="s">
        <v>1626</v>
      </c>
      <c r="B362" s="620" t="s">
        <v>1627</v>
      </c>
      <c r="C362" s="620">
        <v>2</v>
      </c>
      <c r="D362" s="620">
        <v>8096</v>
      </c>
      <c r="E362" s="620">
        <v>7772195096</v>
      </c>
      <c r="F362" s="620">
        <v>960001</v>
      </c>
      <c r="G362" s="620">
        <v>960001</v>
      </c>
      <c r="H362" s="620">
        <v>960010</v>
      </c>
      <c r="I362" s="620">
        <v>9</v>
      </c>
      <c r="J362" s="620">
        <v>0</v>
      </c>
      <c r="K362" s="620">
        <v>960004</v>
      </c>
      <c r="L362" s="620">
        <v>3</v>
      </c>
      <c r="M362" s="620">
        <v>0</v>
      </c>
      <c r="N362" s="620">
        <v>960001</v>
      </c>
      <c r="O362" s="620">
        <v>960010</v>
      </c>
      <c r="R362" s="620">
        <v>1</v>
      </c>
      <c r="S362" s="620">
        <v>100</v>
      </c>
      <c r="T362" s="620">
        <v>960004</v>
      </c>
      <c r="U362" s="620">
        <v>999999</v>
      </c>
      <c r="V362" s="620">
        <v>154</v>
      </c>
      <c r="W362" s="620">
        <v>2</v>
      </c>
    </row>
    <row r="363" spans="1:23" x14ac:dyDescent="0.25">
      <c r="A363" s="620" t="s">
        <v>1628</v>
      </c>
      <c r="B363" s="620" t="s">
        <v>1629</v>
      </c>
      <c r="C363" s="620">
        <v>481</v>
      </c>
      <c r="D363" s="620">
        <v>1128996</v>
      </c>
      <c r="E363" s="620">
        <v>21783869543</v>
      </c>
      <c r="F363" s="620">
        <v>20292</v>
      </c>
      <c r="G363" s="620">
        <v>19278</v>
      </c>
      <c r="H363" s="620">
        <v>19278</v>
      </c>
      <c r="I363" s="620">
        <v>-1014</v>
      </c>
      <c r="J363" s="620">
        <v>-5</v>
      </c>
      <c r="K363" s="620">
        <v>19295</v>
      </c>
      <c r="L363" s="620">
        <v>-997</v>
      </c>
      <c r="M363" s="620">
        <v>-4.91</v>
      </c>
      <c r="N363" s="620">
        <v>19278</v>
      </c>
      <c r="O363" s="620">
        <v>19930</v>
      </c>
      <c r="P363" s="620" t="s">
        <v>1630</v>
      </c>
      <c r="Q363" s="620" t="s">
        <v>1631</v>
      </c>
      <c r="R363" s="620">
        <v>1</v>
      </c>
      <c r="S363" s="620">
        <v>100</v>
      </c>
      <c r="T363" s="620">
        <v>15150</v>
      </c>
      <c r="U363" s="620">
        <v>19278</v>
      </c>
      <c r="V363" s="620">
        <v>48559</v>
      </c>
      <c r="W363" s="620">
        <v>12</v>
      </c>
    </row>
    <row r="364" spans="1:23" x14ac:dyDescent="0.25">
      <c r="A364" s="620" t="s">
        <v>1632</v>
      </c>
      <c r="B364" s="620" t="s">
        <v>1633</v>
      </c>
      <c r="C364" s="620">
        <v>1321</v>
      </c>
      <c r="D364" s="620">
        <v>7807404</v>
      </c>
      <c r="E364" s="620">
        <v>43158158193</v>
      </c>
      <c r="F364" s="620">
        <v>5816</v>
      </c>
      <c r="G364" s="620">
        <v>5526</v>
      </c>
      <c r="H364" s="620">
        <v>5526</v>
      </c>
      <c r="I364" s="620">
        <v>-290</v>
      </c>
      <c r="J364" s="620">
        <v>-4.99</v>
      </c>
      <c r="K364" s="620">
        <v>5528</v>
      </c>
      <c r="L364" s="620">
        <v>-288</v>
      </c>
      <c r="M364" s="620">
        <v>-4.95</v>
      </c>
      <c r="N364" s="620">
        <v>5526</v>
      </c>
      <c r="O364" s="620">
        <v>5646</v>
      </c>
      <c r="P364" s="620" t="s">
        <v>1634</v>
      </c>
      <c r="Q364" s="620" t="s">
        <v>1635</v>
      </c>
      <c r="R364" s="620">
        <v>1</v>
      </c>
      <c r="S364" s="620">
        <v>370</v>
      </c>
      <c r="T364" s="620">
        <v>5526</v>
      </c>
      <c r="U364" s="620">
        <v>5526</v>
      </c>
      <c r="V364" s="620">
        <v>510141</v>
      </c>
      <c r="W364" s="620">
        <v>49</v>
      </c>
    </row>
    <row r="365" spans="1:23" x14ac:dyDescent="0.25">
      <c r="A365" s="620" t="s">
        <v>1636</v>
      </c>
      <c r="B365" s="620" t="s">
        <v>1637</v>
      </c>
      <c r="C365" s="620">
        <v>3</v>
      </c>
      <c r="D365" s="620">
        <v>4851</v>
      </c>
      <c r="E365" s="620">
        <v>19045026</v>
      </c>
      <c r="F365" s="620">
        <v>3812</v>
      </c>
      <c r="G365" s="620">
        <v>3926</v>
      </c>
      <c r="H365" s="620">
        <v>3926</v>
      </c>
      <c r="I365" s="620">
        <v>114</v>
      </c>
      <c r="J365" s="620">
        <v>2.99</v>
      </c>
      <c r="K365" s="620">
        <v>3926</v>
      </c>
      <c r="L365" s="620">
        <v>114</v>
      </c>
      <c r="M365" s="620">
        <v>2.99</v>
      </c>
      <c r="N365" s="620">
        <v>3926</v>
      </c>
      <c r="O365" s="620">
        <v>3926</v>
      </c>
      <c r="P365" s="620" t="s">
        <v>1638</v>
      </c>
      <c r="Q365" s="620" t="s">
        <v>1639</v>
      </c>
      <c r="R365" s="620">
        <v>30</v>
      </c>
      <c r="S365" s="620">
        <v>93278</v>
      </c>
      <c r="T365" s="620">
        <v>3926</v>
      </c>
      <c r="U365" s="620">
        <v>0</v>
      </c>
      <c r="V365" s="620">
        <v>0</v>
      </c>
      <c r="W365" s="620">
        <v>0</v>
      </c>
    </row>
    <row r="366" spans="1:23" x14ac:dyDescent="0.25">
      <c r="A366" s="620" t="s">
        <v>1640</v>
      </c>
      <c r="B366" s="620" t="s">
        <v>1641</v>
      </c>
      <c r="C366" s="620">
        <v>0</v>
      </c>
      <c r="D366" s="620">
        <v>0</v>
      </c>
      <c r="E366" s="620">
        <v>0</v>
      </c>
      <c r="F366" s="620">
        <v>1</v>
      </c>
      <c r="G366" s="620">
        <v>0</v>
      </c>
      <c r="H366" s="620">
        <v>1</v>
      </c>
      <c r="I366" s="620">
        <v>0</v>
      </c>
      <c r="J366" s="620">
        <v>0</v>
      </c>
      <c r="K366" s="620">
        <v>1</v>
      </c>
      <c r="L366" s="620">
        <v>0</v>
      </c>
      <c r="M366" s="620">
        <v>0</v>
      </c>
      <c r="N366" s="620">
        <v>0</v>
      </c>
      <c r="O366" s="620">
        <v>0</v>
      </c>
      <c r="R366" s="620">
        <v>1</v>
      </c>
      <c r="S366" s="620">
        <v>5</v>
      </c>
      <c r="T366" s="620">
        <v>50</v>
      </c>
      <c r="U366" s="620">
        <v>0</v>
      </c>
      <c r="V366" s="620">
        <v>0</v>
      </c>
      <c r="W366" s="620">
        <v>0</v>
      </c>
    </row>
    <row r="367" spans="1:23" x14ac:dyDescent="0.25">
      <c r="A367" s="620" t="s">
        <v>1642</v>
      </c>
      <c r="B367" s="620" t="s">
        <v>1643</v>
      </c>
      <c r="C367" s="620">
        <v>1405</v>
      </c>
      <c r="D367" s="620">
        <v>5359818</v>
      </c>
      <c r="E367" s="620">
        <v>61376456127</v>
      </c>
      <c r="F367" s="620">
        <v>16327</v>
      </c>
      <c r="G367" s="620">
        <v>11290</v>
      </c>
      <c r="H367" s="620">
        <v>11112</v>
      </c>
      <c r="I367" s="620">
        <v>-5215</v>
      </c>
      <c r="J367" s="620">
        <v>-31.94</v>
      </c>
      <c r="K367" s="620">
        <v>11451</v>
      </c>
      <c r="L367" s="620">
        <v>-4876</v>
      </c>
      <c r="M367" s="620">
        <v>-29.86</v>
      </c>
      <c r="N367" s="620">
        <v>10726</v>
      </c>
      <c r="O367" s="620">
        <v>11854</v>
      </c>
      <c r="P367" s="620" t="s">
        <v>1644</v>
      </c>
      <c r="Q367" s="620" t="s">
        <v>1645</v>
      </c>
      <c r="R367" s="620">
        <v>1</v>
      </c>
      <c r="S367" s="620">
        <v>3000</v>
      </c>
      <c r="T367" s="620">
        <v>11113</v>
      </c>
      <c r="U367" s="620">
        <v>11222</v>
      </c>
      <c r="V367" s="620">
        <v>400</v>
      </c>
      <c r="W367" s="620">
        <v>1</v>
      </c>
    </row>
    <row r="368" spans="1:23" x14ac:dyDescent="0.25">
      <c r="A368" s="620" t="s">
        <v>1646</v>
      </c>
      <c r="B368" s="620" t="s">
        <v>1647</v>
      </c>
      <c r="C368" s="620">
        <v>201</v>
      </c>
      <c r="D368" s="620">
        <v>1619726</v>
      </c>
      <c r="E368" s="620">
        <v>7822809961</v>
      </c>
      <c r="F368" s="620">
        <v>4830</v>
      </c>
      <c r="G368" s="620">
        <v>4849</v>
      </c>
      <c r="H368" s="620">
        <v>4895</v>
      </c>
      <c r="I368" s="620">
        <v>65</v>
      </c>
      <c r="J368" s="620">
        <v>1.35</v>
      </c>
      <c r="K368" s="620">
        <v>4830</v>
      </c>
      <c r="L368" s="620">
        <v>0</v>
      </c>
      <c r="M368" s="620">
        <v>0</v>
      </c>
      <c r="N368" s="620">
        <v>4700</v>
      </c>
      <c r="O368" s="620">
        <v>4900</v>
      </c>
      <c r="P368" s="620" t="s">
        <v>1648</v>
      </c>
      <c r="Q368" s="620" t="s">
        <v>1649</v>
      </c>
      <c r="R368" s="620">
        <v>1</v>
      </c>
      <c r="S368" s="620">
        <v>18</v>
      </c>
      <c r="T368" s="620">
        <v>4891</v>
      </c>
      <c r="U368" s="620">
        <v>4895</v>
      </c>
      <c r="V368" s="620">
        <v>2020</v>
      </c>
      <c r="W368" s="620">
        <v>1</v>
      </c>
    </row>
    <row r="369" spans="1:23" x14ac:dyDescent="0.25">
      <c r="A369" s="620" t="s">
        <v>1650</v>
      </c>
      <c r="B369" s="620" t="s">
        <v>1651</v>
      </c>
      <c r="C369" s="620">
        <v>152</v>
      </c>
      <c r="D369" s="620">
        <v>60443</v>
      </c>
      <c r="E369" s="620">
        <v>2006526271</v>
      </c>
      <c r="F369" s="620">
        <v>34944</v>
      </c>
      <c r="G369" s="620">
        <v>33197</v>
      </c>
      <c r="H369" s="620">
        <v>33197</v>
      </c>
      <c r="I369" s="620">
        <v>-1747</v>
      </c>
      <c r="J369" s="620">
        <v>-5</v>
      </c>
      <c r="K369" s="620">
        <v>33197</v>
      </c>
      <c r="L369" s="620">
        <v>-1747</v>
      </c>
      <c r="M369" s="620">
        <v>-5</v>
      </c>
      <c r="N369" s="620">
        <v>33197</v>
      </c>
      <c r="O369" s="620">
        <v>33197</v>
      </c>
      <c r="P369" s="620" t="s">
        <v>1652</v>
      </c>
      <c r="Q369" s="620" t="s">
        <v>1653</v>
      </c>
      <c r="R369" s="620">
        <v>0</v>
      </c>
      <c r="S369" s="620">
        <v>0</v>
      </c>
      <c r="T369" s="620">
        <v>0</v>
      </c>
      <c r="U369" s="620">
        <v>33197</v>
      </c>
      <c r="V369" s="620">
        <v>601931</v>
      </c>
      <c r="W369" s="620">
        <v>291</v>
      </c>
    </row>
    <row r="370" spans="1:23" x14ac:dyDescent="0.25">
      <c r="A370" s="620" t="s">
        <v>1654</v>
      </c>
      <c r="B370" s="620" t="s">
        <v>1655</v>
      </c>
      <c r="C370" s="620">
        <v>76</v>
      </c>
      <c r="D370" s="620">
        <v>245697</v>
      </c>
      <c r="E370" s="620">
        <v>1869754170</v>
      </c>
      <c r="F370" s="620">
        <v>8010</v>
      </c>
      <c r="G370" s="620">
        <v>7610</v>
      </c>
      <c r="H370" s="620">
        <v>7610</v>
      </c>
      <c r="I370" s="620">
        <v>-400</v>
      </c>
      <c r="J370" s="620">
        <v>-4.99</v>
      </c>
      <c r="K370" s="620">
        <v>7610</v>
      </c>
      <c r="L370" s="620">
        <v>-400</v>
      </c>
      <c r="M370" s="620">
        <v>-4.99</v>
      </c>
      <c r="N370" s="620">
        <v>7610</v>
      </c>
      <c r="O370" s="620">
        <v>7610</v>
      </c>
      <c r="P370" s="620" t="s">
        <v>1656</v>
      </c>
      <c r="Q370" s="620" t="s">
        <v>1657</v>
      </c>
      <c r="R370" s="620">
        <v>1</v>
      </c>
      <c r="S370" s="620">
        <v>135</v>
      </c>
      <c r="T370" s="620">
        <v>7484</v>
      </c>
      <c r="U370" s="620">
        <v>7610</v>
      </c>
      <c r="V370" s="620">
        <v>1247389</v>
      </c>
      <c r="W370" s="620">
        <v>100</v>
      </c>
    </row>
    <row r="371" spans="1:23" x14ac:dyDescent="0.25">
      <c r="A371" s="620" t="s">
        <v>1658</v>
      </c>
      <c r="B371" s="620" t="s">
        <v>1659</v>
      </c>
      <c r="C371" s="620">
        <v>89</v>
      </c>
      <c r="D371" s="620">
        <v>758293</v>
      </c>
      <c r="E371" s="620">
        <v>1521135758</v>
      </c>
      <c r="F371" s="620">
        <v>2068</v>
      </c>
      <c r="G371" s="620">
        <v>2006</v>
      </c>
      <c r="H371" s="620">
        <v>2006</v>
      </c>
      <c r="I371" s="620">
        <v>-62</v>
      </c>
      <c r="J371" s="620">
        <v>-3</v>
      </c>
      <c r="K371" s="620">
        <v>2006</v>
      </c>
      <c r="L371" s="620">
        <v>-62</v>
      </c>
      <c r="M371" s="620">
        <v>-3</v>
      </c>
      <c r="N371" s="620">
        <v>2006</v>
      </c>
      <c r="O371" s="620">
        <v>2006</v>
      </c>
      <c r="P371" s="620" t="s">
        <v>1660</v>
      </c>
      <c r="Q371" s="620" t="s">
        <v>1661</v>
      </c>
      <c r="R371" s="620">
        <v>0</v>
      </c>
      <c r="S371" s="620">
        <v>0</v>
      </c>
      <c r="T371" s="620">
        <v>0</v>
      </c>
      <c r="U371" s="620">
        <v>2006</v>
      </c>
      <c r="V371" s="620">
        <v>3632083</v>
      </c>
      <c r="W371" s="620">
        <v>123</v>
      </c>
    </row>
    <row r="372" spans="1:23" x14ac:dyDescent="0.25">
      <c r="A372" s="620" t="s">
        <v>1662</v>
      </c>
      <c r="B372" s="620" t="s">
        <v>1663</v>
      </c>
      <c r="C372" s="620">
        <v>0</v>
      </c>
      <c r="D372" s="620">
        <v>0</v>
      </c>
      <c r="E372" s="620">
        <v>0</v>
      </c>
      <c r="F372" s="620">
        <v>1</v>
      </c>
      <c r="G372" s="620">
        <v>0</v>
      </c>
      <c r="H372" s="620">
        <v>1</v>
      </c>
      <c r="I372" s="620">
        <v>0</v>
      </c>
      <c r="J372" s="620">
        <v>0</v>
      </c>
      <c r="K372" s="620">
        <v>1</v>
      </c>
      <c r="L372" s="620">
        <v>0</v>
      </c>
      <c r="M372" s="620">
        <v>0</v>
      </c>
      <c r="N372" s="620">
        <v>0</v>
      </c>
      <c r="O372" s="620">
        <v>0</v>
      </c>
      <c r="R372" s="620">
        <v>1</v>
      </c>
      <c r="S372" s="620">
        <v>100</v>
      </c>
      <c r="T372" s="620">
        <v>3</v>
      </c>
      <c r="U372" s="620">
        <v>0</v>
      </c>
      <c r="V372" s="620">
        <v>0</v>
      </c>
      <c r="W372" s="620">
        <v>0</v>
      </c>
    </row>
    <row r="373" spans="1:23" x14ac:dyDescent="0.25">
      <c r="A373" s="620" t="s">
        <v>1664</v>
      </c>
      <c r="B373" s="620" t="s">
        <v>1665</v>
      </c>
      <c r="C373" s="620">
        <v>1779</v>
      </c>
      <c r="D373" s="620">
        <v>7200294</v>
      </c>
      <c r="E373" s="620">
        <v>92863949892</v>
      </c>
      <c r="F373" s="620">
        <v>13214</v>
      </c>
      <c r="G373" s="620">
        <v>12763</v>
      </c>
      <c r="H373" s="620">
        <v>12554</v>
      </c>
      <c r="I373" s="620">
        <v>-660</v>
      </c>
      <c r="J373" s="620">
        <v>-4.99</v>
      </c>
      <c r="K373" s="620">
        <v>12897</v>
      </c>
      <c r="L373" s="620">
        <v>-317</v>
      </c>
      <c r="M373" s="620">
        <v>-2.4</v>
      </c>
      <c r="N373" s="620">
        <v>12554</v>
      </c>
      <c r="O373" s="620">
        <v>13870</v>
      </c>
      <c r="P373" s="620" t="s">
        <v>1666</v>
      </c>
      <c r="Q373" s="620" t="s">
        <v>1667</v>
      </c>
      <c r="R373" s="620">
        <v>0</v>
      </c>
      <c r="S373" s="620">
        <v>0</v>
      </c>
      <c r="T373" s="620">
        <v>0</v>
      </c>
      <c r="U373" s="620">
        <v>12685</v>
      </c>
      <c r="V373" s="620">
        <v>9900</v>
      </c>
      <c r="W373" s="620">
        <v>1</v>
      </c>
    </row>
    <row r="374" spans="1:23" x14ac:dyDescent="0.25">
      <c r="A374" s="620" t="s">
        <v>1668</v>
      </c>
      <c r="B374" s="620" t="s">
        <v>1669</v>
      </c>
      <c r="C374" s="620">
        <v>432</v>
      </c>
      <c r="D374" s="620">
        <v>1764817</v>
      </c>
      <c r="E374" s="620">
        <v>18979095627</v>
      </c>
      <c r="F374" s="620">
        <v>11287</v>
      </c>
      <c r="G374" s="620">
        <v>10723</v>
      </c>
      <c r="H374" s="620">
        <v>10723</v>
      </c>
      <c r="I374" s="620">
        <v>-564</v>
      </c>
      <c r="J374" s="620">
        <v>-5</v>
      </c>
      <c r="K374" s="620">
        <v>10754</v>
      </c>
      <c r="L374" s="620">
        <v>-533</v>
      </c>
      <c r="M374" s="620">
        <v>-4.72</v>
      </c>
      <c r="N374" s="620">
        <v>10723</v>
      </c>
      <c r="O374" s="620">
        <v>11478</v>
      </c>
      <c r="P374" s="620" t="s">
        <v>1670</v>
      </c>
      <c r="Q374" s="620" t="s">
        <v>1671</v>
      </c>
      <c r="R374" s="620">
        <v>0</v>
      </c>
      <c r="S374" s="620">
        <v>0</v>
      </c>
      <c r="T374" s="620">
        <v>0</v>
      </c>
      <c r="U374" s="620">
        <v>10723</v>
      </c>
      <c r="V374" s="620">
        <v>488761</v>
      </c>
      <c r="W374" s="620">
        <v>47</v>
      </c>
    </row>
    <row r="375" spans="1:23" x14ac:dyDescent="0.25">
      <c r="A375" s="620" t="s">
        <v>1672</v>
      </c>
      <c r="B375" s="620" t="s">
        <v>1673</v>
      </c>
      <c r="C375" s="620">
        <v>0</v>
      </c>
      <c r="D375" s="620">
        <v>0</v>
      </c>
      <c r="E375" s="620">
        <v>0</v>
      </c>
      <c r="F375" s="620">
        <v>500</v>
      </c>
      <c r="G375" s="620">
        <v>0</v>
      </c>
      <c r="H375" s="620">
        <v>500</v>
      </c>
      <c r="I375" s="620">
        <v>0</v>
      </c>
      <c r="J375" s="620">
        <v>0</v>
      </c>
      <c r="K375" s="620">
        <v>500</v>
      </c>
      <c r="L375" s="620">
        <v>0</v>
      </c>
      <c r="M375" s="620">
        <v>0</v>
      </c>
      <c r="N375" s="620">
        <v>0</v>
      </c>
      <c r="O375" s="620">
        <v>0</v>
      </c>
      <c r="R375" s="620">
        <v>0</v>
      </c>
      <c r="S375" s="620">
        <v>0</v>
      </c>
      <c r="T375" s="620">
        <v>0</v>
      </c>
      <c r="U375" s="620">
        <v>500</v>
      </c>
      <c r="V375" s="620">
        <v>100</v>
      </c>
      <c r="W375" s="620">
        <v>1</v>
      </c>
    </row>
    <row r="376" spans="1:23" x14ac:dyDescent="0.25">
      <c r="A376" s="620" t="s">
        <v>1674</v>
      </c>
      <c r="B376" s="620" t="s">
        <v>1675</v>
      </c>
      <c r="C376" s="620">
        <v>0</v>
      </c>
      <c r="D376" s="620">
        <v>0</v>
      </c>
      <c r="E376" s="620">
        <v>0</v>
      </c>
      <c r="F376" s="620">
        <v>1</v>
      </c>
      <c r="G376" s="620">
        <v>0</v>
      </c>
      <c r="H376" s="620">
        <v>1</v>
      </c>
      <c r="I376" s="620">
        <v>0</v>
      </c>
      <c r="J376" s="620">
        <v>0</v>
      </c>
      <c r="K376" s="620">
        <v>1</v>
      </c>
      <c r="L376" s="620">
        <v>0</v>
      </c>
      <c r="M376" s="620">
        <v>0</v>
      </c>
      <c r="N376" s="620">
        <v>0</v>
      </c>
      <c r="O376" s="620">
        <v>0</v>
      </c>
      <c r="R376" s="620">
        <v>1</v>
      </c>
      <c r="S376" s="620">
        <v>50</v>
      </c>
      <c r="T376" s="620">
        <v>307</v>
      </c>
      <c r="U376" s="620">
        <v>0</v>
      </c>
      <c r="V376" s="620">
        <v>0</v>
      </c>
      <c r="W376" s="620">
        <v>0</v>
      </c>
    </row>
    <row r="377" spans="1:23" x14ac:dyDescent="0.25">
      <c r="A377" s="620" t="s">
        <v>1676</v>
      </c>
      <c r="B377" s="620" t="s">
        <v>1677</v>
      </c>
      <c r="C377" s="620">
        <v>0</v>
      </c>
      <c r="D377" s="620">
        <v>0</v>
      </c>
      <c r="E377" s="620">
        <v>0</v>
      </c>
      <c r="F377" s="620">
        <v>5200</v>
      </c>
      <c r="G377" s="620">
        <v>0</v>
      </c>
      <c r="H377" s="620">
        <v>5200</v>
      </c>
      <c r="I377" s="620">
        <v>0</v>
      </c>
      <c r="J377" s="620">
        <v>0</v>
      </c>
      <c r="K377" s="620">
        <v>5200</v>
      </c>
      <c r="L377" s="620">
        <v>0</v>
      </c>
      <c r="M377" s="620">
        <v>0</v>
      </c>
      <c r="N377" s="620">
        <v>0</v>
      </c>
      <c r="O377" s="620">
        <v>0</v>
      </c>
      <c r="R377" s="620">
        <v>1</v>
      </c>
      <c r="S377" s="620">
        <v>1</v>
      </c>
      <c r="T377" s="620">
        <v>555</v>
      </c>
      <c r="U377" s="620">
        <v>6500</v>
      </c>
      <c r="V377" s="620">
        <v>10</v>
      </c>
      <c r="W377" s="620">
        <v>1</v>
      </c>
    </row>
    <row r="378" spans="1:23" x14ac:dyDescent="0.25">
      <c r="A378" s="620" t="s">
        <v>1678</v>
      </c>
      <c r="B378" s="620" t="s">
        <v>1679</v>
      </c>
      <c r="C378" s="620">
        <v>2024</v>
      </c>
      <c r="D378" s="620">
        <v>23917192</v>
      </c>
      <c r="E378" s="620">
        <v>50520761683</v>
      </c>
      <c r="F378" s="620">
        <v>2181</v>
      </c>
      <c r="G378" s="620">
        <v>2091</v>
      </c>
      <c r="H378" s="620">
        <v>2140</v>
      </c>
      <c r="I378" s="620">
        <v>-41</v>
      </c>
      <c r="J378" s="620">
        <v>-1.88</v>
      </c>
      <c r="K378" s="620">
        <v>2112</v>
      </c>
      <c r="L378" s="620">
        <v>-69</v>
      </c>
      <c r="M378" s="620">
        <v>-3.16</v>
      </c>
      <c r="N378" s="620">
        <v>2072</v>
      </c>
      <c r="O378" s="620">
        <v>2229</v>
      </c>
      <c r="P378" s="620" t="s">
        <v>1680</v>
      </c>
      <c r="Q378" s="620" t="s">
        <v>1681</v>
      </c>
      <c r="R378" s="620">
        <v>2</v>
      </c>
      <c r="S378" s="620">
        <v>4780</v>
      </c>
      <c r="T378" s="620">
        <v>2093</v>
      </c>
      <c r="U378" s="620">
        <v>2140</v>
      </c>
      <c r="V378" s="620">
        <v>15000</v>
      </c>
      <c r="W378" s="620">
        <v>1</v>
      </c>
    </row>
    <row r="379" spans="1:23" x14ac:dyDescent="0.25">
      <c r="A379" s="620" t="s">
        <v>1682</v>
      </c>
      <c r="B379" s="620" t="s">
        <v>1683</v>
      </c>
      <c r="C379" s="620">
        <v>113</v>
      </c>
      <c r="D379" s="620">
        <v>970571</v>
      </c>
      <c r="E379" s="620">
        <v>6791149387</v>
      </c>
      <c r="F379" s="620">
        <v>7213</v>
      </c>
      <c r="G379" s="620">
        <v>6997</v>
      </c>
      <c r="H379" s="620">
        <v>6997</v>
      </c>
      <c r="I379" s="620">
        <v>-216</v>
      </c>
      <c r="J379" s="620">
        <v>-2.99</v>
      </c>
      <c r="K379" s="620">
        <v>6997</v>
      </c>
      <c r="L379" s="620">
        <v>-216</v>
      </c>
      <c r="M379" s="620">
        <v>-2.99</v>
      </c>
      <c r="N379" s="620">
        <v>6997</v>
      </c>
      <c r="O379" s="620">
        <v>7040</v>
      </c>
      <c r="P379" s="620" t="s">
        <v>1684</v>
      </c>
      <c r="Q379" s="620" t="s">
        <v>1685</v>
      </c>
      <c r="R379" s="620">
        <v>0</v>
      </c>
      <c r="S379" s="620">
        <v>0</v>
      </c>
      <c r="T379" s="620">
        <v>0</v>
      </c>
      <c r="U379" s="620">
        <v>6997</v>
      </c>
      <c r="V379" s="620">
        <v>201163</v>
      </c>
      <c r="W379" s="620">
        <v>18</v>
      </c>
    </row>
    <row r="380" spans="1:23" x14ac:dyDescent="0.25">
      <c r="A380" s="620" t="s">
        <v>1686</v>
      </c>
      <c r="B380" s="620" t="s">
        <v>1687</v>
      </c>
      <c r="C380" s="620">
        <v>79</v>
      </c>
      <c r="D380" s="620">
        <v>584</v>
      </c>
      <c r="E380" s="620">
        <v>220383966</v>
      </c>
      <c r="F380" s="620">
        <v>377606</v>
      </c>
      <c r="G380" s="620">
        <v>368010</v>
      </c>
      <c r="H380" s="620">
        <v>372000</v>
      </c>
      <c r="I380" s="620">
        <v>-5606</v>
      </c>
      <c r="J380" s="620">
        <v>-1.48</v>
      </c>
      <c r="K380" s="620">
        <v>377370</v>
      </c>
      <c r="L380" s="620">
        <v>-236</v>
      </c>
      <c r="M380" s="620">
        <v>-0.06</v>
      </c>
      <c r="N380" s="620">
        <v>367697</v>
      </c>
      <c r="O380" s="620">
        <v>385322</v>
      </c>
      <c r="R380" s="620">
        <v>1</v>
      </c>
      <c r="S380" s="620">
        <v>3</v>
      </c>
      <c r="T380" s="620">
        <v>368335</v>
      </c>
      <c r="U380" s="620">
        <v>385632</v>
      </c>
      <c r="V380" s="620">
        <v>12</v>
      </c>
      <c r="W380" s="620">
        <v>1</v>
      </c>
    </row>
    <row r="381" spans="1:23" x14ac:dyDescent="0.25">
      <c r="A381" s="620" t="s">
        <v>1688</v>
      </c>
      <c r="B381" s="620" t="s">
        <v>1689</v>
      </c>
      <c r="C381" s="620">
        <v>50</v>
      </c>
      <c r="D381" s="620">
        <v>85387</v>
      </c>
      <c r="E381" s="620">
        <v>580802374</v>
      </c>
      <c r="F381" s="620">
        <v>7012</v>
      </c>
      <c r="G381" s="620">
        <v>6802</v>
      </c>
      <c r="H381" s="620">
        <v>6802</v>
      </c>
      <c r="I381" s="620">
        <v>-210</v>
      </c>
      <c r="J381" s="620">
        <v>-2.99</v>
      </c>
      <c r="K381" s="620">
        <v>6802</v>
      </c>
      <c r="L381" s="620">
        <v>-210</v>
      </c>
      <c r="M381" s="620">
        <v>-2.99</v>
      </c>
      <c r="N381" s="620">
        <v>6802</v>
      </c>
      <c r="O381" s="620">
        <v>6802</v>
      </c>
      <c r="P381" s="620" t="s">
        <v>1690</v>
      </c>
      <c r="Q381" s="620" t="s">
        <v>1691</v>
      </c>
      <c r="R381" s="620">
        <v>0</v>
      </c>
      <c r="S381" s="620">
        <v>0</v>
      </c>
      <c r="T381" s="620">
        <v>0</v>
      </c>
      <c r="U381" s="620">
        <v>6802</v>
      </c>
      <c r="V381" s="620">
        <v>923334</v>
      </c>
      <c r="W381" s="620">
        <v>84</v>
      </c>
    </row>
    <row r="382" spans="1:23" x14ac:dyDescent="0.25">
      <c r="A382" s="620" t="s">
        <v>1692</v>
      </c>
      <c r="B382" s="620" t="s">
        <v>1693</v>
      </c>
      <c r="C382" s="620">
        <v>0</v>
      </c>
      <c r="D382" s="620">
        <v>0</v>
      </c>
      <c r="E382" s="620">
        <v>0</v>
      </c>
      <c r="F382" s="620">
        <v>1000000</v>
      </c>
      <c r="G382" s="620">
        <v>0</v>
      </c>
      <c r="H382" s="620">
        <v>1000000</v>
      </c>
      <c r="I382" s="620">
        <v>0</v>
      </c>
      <c r="J382" s="620">
        <v>0</v>
      </c>
      <c r="K382" s="620">
        <v>1000000</v>
      </c>
      <c r="L382" s="620">
        <v>0</v>
      </c>
      <c r="M382" s="620">
        <v>0</v>
      </c>
      <c r="N382" s="620">
        <v>0</v>
      </c>
      <c r="O382" s="620">
        <v>0</v>
      </c>
      <c r="R382" s="620">
        <v>1</v>
      </c>
      <c r="S382" s="620">
        <v>2500</v>
      </c>
      <c r="T382" s="620">
        <v>1000000</v>
      </c>
      <c r="U382" s="620">
        <v>1020000</v>
      </c>
      <c r="V382" s="620">
        <v>2500</v>
      </c>
      <c r="W382" s="620">
        <v>1</v>
      </c>
    </row>
    <row r="383" spans="1:23" x14ac:dyDescent="0.25">
      <c r="A383" s="620" t="s">
        <v>1694</v>
      </c>
      <c r="B383" s="620" t="s">
        <v>1695</v>
      </c>
      <c r="C383" s="620">
        <v>10</v>
      </c>
      <c r="D383" s="620">
        <v>1000000</v>
      </c>
      <c r="E383" s="620">
        <v>1000000</v>
      </c>
      <c r="F383" s="620">
        <v>10290</v>
      </c>
      <c r="G383" s="620">
        <v>1</v>
      </c>
      <c r="H383" s="620">
        <v>1</v>
      </c>
      <c r="I383" s="620">
        <v>-10289</v>
      </c>
      <c r="J383" s="620">
        <v>-99.99</v>
      </c>
      <c r="K383" s="620">
        <v>1</v>
      </c>
      <c r="L383" s="620">
        <v>-10289</v>
      </c>
      <c r="M383" s="620">
        <v>-99.99</v>
      </c>
      <c r="N383" s="620">
        <v>1</v>
      </c>
      <c r="O383" s="620">
        <v>1</v>
      </c>
      <c r="R383" s="620">
        <v>0</v>
      </c>
      <c r="S383" s="620">
        <v>0</v>
      </c>
      <c r="T383" s="620">
        <v>0</v>
      </c>
      <c r="U383" s="620">
        <v>0</v>
      </c>
      <c r="V383" s="620">
        <v>0</v>
      </c>
      <c r="W383" s="620">
        <v>0</v>
      </c>
    </row>
    <row r="384" spans="1:23" x14ac:dyDescent="0.25">
      <c r="A384" s="620" t="s">
        <v>1696</v>
      </c>
      <c r="B384" s="620" t="s">
        <v>1697</v>
      </c>
      <c r="C384" s="620">
        <v>66</v>
      </c>
      <c r="D384" s="620">
        <v>1958717</v>
      </c>
      <c r="E384" s="620">
        <v>19855976324</v>
      </c>
      <c r="F384" s="620">
        <v>10131</v>
      </c>
      <c r="G384" s="620">
        <v>10138</v>
      </c>
      <c r="H384" s="620">
        <v>10132</v>
      </c>
      <c r="I384" s="620">
        <v>1</v>
      </c>
      <c r="J384" s="620">
        <v>0.01</v>
      </c>
      <c r="K384" s="620">
        <v>10137</v>
      </c>
      <c r="L384" s="620">
        <v>6</v>
      </c>
      <c r="M384" s="620">
        <v>0.06</v>
      </c>
      <c r="N384" s="620">
        <v>10132</v>
      </c>
      <c r="O384" s="620">
        <v>10153</v>
      </c>
      <c r="R384" s="620">
        <v>1</v>
      </c>
      <c r="S384" s="620">
        <v>250</v>
      </c>
      <c r="T384" s="620">
        <v>10129</v>
      </c>
      <c r="U384" s="620">
        <v>10149</v>
      </c>
      <c r="V384" s="620">
        <v>4000</v>
      </c>
      <c r="W384" s="620">
        <v>1</v>
      </c>
    </row>
    <row r="385" spans="1:23" x14ac:dyDescent="0.25">
      <c r="A385" s="620" t="s">
        <v>1698</v>
      </c>
      <c r="B385" s="620" t="s">
        <v>1699</v>
      </c>
      <c r="C385" s="620">
        <v>0</v>
      </c>
      <c r="D385" s="620">
        <v>0</v>
      </c>
      <c r="E385" s="620">
        <v>0</v>
      </c>
      <c r="F385" s="620">
        <v>394</v>
      </c>
      <c r="G385" s="620">
        <v>0</v>
      </c>
      <c r="H385" s="620">
        <v>360</v>
      </c>
      <c r="I385" s="620">
        <v>-34</v>
      </c>
      <c r="J385" s="620">
        <v>-8.6300000000000008</v>
      </c>
      <c r="K385" s="620">
        <v>394</v>
      </c>
      <c r="L385" s="620">
        <v>0</v>
      </c>
      <c r="M385" s="620">
        <v>0</v>
      </c>
      <c r="N385" s="620">
        <v>0</v>
      </c>
      <c r="O385" s="620">
        <v>0</v>
      </c>
      <c r="R385" s="620">
        <v>2</v>
      </c>
      <c r="S385" s="620">
        <v>200</v>
      </c>
      <c r="T385" s="620">
        <v>12</v>
      </c>
      <c r="U385" s="620">
        <v>300</v>
      </c>
      <c r="V385" s="620">
        <v>100</v>
      </c>
      <c r="W385" s="620">
        <v>1</v>
      </c>
    </row>
    <row r="386" spans="1:23" x14ac:dyDescent="0.25">
      <c r="A386" s="620" t="s">
        <v>1700</v>
      </c>
      <c r="B386" s="620" t="s">
        <v>1701</v>
      </c>
      <c r="C386" s="620">
        <v>0</v>
      </c>
      <c r="D386" s="620">
        <v>0</v>
      </c>
      <c r="E386" s="620">
        <v>0</v>
      </c>
      <c r="F386" s="620">
        <v>1</v>
      </c>
      <c r="G386" s="620">
        <v>0</v>
      </c>
      <c r="H386" s="620">
        <v>1</v>
      </c>
      <c r="I386" s="620">
        <v>0</v>
      </c>
      <c r="J386" s="620">
        <v>0</v>
      </c>
      <c r="K386" s="620">
        <v>1</v>
      </c>
      <c r="L386" s="620">
        <v>0</v>
      </c>
      <c r="M386" s="620">
        <v>0</v>
      </c>
      <c r="N386" s="620">
        <v>0</v>
      </c>
      <c r="O386" s="620">
        <v>0</v>
      </c>
      <c r="R386" s="620">
        <v>1</v>
      </c>
      <c r="S386" s="620">
        <v>100</v>
      </c>
      <c r="T386" s="620">
        <v>11</v>
      </c>
      <c r="U386" s="620">
        <v>0</v>
      </c>
      <c r="V386" s="620">
        <v>0</v>
      </c>
      <c r="W386" s="620">
        <v>0</v>
      </c>
    </row>
    <row r="387" spans="1:23" x14ac:dyDescent="0.25">
      <c r="A387" s="620" t="s">
        <v>1702</v>
      </c>
      <c r="B387" s="620" t="s">
        <v>1703</v>
      </c>
      <c r="C387" s="620">
        <v>25</v>
      </c>
      <c r="D387" s="620">
        <v>75119</v>
      </c>
      <c r="E387" s="620">
        <v>710550621</v>
      </c>
      <c r="F387" s="620">
        <v>9956</v>
      </c>
      <c r="G387" s="620">
        <v>9459</v>
      </c>
      <c r="H387" s="620">
        <v>9459</v>
      </c>
      <c r="I387" s="620">
        <v>-497</v>
      </c>
      <c r="J387" s="620">
        <v>-4.99</v>
      </c>
      <c r="K387" s="620">
        <v>9780</v>
      </c>
      <c r="L387" s="620">
        <v>-176</v>
      </c>
      <c r="M387" s="620">
        <v>-1.77</v>
      </c>
      <c r="N387" s="620">
        <v>9459</v>
      </c>
      <c r="O387" s="620">
        <v>9459</v>
      </c>
      <c r="P387" s="620" t="s">
        <v>1704</v>
      </c>
      <c r="Q387" s="620" t="s">
        <v>1705</v>
      </c>
      <c r="R387" s="620">
        <v>0</v>
      </c>
      <c r="S387" s="620">
        <v>0</v>
      </c>
      <c r="T387" s="620">
        <v>0</v>
      </c>
      <c r="U387" s="620">
        <v>9459</v>
      </c>
      <c r="V387" s="620">
        <v>995543</v>
      </c>
      <c r="W387" s="620">
        <v>42</v>
      </c>
    </row>
    <row r="388" spans="1:23" x14ac:dyDescent="0.25">
      <c r="A388" s="620" t="s">
        <v>1706</v>
      </c>
      <c r="B388" s="620" t="s">
        <v>1707</v>
      </c>
      <c r="C388" s="620">
        <v>2</v>
      </c>
      <c r="D388" s="620">
        <v>86</v>
      </c>
      <c r="E388" s="620">
        <v>74476000</v>
      </c>
      <c r="F388" s="620">
        <v>892239</v>
      </c>
      <c r="G388" s="620">
        <v>866000</v>
      </c>
      <c r="H388" s="620">
        <v>866000</v>
      </c>
      <c r="I388" s="620">
        <v>-26239</v>
      </c>
      <c r="J388" s="620">
        <v>-2.94</v>
      </c>
      <c r="K388" s="620">
        <v>866000</v>
      </c>
      <c r="L388" s="620">
        <v>-26239</v>
      </c>
      <c r="M388" s="620">
        <v>-2.94</v>
      </c>
      <c r="N388" s="620">
        <v>866000</v>
      </c>
      <c r="O388" s="620">
        <v>866000</v>
      </c>
      <c r="R388" s="620">
        <v>1</v>
      </c>
      <c r="S388" s="620">
        <v>99</v>
      </c>
      <c r="T388" s="620">
        <v>865000</v>
      </c>
      <c r="U388" s="620">
        <v>0</v>
      </c>
      <c r="V388" s="620">
        <v>0</v>
      </c>
      <c r="W388" s="620">
        <v>0</v>
      </c>
    </row>
    <row r="389" spans="1:23" x14ac:dyDescent="0.25">
      <c r="A389" s="620" t="s">
        <v>1708</v>
      </c>
      <c r="B389" s="620" t="s">
        <v>1709</v>
      </c>
      <c r="C389" s="620">
        <v>815</v>
      </c>
      <c r="D389" s="620">
        <v>2766972</v>
      </c>
      <c r="E389" s="620">
        <v>25739053595</v>
      </c>
      <c r="F389" s="620">
        <v>9728</v>
      </c>
      <c r="G389" s="620">
        <v>9242</v>
      </c>
      <c r="H389" s="620">
        <v>9242</v>
      </c>
      <c r="I389" s="620">
        <v>-486</v>
      </c>
      <c r="J389" s="620">
        <v>-5</v>
      </c>
      <c r="K389" s="620">
        <v>9302</v>
      </c>
      <c r="L389" s="620">
        <v>-426</v>
      </c>
      <c r="M389" s="620">
        <v>-4.38</v>
      </c>
      <c r="N389" s="620">
        <v>9242</v>
      </c>
      <c r="O389" s="620">
        <v>9622</v>
      </c>
      <c r="P389" s="620" t="s">
        <v>1710</v>
      </c>
      <c r="Q389" s="620" t="s">
        <v>790</v>
      </c>
      <c r="R389" s="620">
        <v>1</v>
      </c>
      <c r="S389" s="620">
        <v>1000</v>
      </c>
      <c r="T389" s="620">
        <v>9242</v>
      </c>
      <c r="U389" s="620">
        <v>9242</v>
      </c>
      <c r="V389" s="620">
        <v>343333</v>
      </c>
      <c r="W389" s="620">
        <v>48</v>
      </c>
    </row>
    <row r="390" spans="1:23" x14ac:dyDescent="0.25">
      <c r="A390" s="620" t="s">
        <v>1711</v>
      </c>
      <c r="B390" s="620" t="s">
        <v>1712</v>
      </c>
      <c r="C390" s="620">
        <v>696</v>
      </c>
      <c r="D390" s="620">
        <v>6375783</v>
      </c>
      <c r="E390" s="620">
        <v>34438281690</v>
      </c>
      <c r="F390" s="620">
        <v>5435</v>
      </c>
      <c r="G390" s="620">
        <v>5215</v>
      </c>
      <c r="H390" s="620">
        <v>5385</v>
      </c>
      <c r="I390" s="620">
        <v>-50</v>
      </c>
      <c r="J390" s="620">
        <v>-0.92</v>
      </c>
      <c r="K390" s="620">
        <v>5401</v>
      </c>
      <c r="L390" s="620">
        <v>-34</v>
      </c>
      <c r="M390" s="620">
        <v>-0.63</v>
      </c>
      <c r="N390" s="620">
        <v>5180</v>
      </c>
      <c r="O390" s="620">
        <v>5665</v>
      </c>
      <c r="P390" s="620" t="s">
        <v>1713</v>
      </c>
      <c r="Q390" s="620" t="s">
        <v>1714</v>
      </c>
      <c r="R390" s="620">
        <v>1</v>
      </c>
      <c r="S390" s="620">
        <v>200</v>
      </c>
      <c r="T390" s="620">
        <v>5385</v>
      </c>
      <c r="U390" s="620">
        <v>5399</v>
      </c>
      <c r="V390" s="620">
        <v>20000</v>
      </c>
      <c r="W390" s="620">
        <v>1</v>
      </c>
    </row>
    <row r="391" spans="1:23" x14ac:dyDescent="0.25">
      <c r="A391" s="620" t="s">
        <v>1715</v>
      </c>
      <c r="B391" s="620" t="s">
        <v>1716</v>
      </c>
      <c r="C391" s="620">
        <v>1782</v>
      </c>
      <c r="D391" s="620">
        <v>15956346</v>
      </c>
      <c r="E391" s="620">
        <v>118178742673</v>
      </c>
      <c r="F391" s="620">
        <v>7348</v>
      </c>
      <c r="G391" s="620">
        <v>7440</v>
      </c>
      <c r="H391" s="620">
        <v>7361</v>
      </c>
      <c r="I391" s="620">
        <v>13</v>
      </c>
      <c r="J391" s="620">
        <v>0.18</v>
      </c>
      <c r="K391" s="620">
        <v>7406</v>
      </c>
      <c r="L391" s="620">
        <v>58</v>
      </c>
      <c r="M391" s="620">
        <v>0.79</v>
      </c>
      <c r="N391" s="620">
        <v>7315</v>
      </c>
      <c r="O391" s="620">
        <v>7550</v>
      </c>
      <c r="P391" s="620" t="s">
        <v>1023</v>
      </c>
      <c r="Q391" s="620" t="s">
        <v>1717</v>
      </c>
      <c r="R391" s="620">
        <v>1</v>
      </c>
      <c r="S391" s="620">
        <v>1200</v>
      </c>
      <c r="T391" s="620">
        <v>7361</v>
      </c>
      <c r="U391" s="620">
        <v>7379</v>
      </c>
      <c r="V391" s="620">
        <v>13000</v>
      </c>
      <c r="W391" s="620">
        <v>1</v>
      </c>
    </row>
    <row r="392" spans="1:23" x14ac:dyDescent="0.25">
      <c r="A392" s="620" t="s">
        <v>1718</v>
      </c>
      <c r="B392" s="620" t="s">
        <v>1719</v>
      </c>
      <c r="C392" s="620">
        <v>190</v>
      </c>
      <c r="D392" s="620">
        <v>156631</v>
      </c>
      <c r="E392" s="620">
        <v>4066202520</v>
      </c>
      <c r="F392" s="620">
        <v>27289</v>
      </c>
      <c r="G392" s="620">
        <v>25925</v>
      </c>
      <c r="H392" s="620">
        <v>25925</v>
      </c>
      <c r="I392" s="620">
        <v>-1364</v>
      </c>
      <c r="J392" s="620">
        <v>-5</v>
      </c>
      <c r="K392" s="620">
        <v>25960</v>
      </c>
      <c r="L392" s="620">
        <v>-1329</v>
      </c>
      <c r="M392" s="620">
        <v>-4.87</v>
      </c>
      <c r="N392" s="620">
        <v>25925</v>
      </c>
      <c r="O392" s="620">
        <v>27261</v>
      </c>
      <c r="P392" s="620" t="s">
        <v>1720</v>
      </c>
      <c r="Q392" s="620" t="s">
        <v>1259</v>
      </c>
      <c r="R392" s="620">
        <v>0</v>
      </c>
      <c r="S392" s="620">
        <v>0</v>
      </c>
      <c r="T392" s="620">
        <v>0</v>
      </c>
      <c r="U392" s="620">
        <v>26310</v>
      </c>
      <c r="V392" s="620">
        <v>150</v>
      </c>
      <c r="W392" s="620">
        <v>1</v>
      </c>
    </row>
    <row r="393" spans="1:23" x14ac:dyDescent="0.25">
      <c r="A393" s="620" t="s">
        <v>1721</v>
      </c>
      <c r="B393" s="620" t="s">
        <v>1722</v>
      </c>
      <c r="C393" s="620">
        <v>368</v>
      </c>
      <c r="D393" s="620">
        <v>1341310</v>
      </c>
      <c r="E393" s="620">
        <v>7786912111</v>
      </c>
      <c r="F393" s="620">
        <v>5755</v>
      </c>
      <c r="G393" s="620">
        <v>5500</v>
      </c>
      <c r="H393" s="620">
        <v>5701</v>
      </c>
      <c r="I393" s="620">
        <v>-54</v>
      </c>
      <c r="J393" s="620">
        <v>-0.94</v>
      </c>
      <c r="K393" s="620">
        <v>5798</v>
      </c>
      <c r="L393" s="620">
        <v>43</v>
      </c>
      <c r="M393" s="620">
        <v>0.75</v>
      </c>
      <c r="N393" s="620">
        <v>5500</v>
      </c>
      <c r="O393" s="620">
        <v>5980</v>
      </c>
      <c r="P393" s="620" t="s">
        <v>1723</v>
      </c>
      <c r="Q393" s="620" t="s">
        <v>1724</v>
      </c>
      <c r="R393" s="620">
        <v>1</v>
      </c>
      <c r="S393" s="620">
        <v>41100</v>
      </c>
      <c r="T393" s="620">
        <v>5700</v>
      </c>
      <c r="U393" s="620">
        <v>5840</v>
      </c>
      <c r="V393" s="620">
        <v>13853</v>
      </c>
      <c r="W393" s="620">
        <v>1</v>
      </c>
    </row>
    <row r="394" spans="1:23" x14ac:dyDescent="0.25">
      <c r="A394" s="620" t="s">
        <v>1725</v>
      </c>
      <c r="B394" s="620" t="s">
        <v>1726</v>
      </c>
      <c r="C394" s="620">
        <v>472</v>
      </c>
      <c r="D394" s="620">
        <v>2478810</v>
      </c>
      <c r="E394" s="620">
        <v>7387751562</v>
      </c>
      <c r="F394" s="620">
        <v>2956</v>
      </c>
      <c r="G394" s="620">
        <v>2913</v>
      </c>
      <c r="H394" s="620">
        <v>2955</v>
      </c>
      <c r="I394" s="620">
        <v>-1</v>
      </c>
      <c r="J394" s="620">
        <v>-0.03</v>
      </c>
      <c r="K394" s="620">
        <v>2975</v>
      </c>
      <c r="L394" s="620">
        <v>19</v>
      </c>
      <c r="M394" s="620">
        <v>0.64</v>
      </c>
      <c r="N394" s="620">
        <v>2913</v>
      </c>
      <c r="O394" s="620">
        <v>3012</v>
      </c>
      <c r="P394" s="620" t="s">
        <v>1727</v>
      </c>
      <c r="Q394" s="620" t="s">
        <v>1728</v>
      </c>
      <c r="R394" s="620">
        <v>2</v>
      </c>
      <c r="S394" s="620">
        <v>80000</v>
      </c>
      <c r="T394" s="620">
        <v>2950</v>
      </c>
      <c r="U394" s="620">
        <v>2955</v>
      </c>
      <c r="V394" s="620">
        <v>2570</v>
      </c>
      <c r="W394" s="620">
        <v>1</v>
      </c>
    </row>
    <row r="395" spans="1:23" x14ac:dyDescent="0.25">
      <c r="A395" s="620" t="s">
        <v>1729</v>
      </c>
      <c r="B395" s="620" t="s">
        <v>1730</v>
      </c>
      <c r="C395" s="620">
        <v>46</v>
      </c>
      <c r="D395" s="620">
        <v>45452</v>
      </c>
      <c r="E395" s="620">
        <v>27723689374</v>
      </c>
      <c r="F395" s="620">
        <v>611786</v>
      </c>
      <c r="G395" s="620">
        <v>612090</v>
      </c>
      <c r="H395" s="620">
        <v>613000</v>
      </c>
      <c r="I395" s="620">
        <v>1214</v>
      </c>
      <c r="J395" s="620">
        <v>0.2</v>
      </c>
      <c r="K395" s="620">
        <v>609955</v>
      </c>
      <c r="L395" s="620">
        <v>-1831</v>
      </c>
      <c r="M395" s="620">
        <v>-0.3</v>
      </c>
      <c r="N395" s="620">
        <v>605111</v>
      </c>
      <c r="O395" s="620">
        <v>614999</v>
      </c>
      <c r="R395" s="620">
        <v>1</v>
      </c>
      <c r="S395" s="620">
        <v>545</v>
      </c>
      <c r="T395" s="620">
        <v>610011</v>
      </c>
      <c r="U395" s="620">
        <v>614980</v>
      </c>
      <c r="V395" s="620">
        <v>1105</v>
      </c>
      <c r="W395" s="620">
        <v>1</v>
      </c>
    </row>
    <row r="396" spans="1:23" x14ac:dyDescent="0.25">
      <c r="A396" s="620" t="s">
        <v>1731</v>
      </c>
      <c r="B396" s="620" t="s">
        <v>1732</v>
      </c>
      <c r="C396" s="620">
        <v>751</v>
      </c>
      <c r="D396" s="620">
        <v>3148894</v>
      </c>
      <c r="E396" s="620">
        <v>39656373166</v>
      </c>
      <c r="F396" s="620">
        <v>13134</v>
      </c>
      <c r="G396" s="620">
        <v>12478</v>
      </c>
      <c r="H396" s="620">
        <v>12478</v>
      </c>
      <c r="I396" s="620">
        <v>-656</v>
      </c>
      <c r="J396" s="620">
        <v>-4.99</v>
      </c>
      <c r="K396" s="620">
        <v>12594</v>
      </c>
      <c r="L396" s="620">
        <v>-540</v>
      </c>
      <c r="M396" s="620">
        <v>-4.1100000000000003</v>
      </c>
      <c r="N396" s="620">
        <v>12478</v>
      </c>
      <c r="O396" s="620">
        <v>13100</v>
      </c>
      <c r="P396" s="620" t="s">
        <v>1733</v>
      </c>
      <c r="Q396" s="620" t="s">
        <v>1734</v>
      </c>
      <c r="R396" s="620">
        <v>1</v>
      </c>
      <c r="S396" s="620">
        <v>2000</v>
      </c>
      <c r="T396" s="620">
        <v>12343</v>
      </c>
      <c r="U396" s="620">
        <v>12478</v>
      </c>
      <c r="V396" s="620">
        <v>3285187</v>
      </c>
      <c r="W396" s="620">
        <v>72</v>
      </c>
    </row>
    <row r="397" spans="1:23" x14ac:dyDescent="0.25">
      <c r="A397" s="620" t="s">
        <v>1735</v>
      </c>
      <c r="B397" s="620" t="s">
        <v>1736</v>
      </c>
      <c r="C397" s="620">
        <v>74</v>
      </c>
      <c r="D397" s="620">
        <v>89180</v>
      </c>
      <c r="E397" s="620">
        <v>845120253</v>
      </c>
      <c r="F397" s="620">
        <v>9522</v>
      </c>
      <c r="G397" s="620">
        <v>9250</v>
      </c>
      <c r="H397" s="620">
        <v>9237</v>
      </c>
      <c r="I397" s="620">
        <v>-285</v>
      </c>
      <c r="J397" s="620">
        <v>-2.99</v>
      </c>
      <c r="K397" s="620">
        <v>9477</v>
      </c>
      <c r="L397" s="620">
        <v>-45</v>
      </c>
      <c r="M397" s="620">
        <v>-0.47</v>
      </c>
      <c r="N397" s="620">
        <v>9237</v>
      </c>
      <c r="O397" s="620">
        <v>9807</v>
      </c>
      <c r="P397" s="620" t="s">
        <v>627</v>
      </c>
      <c r="R397" s="620">
        <v>0</v>
      </c>
      <c r="S397" s="620">
        <v>0</v>
      </c>
      <c r="T397" s="620">
        <v>0</v>
      </c>
      <c r="U397" s="620">
        <v>9400</v>
      </c>
      <c r="V397" s="620">
        <v>100</v>
      </c>
      <c r="W397" s="620">
        <v>1</v>
      </c>
    </row>
    <row r="398" spans="1:23" x14ac:dyDescent="0.25">
      <c r="A398" s="620" t="s">
        <v>1737</v>
      </c>
      <c r="B398" s="620" t="s">
        <v>1738</v>
      </c>
      <c r="C398" s="620">
        <v>0</v>
      </c>
      <c r="D398" s="620">
        <v>0</v>
      </c>
      <c r="E398" s="620">
        <v>0</v>
      </c>
      <c r="F398" s="620">
        <v>1</v>
      </c>
      <c r="G398" s="620">
        <v>0</v>
      </c>
      <c r="H398" s="620">
        <v>1</v>
      </c>
      <c r="I398" s="620">
        <v>0</v>
      </c>
      <c r="J398" s="620">
        <v>0</v>
      </c>
      <c r="K398" s="620">
        <v>1</v>
      </c>
      <c r="L398" s="620">
        <v>0</v>
      </c>
      <c r="M398" s="620">
        <v>0</v>
      </c>
      <c r="N398" s="620">
        <v>0</v>
      </c>
      <c r="O398" s="620">
        <v>0</v>
      </c>
      <c r="R398" s="620">
        <v>1</v>
      </c>
      <c r="S398" s="620">
        <v>20</v>
      </c>
      <c r="T398" s="620">
        <v>6</v>
      </c>
      <c r="U398" s="620">
        <v>0</v>
      </c>
      <c r="V398" s="620">
        <v>0</v>
      </c>
      <c r="W398" s="620">
        <v>0</v>
      </c>
    </row>
    <row r="399" spans="1:23" x14ac:dyDescent="0.25">
      <c r="A399" s="620" t="s">
        <v>1739</v>
      </c>
      <c r="B399" s="620" t="s">
        <v>1740</v>
      </c>
      <c r="C399" s="620">
        <v>0</v>
      </c>
      <c r="D399" s="620">
        <v>0</v>
      </c>
      <c r="E399" s="620">
        <v>0</v>
      </c>
      <c r="F399" s="620">
        <v>1</v>
      </c>
      <c r="G399" s="620">
        <v>0</v>
      </c>
      <c r="H399" s="620">
        <v>1</v>
      </c>
      <c r="I399" s="620">
        <v>0</v>
      </c>
      <c r="J399" s="620">
        <v>0</v>
      </c>
      <c r="K399" s="620">
        <v>1</v>
      </c>
      <c r="L399" s="620">
        <v>0</v>
      </c>
      <c r="M399" s="620">
        <v>0</v>
      </c>
      <c r="N399" s="620">
        <v>0</v>
      </c>
      <c r="O399" s="620">
        <v>0</v>
      </c>
      <c r="R399" s="620">
        <v>1</v>
      </c>
      <c r="S399" s="620">
        <v>100</v>
      </c>
      <c r="T399" s="620">
        <v>10</v>
      </c>
      <c r="U399" s="620">
        <v>0</v>
      </c>
      <c r="V399" s="620">
        <v>0</v>
      </c>
      <c r="W399" s="620">
        <v>0</v>
      </c>
    </row>
    <row r="400" spans="1:23" x14ac:dyDescent="0.25">
      <c r="A400" s="620" t="s">
        <v>1741</v>
      </c>
      <c r="B400" s="620" t="s">
        <v>1742</v>
      </c>
      <c r="C400" s="620">
        <v>0</v>
      </c>
      <c r="D400" s="620">
        <v>0</v>
      </c>
      <c r="E400" s="620">
        <v>0</v>
      </c>
      <c r="F400" s="620">
        <v>1000000</v>
      </c>
      <c r="G400" s="620">
        <v>0</v>
      </c>
      <c r="H400" s="620">
        <v>1000000</v>
      </c>
      <c r="I400" s="620">
        <v>0</v>
      </c>
      <c r="J400" s="620">
        <v>0</v>
      </c>
      <c r="K400" s="620">
        <v>1000000</v>
      </c>
      <c r="L400" s="620">
        <v>0</v>
      </c>
      <c r="M400" s="620">
        <v>0</v>
      </c>
      <c r="N400" s="620">
        <v>0</v>
      </c>
      <c r="O400" s="620">
        <v>0</v>
      </c>
      <c r="R400" s="620">
        <v>1</v>
      </c>
      <c r="S400" s="620">
        <v>750</v>
      </c>
      <c r="T400" s="620">
        <v>1100000</v>
      </c>
      <c r="U400" s="620">
        <v>0</v>
      </c>
      <c r="V400" s="620">
        <v>0</v>
      </c>
      <c r="W400" s="620">
        <v>0</v>
      </c>
    </row>
    <row r="401" spans="1:23" x14ac:dyDescent="0.25">
      <c r="A401" s="620" t="s">
        <v>1743</v>
      </c>
      <c r="B401" s="620" t="s">
        <v>1744</v>
      </c>
      <c r="C401" s="620">
        <v>1258</v>
      </c>
      <c r="D401" s="620">
        <v>16980983</v>
      </c>
      <c r="E401" s="620">
        <v>52574652181</v>
      </c>
      <c r="F401" s="620">
        <v>3071</v>
      </c>
      <c r="G401" s="620">
        <v>3030</v>
      </c>
      <c r="H401" s="620">
        <v>3110</v>
      </c>
      <c r="I401" s="620">
        <v>39</v>
      </c>
      <c r="J401" s="620">
        <v>1.27</v>
      </c>
      <c r="K401" s="620">
        <v>3096</v>
      </c>
      <c r="L401" s="620">
        <v>25</v>
      </c>
      <c r="M401" s="620">
        <v>0.81</v>
      </c>
      <c r="N401" s="620">
        <v>3030</v>
      </c>
      <c r="O401" s="620">
        <v>3197</v>
      </c>
      <c r="P401" s="620" t="s">
        <v>1745</v>
      </c>
      <c r="Q401" s="620" t="s">
        <v>1746</v>
      </c>
      <c r="R401" s="620">
        <v>1</v>
      </c>
      <c r="S401" s="620">
        <v>30000</v>
      </c>
      <c r="T401" s="620">
        <v>3110</v>
      </c>
      <c r="U401" s="620">
        <v>3110</v>
      </c>
      <c r="V401" s="620">
        <v>50</v>
      </c>
      <c r="W401" s="620">
        <v>1</v>
      </c>
    </row>
    <row r="402" spans="1:23" x14ac:dyDescent="0.25">
      <c r="A402" s="620" t="s">
        <v>1747</v>
      </c>
      <c r="B402" s="620" t="s">
        <v>1748</v>
      </c>
      <c r="C402" s="620">
        <v>0</v>
      </c>
      <c r="D402" s="620">
        <v>0</v>
      </c>
      <c r="E402" s="620">
        <v>0</v>
      </c>
      <c r="F402" s="620">
        <v>1</v>
      </c>
      <c r="G402" s="620">
        <v>0</v>
      </c>
      <c r="H402" s="620">
        <v>1</v>
      </c>
      <c r="I402" s="620">
        <v>0</v>
      </c>
      <c r="J402" s="620">
        <v>0</v>
      </c>
      <c r="K402" s="620">
        <v>1</v>
      </c>
      <c r="L402" s="620">
        <v>0</v>
      </c>
      <c r="M402" s="620">
        <v>0</v>
      </c>
      <c r="N402" s="620">
        <v>0</v>
      </c>
      <c r="O402" s="620">
        <v>0</v>
      </c>
      <c r="R402" s="620">
        <v>1</v>
      </c>
      <c r="S402" s="620">
        <v>5</v>
      </c>
      <c r="T402" s="620">
        <v>50</v>
      </c>
      <c r="U402" s="620">
        <v>0</v>
      </c>
      <c r="V402" s="620">
        <v>0</v>
      </c>
      <c r="W402" s="620">
        <v>0</v>
      </c>
    </row>
    <row r="403" spans="1:23" x14ac:dyDescent="0.25">
      <c r="A403" s="620" t="s">
        <v>1749</v>
      </c>
      <c r="B403" s="620" t="s">
        <v>1750</v>
      </c>
      <c r="C403" s="620">
        <v>0</v>
      </c>
      <c r="D403" s="620">
        <v>0</v>
      </c>
      <c r="E403" s="620">
        <v>0</v>
      </c>
      <c r="F403" s="620">
        <v>1300</v>
      </c>
      <c r="G403" s="620">
        <v>0</v>
      </c>
      <c r="H403" s="620">
        <v>1300</v>
      </c>
      <c r="I403" s="620">
        <v>0</v>
      </c>
      <c r="J403" s="620">
        <v>0</v>
      </c>
      <c r="K403" s="620">
        <v>1300</v>
      </c>
      <c r="L403" s="620">
        <v>0</v>
      </c>
      <c r="M403" s="620">
        <v>0</v>
      </c>
      <c r="N403" s="620">
        <v>0</v>
      </c>
      <c r="O403" s="620">
        <v>0</v>
      </c>
      <c r="R403" s="620">
        <v>1</v>
      </c>
      <c r="S403" s="620">
        <v>4</v>
      </c>
      <c r="T403" s="620">
        <v>1100</v>
      </c>
      <c r="U403" s="620">
        <v>2900</v>
      </c>
      <c r="V403" s="620">
        <v>4</v>
      </c>
      <c r="W403" s="620">
        <v>1</v>
      </c>
    </row>
    <row r="404" spans="1:23" x14ac:dyDescent="0.25">
      <c r="A404" s="620" t="s">
        <v>1751</v>
      </c>
      <c r="B404" s="620" t="s">
        <v>1752</v>
      </c>
      <c r="C404" s="620">
        <v>372</v>
      </c>
      <c r="D404" s="620">
        <v>620879</v>
      </c>
      <c r="E404" s="620">
        <v>26548491220</v>
      </c>
      <c r="F404" s="620">
        <v>44945</v>
      </c>
      <c r="G404" s="620">
        <v>42698</v>
      </c>
      <c r="H404" s="620">
        <v>42698</v>
      </c>
      <c r="I404" s="620">
        <v>-2247</v>
      </c>
      <c r="J404" s="620">
        <v>-5</v>
      </c>
      <c r="K404" s="620">
        <v>42760</v>
      </c>
      <c r="L404" s="620">
        <v>-2185</v>
      </c>
      <c r="M404" s="620">
        <v>-4.8600000000000003</v>
      </c>
      <c r="N404" s="620">
        <v>42698</v>
      </c>
      <c r="O404" s="620">
        <v>45498</v>
      </c>
      <c r="P404" s="620" t="s">
        <v>1753</v>
      </c>
      <c r="Q404" s="620" t="s">
        <v>1754</v>
      </c>
      <c r="R404" s="620">
        <v>0</v>
      </c>
      <c r="S404" s="620">
        <v>0</v>
      </c>
      <c r="T404" s="620">
        <v>0</v>
      </c>
      <c r="U404" s="620">
        <v>42698</v>
      </c>
      <c r="V404" s="620">
        <v>250</v>
      </c>
      <c r="W404" s="620">
        <v>2</v>
      </c>
    </row>
    <row r="405" spans="1:23" x14ac:dyDescent="0.25">
      <c r="A405" s="620" t="s">
        <v>1755</v>
      </c>
      <c r="B405" s="620" t="s">
        <v>1756</v>
      </c>
      <c r="C405" s="620">
        <v>0</v>
      </c>
      <c r="D405" s="620">
        <v>0</v>
      </c>
      <c r="E405" s="620">
        <v>0</v>
      </c>
      <c r="F405" s="620">
        <v>200</v>
      </c>
      <c r="G405" s="620">
        <v>0</v>
      </c>
      <c r="H405" s="620">
        <v>200</v>
      </c>
      <c r="I405" s="620">
        <v>0</v>
      </c>
      <c r="J405" s="620">
        <v>0</v>
      </c>
      <c r="K405" s="620">
        <v>200</v>
      </c>
      <c r="L405" s="620">
        <v>0</v>
      </c>
      <c r="M405" s="620">
        <v>0</v>
      </c>
      <c r="N405" s="620">
        <v>0</v>
      </c>
      <c r="O405" s="620">
        <v>0</v>
      </c>
      <c r="R405" s="620">
        <v>1</v>
      </c>
      <c r="S405" s="620">
        <v>30</v>
      </c>
      <c r="T405" s="620">
        <v>96</v>
      </c>
      <c r="U405" s="620">
        <v>0</v>
      </c>
      <c r="V405" s="620">
        <v>0</v>
      </c>
      <c r="W405" s="620">
        <v>0</v>
      </c>
    </row>
    <row r="406" spans="1:23" x14ac:dyDescent="0.25">
      <c r="A406" s="620" t="s">
        <v>1757</v>
      </c>
      <c r="B406" s="620" t="s">
        <v>1758</v>
      </c>
      <c r="C406" s="620">
        <v>1</v>
      </c>
      <c r="D406" s="620">
        <v>10</v>
      </c>
      <c r="E406" s="620">
        <v>16000000</v>
      </c>
      <c r="F406" s="620">
        <v>1472</v>
      </c>
      <c r="G406" s="620">
        <v>1600</v>
      </c>
      <c r="H406" s="620">
        <v>1600</v>
      </c>
      <c r="I406" s="620">
        <v>128</v>
      </c>
      <c r="J406" s="620">
        <v>8.6999999999999993</v>
      </c>
      <c r="K406" s="620">
        <v>1600</v>
      </c>
      <c r="L406" s="620">
        <v>128</v>
      </c>
      <c r="M406" s="620">
        <v>8.6999999999999993</v>
      </c>
      <c r="N406" s="620">
        <v>1600</v>
      </c>
      <c r="O406" s="620">
        <v>1600</v>
      </c>
      <c r="R406" s="620">
        <v>1</v>
      </c>
      <c r="S406" s="620">
        <v>50</v>
      </c>
      <c r="T406" s="620">
        <v>1000</v>
      </c>
      <c r="U406" s="620">
        <v>1599</v>
      </c>
      <c r="V406" s="620">
        <v>10</v>
      </c>
      <c r="W406" s="620">
        <v>1</v>
      </c>
    </row>
    <row r="407" spans="1:23" x14ac:dyDescent="0.25">
      <c r="A407" s="620" t="s">
        <v>1759</v>
      </c>
      <c r="B407" s="620" t="s">
        <v>1760</v>
      </c>
      <c r="C407" s="620">
        <v>45</v>
      </c>
      <c r="D407" s="620">
        <v>291811</v>
      </c>
      <c r="E407" s="620">
        <v>554149089</v>
      </c>
      <c r="F407" s="620">
        <v>1998</v>
      </c>
      <c r="G407" s="620">
        <v>1899</v>
      </c>
      <c r="H407" s="620">
        <v>1899</v>
      </c>
      <c r="I407" s="620">
        <v>-99</v>
      </c>
      <c r="J407" s="620">
        <v>-4.95</v>
      </c>
      <c r="K407" s="620">
        <v>1899</v>
      </c>
      <c r="L407" s="620">
        <v>-99</v>
      </c>
      <c r="M407" s="620">
        <v>-4.95</v>
      </c>
      <c r="N407" s="620">
        <v>1899</v>
      </c>
      <c r="O407" s="620">
        <v>1899</v>
      </c>
      <c r="P407" s="620" t="s">
        <v>1276</v>
      </c>
      <c r="Q407" s="620" t="s">
        <v>1761</v>
      </c>
      <c r="R407" s="620">
        <v>0</v>
      </c>
      <c r="S407" s="620">
        <v>0</v>
      </c>
      <c r="T407" s="620">
        <v>0</v>
      </c>
      <c r="U407" s="620">
        <v>1899</v>
      </c>
      <c r="V407" s="620">
        <v>1125331</v>
      </c>
      <c r="W407" s="620">
        <v>53</v>
      </c>
    </row>
    <row r="408" spans="1:23" x14ac:dyDescent="0.25">
      <c r="A408" s="620" t="s">
        <v>1762</v>
      </c>
      <c r="B408" s="620" t="s">
        <v>1763</v>
      </c>
      <c r="C408" s="620">
        <v>1000</v>
      </c>
      <c r="D408" s="620">
        <v>2457236</v>
      </c>
      <c r="E408" s="620">
        <v>25644113803</v>
      </c>
      <c r="F408" s="620">
        <v>10922</v>
      </c>
      <c r="G408" s="620">
        <v>10376</v>
      </c>
      <c r="H408" s="620">
        <v>10376</v>
      </c>
      <c r="I408" s="620">
        <v>-546</v>
      </c>
      <c r="J408" s="620">
        <v>-5</v>
      </c>
      <c r="K408" s="620">
        <v>10436</v>
      </c>
      <c r="L408" s="620">
        <v>-486</v>
      </c>
      <c r="M408" s="620">
        <v>-4.45</v>
      </c>
      <c r="N408" s="620">
        <v>10376</v>
      </c>
      <c r="O408" s="620">
        <v>10899</v>
      </c>
      <c r="P408" s="620" t="s">
        <v>1764</v>
      </c>
      <c r="Q408" s="620" t="s">
        <v>1765</v>
      </c>
      <c r="R408" s="620">
        <v>1</v>
      </c>
      <c r="S408" s="620">
        <v>130</v>
      </c>
      <c r="T408" s="620">
        <v>8800</v>
      </c>
      <c r="U408" s="620">
        <v>10376</v>
      </c>
      <c r="V408" s="620">
        <v>748569</v>
      </c>
      <c r="W408" s="620">
        <v>84</v>
      </c>
    </row>
    <row r="409" spans="1:23" x14ac:dyDescent="0.25">
      <c r="A409" s="620" t="s">
        <v>1766</v>
      </c>
      <c r="B409" s="620" t="s">
        <v>1767</v>
      </c>
      <c r="C409" s="620">
        <v>0</v>
      </c>
      <c r="D409" s="620">
        <v>0</v>
      </c>
      <c r="E409" s="620">
        <v>0</v>
      </c>
      <c r="F409" s="620">
        <v>1700</v>
      </c>
      <c r="G409" s="620">
        <v>0</v>
      </c>
      <c r="H409" s="620">
        <v>1800</v>
      </c>
      <c r="I409" s="620">
        <v>100</v>
      </c>
      <c r="J409" s="620">
        <v>5.88</v>
      </c>
      <c r="K409" s="620">
        <v>1700</v>
      </c>
      <c r="L409" s="620">
        <v>0</v>
      </c>
      <c r="M409" s="620">
        <v>0</v>
      </c>
      <c r="N409" s="620">
        <v>0</v>
      </c>
      <c r="O409" s="620">
        <v>0</v>
      </c>
      <c r="R409" s="620">
        <v>1</v>
      </c>
      <c r="S409" s="620">
        <v>4</v>
      </c>
      <c r="T409" s="620">
        <v>456</v>
      </c>
      <c r="U409" s="620">
        <v>1700</v>
      </c>
      <c r="V409" s="620">
        <v>5</v>
      </c>
      <c r="W409" s="620">
        <v>1</v>
      </c>
    </row>
    <row r="410" spans="1:23" x14ac:dyDescent="0.25">
      <c r="A410" s="620" t="s">
        <v>1768</v>
      </c>
      <c r="B410" s="620" t="s">
        <v>1769</v>
      </c>
      <c r="C410" s="620">
        <v>827</v>
      </c>
      <c r="D410" s="620">
        <v>12488586</v>
      </c>
      <c r="E410" s="620">
        <v>23892849364</v>
      </c>
      <c r="F410" s="620">
        <v>1934</v>
      </c>
      <c r="G410" s="620">
        <v>1950</v>
      </c>
      <c r="H410" s="620">
        <v>1913</v>
      </c>
      <c r="I410" s="620">
        <v>-21</v>
      </c>
      <c r="J410" s="620">
        <v>-1.0900000000000001</v>
      </c>
      <c r="K410" s="620">
        <v>1913</v>
      </c>
      <c r="L410" s="620">
        <v>-21</v>
      </c>
      <c r="M410" s="620">
        <v>-1.0900000000000001</v>
      </c>
      <c r="N410" s="620">
        <v>1858</v>
      </c>
      <c r="O410" s="620">
        <v>1980</v>
      </c>
      <c r="P410" s="620" t="s">
        <v>1770</v>
      </c>
      <c r="Q410" s="620" t="s">
        <v>1771</v>
      </c>
      <c r="R410" s="620">
        <v>2</v>
      </c>
      <c r="S410" s="620">
        <v>5100</v>
      </c>
      <c r="T410" s="620">
        <v>1912</v>
      </c>
      <c r="U410" s="620">
        <v>1913</v>
      </c>
      <c r="V410" s="620">
        <v>35601</v>
      </c>
      <c r="W410" s="620">
        <v>1</v>
      </c>
    </row>
    <row r="411" spans="1:23" x14ac:dyDescent="0.25">
      <c r="A411" s="620" t="s">
        <v>1772</v>
      </c>
      <c r="B411" s="620" t="s">
        <v>1773</v>
      </c>
      <c r="C411" s="620">
        <v>0</v>
      </c>
      <c r="D411" s="620">
        <v>0</v>
      </c>
      <c r="E411" s="620">
        <v>0</v>
      </c>
      <c r="F411" s="620">
        <v>1</v>
      </c>
      <c r="G411" s="620">
        <v>0</v>
      </c>
      <c r="H411" s="620">
        <v>1</v>
      </c>
      <c r="I411" s="620">
        <v>0</v>
      </c>
      <c r="J411" s="620">
        <v>0</v>
      </c>
      <c r="K411" s="620">
        <v>1</v>
      </c>
      <c r="L411" s="620">
        <v>0</v>
      </c>
      <c r="M411" s="620">
        <v>0</v>
      </c>
      <c r="N411" s="620">
        <v>0</v>
      </c>
      <c r="O411" s="620">
        <v>0</v>
      </c>
      <c r="R411" s="620">
        <v>1</v>
      </c>
      <c r="S411" s="620">
        <v>20</v>
      </c>
      <c r="T411" s="620">
        <v>12</v>
      </c>
      <c r="U411" s="620">
        <v>0</v>
      </c>
      <c r="V411" s="620">
        <v>0</v>
      </c>
      <c r="W411" s="620">
        <v>0</v>
      </c>
    </row>
    <row r="412" spans="1:23" x14ac:dyDescent="0.25">
      <c r="A412" s="620" t="s">
        <v>1774</v>
      </c>
      <c r="B412" s="620" t="s">
        <v>1775</v>
      </c>
      <c r="C412" s="620">
        <v>0</v>
      </c>
      <c r="D412" s="620">
        <v>0</v>
      </c>
      <c r="E412" s="620">
        <v>0</v>
      </c>
      <c r="F412" s="620">
        <v>20499</v>
      </c>
      <c r="G412" s="620">
        <v>0</v>
      </c>
      <c r="H412" s="620">
        <v>21239</v>
      </c>
      <c r="I412" s="620">
        <v>740</v>
      </c>
      <c r="J412" s="620">
        <v>3.61</v>
      </c>
      <c r="K412" s="620">
        <v>20646</v>
      </c>
      <c r="L412" s="620">
        <v>147</v>
      </c>
      <c r="M412" s="620">
        <v>0.72</v>
      </c>
      <c r="N412" s="620">
        <v>0</v>
      </c>
      <c r="O412" s="620">
        <v>0</v>
      </c>
      <c r="R412" s="620">
        <v>1</v>
      </c>
      <c r="S412" s="620">
        <v>1</v>
      </c>
      <c r="T412" s="620">
        <v>19475</v>
      </c>
      <c r="U412" s="620">
        <v>0</v>
      </c>
      <c r="V412" s="620">
        <v>0</v>
      </c>
      <c r="W412" s="620">
        <v>0</v>
      </c>
    </row>
    <row r="413" spans="1:23" x14ac:dyDescent="0.25">
      <c r="A413" s="620" t="s">
        <v>1776</v>
      </c>
      <c r="B413" s="620" t="s">
        <v>1777</v>
      </c>
      <c r="C413" s="620">
        <v>3</v>
      </c>
      <c r="D413" s="620">
        <v>45</v>
      </c>
      <c r="E413" s="620">
        <v>43275000</v>
      </c>
      <c r="F413" s="620">
        <v>967994</v>
      </c>
      <c r="G413" s="620">
        <v>975000</v>
      </c>
      <c r="H413" s="620">
        <v>960000</v>
      </c>
      <c r="I413" s="620">
        <v>-7994</v>
      </c>
      <c r="J413" s="620">
        <v>-0.83</v>
      </c>
      <c r="K413" s="620">
        <v>961667</v>
      </c>
      <c r="L413" s="620">
        <v>-6327</v>
      </c>
      <c r="M413" s="620">
        <v>-0.65</v>
      </c>
      <c r="N413" s="620">
        <v>960000</v>
      </c>
      <c r="O413" s="620">
        <v>975000</v>
      </c>
      <c r="R413" s="620">
        <v>1</v>
      </c>
      <c r="S413" s="620">
        <v>200</v>
      </c>
      <c r="T413" s="620">
        <v>950000</v>
      </c>
      <c r="U413" s="620">
        <v>1024800</v>
      </c>
      <c r="V413" s="620">
        <v>246</v>
      </c>
      <c r="W413" s="620">
        <v>1</v>
      </c>
    </row>
    <row r="414" spans="1:23" x14ac:dyDescent="0.25">
      <c r="A414" s="620" t="s">
        <v>1778</v>
      </c>
      <c r="B414" s="620" t="s">
        <v>1779</v>
      </c>
      <c r="C414" s="620">
        <v>2</v>
      </c>
      <c r="D414" s="620">
        <v>15</v>
      </c>
      <c r="E414" s="620">
        <v>29260000</v>
      </c>
      <c r="F414" s="620">
        <v>1852</v>
      </c>
      <c r="G414" s="620">
        <v>1960</v>
      </c>
      <c r="H414" s="620">
        <v>1950</v>
      </c>
      <c r="I414" s="620">
        <v>98</v>
      </c>
      <c r="J414" s="620">
        <v>5.29</v>
      </c>
      <c r="K414" s="620">
        <v>1951</v>
      </c>
      <c r="L414" s="620">
        <v>99</v>
      </c>
      <c r="M414" s="620">
        <v>5.35</v>
      </c>
      <c r="N414" s="620">
        <v>1950</v>
      </c>
      <c r="O414" s="620">
        <v>1960</v>
      </c>
      <c r="R414" s="620">
        <v>1</v>
      </c>
      <c r="S414" s="620">
        <v>70</v>
      </c>
      <c r="T414" s="620">
        <v>640</v>
      </c>
      <c r="U414" s="620">
        <v>2900</v>
      </c>
      <c r="V414" s="620">
        <v>10</v>
      </c>
      <c r="W414" s="620">
        <v>1</v>
      </c>
    </row>
    <row r="415" spans="1:23" x14ac:dyDescent="0.25">
      <c r="A415" s="620" t="s">
        <v>1780</v>
      </c>
      <c r="B415" s="620" t="s">
        <v>1781</v>
      </c>
      <c r="C415" s="620">
        <v>0</v>
      </c>
      <c r="D415" s="620">
        <v>0</v>
      </c>
      <c r="E415" s="620">
        <v>0</v>
      </c>
      <c r="F415" s="620">
        <v>1</v>
      </c>
      <c r="G415" s="620">
        <v>0</v>
      </c>
      <c r="H415" s="620">
        <v>1</v>
      </c>
      <c r="I415" s="620">
        <v>0</v>
      </c>
      <c r="J415" s="620">
        <v>0</v>
      </c>
      <c r="K415" s="620">
        <v>1</v>
      </c>
      <c r="L415" s="620">
        <v>0</v>
      </c>
      <c r="M415" s="620">
        <v>0</v>
      </c>
      <c r="N415" s="620">
        <v>0</v>
      </c>
      <c r="O415" s="620">
        <v>0</v>
      </c>
      <c r="R415" s="620">
        <v>5</v>
      </c>
      <c r="S415" s="620">
        <v>500</v>
      </c>
      <c r="T415" s="620">
        <v>101</v>
      </c>
      <c r="U415" s="620">
        <v>0</v>
      </c>
      <c r="V415" s="620">
        <v>0</v>
      </c>
      <c r="W415" s="620">
        <v>0</v>
      </c>
    </row>
    <row r="416" spans="1:23" x14ac:dyDescent="0.25">
      <c r="A416" s="620" t="s">
        <v>1782</v>
      </c>
      <c r="B416" s="620" t="s">
        <v>1783</v>
      </c>
      <c r="C416" s="620">
        <v>896</v>
      </c>
      <c r="D416" s="620">
        <v>8469757</v>
      </c>
      <c r="E416" s="620">
        <v>18566718384</v>
      </c>
      <c r="F416" s="620">
        <v>2299</v>
      </c>
      <c r="G416" s="620">
        <v>2192</v>
      </c>
      <c r="H416" s="620">
        <v>2185</v>
      </c>
      <c r="I416" s="620">
        <v>-114</v>
      </c>
      <c r="J416" s="620">
        <v>-4.96</v>
      </c>
      <c r="K416" s="620">
        <v>2192</v>
      </c>
      <c r="L416" s="620">
        <v>-107</v>
      </c>
      <c r="M416" s="620">
        <v>-4.6500000000000004</v>
      </c>
      <c r="N416" s="620">
        <v>2185</v>
      </c>
      <c r="O416" s="620">
        <v>2242</v>
      </c>
      <c r="P416" s="620" t="s">
        <v>841</v>
      </c>
      <c r="Q416" s="620" t="s">
        <v>1784</v>
      </c>
      <c r="R416" s="620">
        <v>1</v>
      </c>
      <c r="S416" s="620">
        <v>2000</v>
      </c>
      <c r="T416" s="620">
        <v>1464</v>
      </c>
      <c r="U416" s="620">
        <v>2185</v>
      </c>
      <c r="V416" s="620">
        <v>1173630</v>
      </c>
      <c r="W416" s="620">
        <v>44</v>
      </c>
    </row>
    <row r="417" spans="1:23" x14ac:dyDescent="0.25">
      <c r="A417" s="620" t="s">
        <v>1785</v>
      </c>
      <c r="B417" s="620" t="s">
        <v>1786</v>
      </c>
      <c r="C417" s="620">
        <v>21</v>
      </c>
      <c r="D417" s="620">
        <v>77940</v>
      </c>
      <c r="E417" s="620">
        <v>779244120</v>
      </c>
      <c r="F417" s="620">
        <v>10524</v>
      </c>
      <c r="G417" s="620">
        <v>9998</v>
      </c>
      <c r="H417" s="620">
        <v>9998</v>
      </c>
      <c r="I417" s="620">
        <v>-526</v>
      </c>
      <c r="J417" s="620">
        <v>-5</v>
      </c>
      <c r="K417" s="620">
        <v>10437</v>
      </c>
      <c r="L417" s="620">
        <v>-87</v>
      </c>
      <c r="M417" s="620">
        <v>-0.83</v>
      </c>
      <c r="N417" s="620">
        <v>9998</v>
      </c>
      <c r="O417" s="620">
        <v>9998</v>
      </c>
      <c r="P417" s="620" t="s">
        <v>1787</v>
      </c>
      <c r="Q417" s="620" t="s">
        <v>1788</v>
      </c>
      <c r="R417" s="620">
        <v>1</v>
      </c>
      <c r="S417" s="620">
        <v>200</v>
      </c>
      <c r="T417" s="620">
        <v>5863</v>
      </c>
      <c r="U417" s="620">
        <v>9998</v>
      </c>
      <c r="V417" s="620">
        <v>57737</v>
      </c>
      <c r="W417" s="620">
        <v>27</v>
      </c>
    </row>
    <row r="418" spans="1:23" x14ac:dyDescent="0.25">
      <c r="A418" s="620" t="s">
        <v>1789</v>
      </c>
      <c r="B418" s="620" t="s">
        <v>1790</v>
      </c>
      <c r="C418" s="620">
        <v>0</v>
      </c>
      <c r="D418" s="620">
        <v>0</v>
      </c>
      <c r="E418" s="620">
        <v>0</v>
      </c>
      <c r="F418" s="620">
        <v>1</v>
      </c>
      <c r="G418" s="620">
        <v>0</v>
      </c>
      <c r="H418" s="620">
        <v>1</v>
      </c>
      <c r="I418" s="620">
        <v>0</v>
      </c>
      <c r="J418" s="620">
        <v>0</v>
      </c>
      <c r="K418" s="620">
        <v>1</v>
      </c>
      <c r="L418" s="620">
        <v>0</v>
      </c>
      <c r="M418" s="620">
        <v>0</v>
      </c>
      <c r="N418" s="620">
        <v>0</v>
      </c>
      <c r="O418" s="620">
        <v>0</v>
      </c>
      <c r="R418" s="620">
        <v>1</v>
      </c>
      <c r="S418" s="620">
        <v>15</v>
      </c>
      <c r="T418" s="620">
        <v>33</v>
      </c>
      <c r="U418" s="620">
        <v>0</v>
      </c>
      <c r="V418" s="620">
        <v>0</v>
      </c>
      <c r="W418" s="620">
        <v>0</v>
      </c>
    </row>
    <row r="419" spans="1:23" x14ac:dyDescent="0.25">
      <c r="A419" s="620" t="s">
        <v>1791</v>
      </c>
      <c r="B419" s="620" t="s">
        <v>1792</v>
      </c>
      <c r="C419" s="620">
        <v>0</v>
      </c>
      <c r="D419" s="620">
        <v>0</v>
      </c>
      <c r="E419" s="620">
        <v>0</v>
      </c>
      <c r="F419" s="620">
        <v>1</v>
      </c>
      <c r="G419" s="620">
        <v>0</v>
      </c>
      <c r="H419" s="620">
        <v>1</v>
      </c>
      <c r="I419" s="620">
        <v>0</v>
      </c>
      <c r="J419" s="620">
        <v>0</v>
      </c>
      <c r="K419" s="620">
        <v>1</v>
      </c>
      <c r="L419" s="620">
        <v>0</v>
      </c>
      <c r="M419" s="620">
        <v>0</v>
      </c>
      <c r="N419" s="620">
        <v>0</v>
      </c>
      <c r="O419" s="620">
        <v>0</v>
      </c>
      <c r="R419" s="620">
        <v>1</v>
      </c>
      <c r="S419" s="620">
        <v>100</v>
      </c>
      <c r="T419" s="620">
        <v>100</v>
      </c>
      <c r="U419" s="620">
        <v>0</v>
      </c>
      <c r="V419" s="620">
        <v>0</v>
      </c>
      <c r="W419" s="620">
        <v>0</v>
      </c>
    </row>
    <row r="420" spans="1:23" x14ac:dyDescent="0.25">
      <c r="A420" s="620" t="s">
        <v>1793</v>
      </c>
      <c r="B420" s="620" t="s">
        <v>1794</v>
      </c>
      <c r="C420" s="620">
        <v>1425</v>
      </c>
      <c r="D420" s="620">
        <v>1147405</v>
      </c>
      <c r="E420" s="620">
        <v>31524239092</v>
      </c>
      <c r="F420" s="620">
        <v>27144</v>
      </c>
      <c r="G420" s="620">
        <v>27100</v>
      </c>
      <c r="H420" s="620">
        <v>27452</v>
      </c>
      <c r="I420" s="620">
        <v>308</v>
      </c>
      <c r="J420" s="620">
        <v>1.1299999999999999</v>
      </c>
      <c r="K420" s="620">
        <v>27474</v>
      </c>
      <c r="L420" s="620">
        <v>330</v>
      </c>
      <c r="M420" s="620">
        <v>1.22</v>
      </c>
      <c r="N420" s="620">
        <v>27050</v>
      </c>
      <c r="O420" s="620">
        <v>28100</v>
      </c>
      <c r="P420" s="620" t="s">
        <v>1795</v>
      </c>
      <c r="Q420" s="620" t="s">
        <v>1796</v>
      </c>
      <c r="R420" s="620">
        <v>2</v>
      </c>
      <c r="S420" s="620">
        <v>44290</v>
      </c>
      <c r="T420" s="620">
        <v>27450</v>
      </c>
      <c r="U420" s="620">
        <v>27450</v>
      </c>
      <c r="V420" s="620">
        <v>280</v>
      </c>
      <c r="W420" s="620">
        <v>1</v>
      </c>
    </row>
    <row r="421" spans="1:23" x14ac:dyDescent="0.25">
      <c r="A421" s="620" t="s">
        <v>1797</v>
      </c>
      <c r="B421" s="620" t="s">
        <v>1798</v>
      </c>
      <c r="C421" s="620">
        <v>0</v>
      </c>
      <c r="D421" s="620">
        <v>0</v>
      </c>
      <c r="E421" s="620">
        <v>0</v>
      </c>
      <c r="F421" s="620">
        <v>890500</v>
      </c>
      <c r="G421" s="620">
        <v>0</v>
      </c>
      <c r="H421" s="620">
        <v>890500</v>
      </c>
      <c r="I421" s="620">
        <v>0</v>
      </c>
      <c r="J421" s="620">
        <v>0</v>
      </c>
      <c r="K421" s="620">
        <v>890500</v>
      </c>
      <c r="L421" s="620">
        <v>0</v>
      </c>
      <c r="M421" s="620">
        <v>0</v>
      </c>
      <c r="N421" s="620">
        <v>0</v>
      </c>
      <c r="O421" s="620">
        <v>0</v>
      </c>
      <c r="R421" s="620">
        <v>1</v>
      </c>
      <c r="S421" s="620">
        <v>100</v>
      </c>
      <c r="T421" s="620">
        <v>892004</v>
      </c>
      <c r="U421" s="620">
        <v>0</v>
      </c>
      <c r="V421" s="620">
        <v>0</v>
      </c>
      <c r="W421" s="620">
        <v>0</v>
      </c>
    </row>
    <row r="422" spans="1:23" x14ac:dyDescent="0.25">
      <c r="A422" s="620" t="s">
        <v>1799</v>
      </c>
      <c r="B422" s="620" t="s">
        <v>1800</v>
      </c>
      <c r="C422" s="620">
        <v>260</v>
      </c>
      <c r="D422" s="620">
        <v>2320725</v>
      </c>
      <c r="E422" s="620">
        <v>5987470500</v>
      </c>
      <c r="F422" s="620">
        <v>2715</v>
      </c>
      <c r="G422" s="620">
        <v>2580</v>
      </c>
      <c r="H422" s="620">
        <v>2580</v>
      </c>
      <c r="I422" s="620">
        <v>-135</v>
      </c>
      <c r="J422" s="620">
        <v>-4.97</v>
      </c>
      <c r="K422" s="620">
        <v>2580</v>
      </c>
      <c r="L422" s="620">
        <v>-135</v>
      </c>
      <c r="M422" s="620">
        <v>-4.97</v>
      </c>
      <c r="N422" s="620">
        <v>2580</v>
      </c>
      <c r="O422" s="620">
        <v>2580</v>
      </c>
      <c r="P422" s="620" t="s">
        <v>627</v>
      </c>
      <c r="R422" s="620">
        <v>0</v>
      </c>
      <c r="S422" s="620">
        <v>0</v>
      </c>
      <c r="T422" s="620">
        <v>0</v>
      </c>
      <c r="U422" s="620">
        <v>2580</v>
      </c>
      <c r="V422" s="620">
        <v>3884843</v>
      </c>
      <c r="W422" s="620">
        <v>195</v>
      </c>
    </row>
    <row r="423" spans="1:23" x14ac:dyDescent="0.25">
      <c r="A423" s="620" t="s">
        <v>1801</v>
      </c>
      <c r="B423" s="620" t="s">
        <v>1802</v>
      </c>
      <c r="C423" s="620">
        <v>1</v>
      </c>
      <c r="D423" s="620">
        <v>1</v>
      </c>
      <c r="E423" s="620">
        <v>900000</v>
      </c>
      <c r="F423" s="620">
        <v>890</v>
      </c>
      <c r="G423" s="620">
        <v>900</v>
      </c>
      <c r="H423" s="620">
        <v>900</v>
      </c>
      <c r="I423" s="620">
        <v>10</v>
      </c>
      <c r="J423" s="620">
        <v>1.1200000000000001</v>
      </c>
      <c r="K423" s="620">
        <v>900</v>
      </c>
      <c r="L423" s="620">
        <v>10</v>
      </c>
      <c r="M423" s="620">
        <v>1.1200000000000001</v>
      </c>
      <c r="N423" s="620">
        <v>900</v>
      </c>
      <c r="O423" s="620">
        <v>900</v>
      </c>
      <c r="R423" s="620">
        <v>1</v>
      </c>
      <c r="S423" s="620">
        <v>100</v>
      </c>
      <c r="T423" s="620">
        <v>20</v>
      </c>
      <c r="U423" s="620">
        <v>900</v>
      </c>
      <c r="V423" s="620">
        <v>27</v>
      </c>
      <c r="W423" s="620">
        <v>2</v>
      </c>
    </row>
    <row r="424" spans="1:23" x14ac:dyDescent="0.25">
      <c r="A424" s="620" t="s">
        <v>1803</v>
      </c>
      <c r="B424" s="620" t="s">
        <v>1804</v>
      </c>
      <c r="C424" s="620">
        <v>0</v>
      </c>
      <c r="D424" s="620">
        <v>0</v>
      </c>
      <c r="E424" s="620">
        <v>0</v>
      </c>
      <c r="F424" s="620">
        <v>1000000</v>
      </c>
      <c r="G424" s="620">
        <v>0</v>
      </c>
      <c r="H424" s="620">
        <v>1000000</v>
      </c>
      <c r="I424" s="620">
        <v>0</v>
      </c>
      <c r="J424" s="620">
        <v>0</v>
      </c>
      <c r="K424" s="620">
        <v>1000000</v>
      </c>
      <c r="L424" s="620">
        <v>0</v>
      </c>
      <c r="M424" s="620">
        <v>0</v>
      </c>
      <c r="N424" s="620">
        <v>0</v>
      </c>
      <c r="O424" s="620">
        <v>0</v>
      </c>
      <c r="R424" s="620">
        <v>1</v>
      </c>
      <c r="S424" s="620">
        <v>3000</v>
      </c>
      <c r="T424" s="620">
        <v>1000000</v>
      </c>
      <c r="U424" s="620">
        <v>1010000</v>
      </c>
      <c r="V424" s="620">
        <v>3000</v>
      </c>
      <c r="W424" s="620">
        <v>1</v>
      </c>
    </row>
    <row r="425" spans="1:23" x14ac:dyDescent="0.25">
      <c r="A425" s="620" t="s">
        <v>1805</v>
      </c>
      <c r="B425" s="620" t="s">
        <v>1806</v>
      </c>
      <c r="C425" s="620">
        <v>277</v>
      </c>
      <c r="D425" s="620">
        <v>2580616</v>
      </c>
      <c r="E425" s="620">
        <v>2129279348</v>
      </c>
      <c r="F425" s="620">
        <v>850</v>
      </c>
      <c r="G425" s="620">
        <v>825</v>
      </c>
      <c r="H425" s="620">
        <v>825</v>
      </c>
      <c r="I425" s="620">
        <v>-25</v>
      </c>
      <c r="J425" s="620">
        <v>-2.94</v>
      </c>
      <c r="K425" s="620">
        <v>825</v>
      </c>
      <c r="L425" s="620">
        <v>-25</v>
      </c>
      <c r="M425" s="620">
        <v>-2.94</v>
      </c>
      <c r="N425" s="620">
        <v>825</v>
      </c>
      <c r="O425" s="620">
        <v>840</v>
      </c>
      <c r="P425" s="620" t="s">
        <v>1807</v>
      </c>
      <c r="Q425" s="620" t="s">
        <v>1808</v>
      </c>
      <c r="R425" s="620">
        <v>0</v>
      </c>
      <c r="S425" s="620">
        <v>0</v>
      </c>
      <c r="T425" s="620">
        <v>0</v>
      </c>
      <c r="U425" s="620">
        <v>825</v>
      </c>
      <c r="V425" s="620">
        <v>1097305</v>
      </c>
      <c r="W425" s="620">
        <v>33</v>
      </c>
    </row>
    <row r="426" spans="1:23" x14ac:dyDescent="0.25">
      <c r="A426" s="620" t="s">
        <v>1809</v>
      </c>
      <c r="B426" s="620" t="s">
        <v>1810</v>
      </c>
      <c r="C426" s="620">
        <v>1636</v>
      </c>
      <c r="D426" s="620">
        <v>4575864</v>
      </c>
      <c r="E426" s="620">
        <v>129439010359</v>
      </c>
      <c r="F426" s="620">
        <v>27068</v>
      </c>
      <c r="G426" s="620">
        <v>26626</v>
      </c>
      <c r="H426" s="620">
        <v>28300</v>
      </c>
      <c r="I426" s="620">
        <v>1232</v>
      </c>
      <c r="J426" s="620">
        <v>4.55</v>
      </c>
      <c r="K426" s="620">
        <v>28287</v>
      </c>
      <c r="L426" s="620">
        <v>1219</v>
      </c>
      <c r="M426" s="620">
        <v>4.5</v>
      </c>
      <c r="N426" s="620">
        <v>26626</v>
      </c>
      <c r="O426" s="620">
        <v>28421</v>
      </c>
      <c r="P426" s="620" t="s">
        <v>1158</v>
      </c>
      <c r="Q426" s="620" t="s">
        <v>1811</v>
      </c>
      <c r="R426" s="620">
        <v>1</v>
      </c>
      <c r="S426" s="620">
        <v>1200</v>
      </c>
      <c r="T426" s="620">
        <v>28300</v>
      </c>
      <c r="U426" s="620">
        <v>28300</v>
      </c>
      <c r="V426" s="620">
        <v>350</v>
      </c>
      <c r="W426" s="620">
        <v>1</v>
      </c>
    </row>
    <row r="427" spans="1:23" x14ac:dyDescent="0.25">
      <c r="A427" s="620" t="s">
        <v>1812</v>
      </c>
      <c r="B427" s="620" t="s">
        <v>1813</v>
      </c>
      <c r="C427" s="620">
        <v>0</v>
      </c>
      <c r="D427" s="620">
        <v>0</v>
      </c>
      <c r="E427" s="620">
        <v>0</v>
      </c>
      <c r="F427" s="620">
        <v>1000001</v>
      </c>
      <c r="G427" s="620">
        <v>0</v>
      </c>
      <c r="H427" s="620">
        <v>1000001</v>
      </c>
      <c r="I427" s="620">
        <v>0</v>
      </c>
      <c r="J427" s="620">
        <v>0</v>
      </c>
      <c r="K427" s="620">
        <v>1000001</v>
      </c>
      <c r="L427" s="620">
        <v>0</v>
      </c>
      <c r="M427" s="620">
        <v>0</v>
      </c>
      <c r="N427" s="620">
        <v>0</v>
      </c>
      <c r="O427" s="620">
        <v>0</v>
      </c>
      <c r="R427" s="620">
        <v>1</v>
      </c>
      <c r="S427" s="620">
        <v>1000</v>
      </c>
      <c r="T427" s="620">
        <v>1000001</v>
      </c>
      <c r="U427" s="620">
        <v>1020000</v>
      </c>
      <c r="V427" s="620">
        <v>2500</v>
      </c>
      <c r="W427" s="620">
        <v>1</v>
      </c>
    </row>
    <row r="428" spans="1:23" x14ac:dyDescent="0.25">
      <c r="A428" s="620" t="s">
        <v>1814</v>
      </c>
      <c r="B428" s="620" t="s">
        <v>1815</v>
      </c>
      <c r="C428" s="620">
        <v>609</v>
      </c>
      <c r="D428" s="620">
        <v>7627655</v>
      </c>
      <c r="E428" s="620">
        <v>13560385899</v>
      </c>
      <c r="F428" s="620">
        <v>1737</v>
      </c>
      <c r="G428" s="620">
        <v>1789</v>
      </c>
      <c r="H428" s="620">
        <v>1789</v>
      </c>
      <c r="I428" s="620">
        <v>52</v>
      </c>
      <c r="J428" s="620">
        <v>2.99</v>
      </c>
      <c r="K428" s="620">
        <v>1778</v>
      </c>
      <c r="L428" s="620">
        <v>41</v>
      </c>
      <c r="M428" s="620">
        <v>2.36</v>
      </c>
      <c r="N428" s="620">
        <v>1687</v>
      </c>
      <c r="O428" s="620">
        <v>1789</v>
      </c>
      <c r="P428" s="620" t="s">
        <v>1816</v>
      </c>
      <c r="Q428" s="620" t="s">
        <v>1817</v>
      </c>
      <c r="R428" s="620">
        <v>8</v>
      </c>
      <c r="S428" s="620">
        <v>13916</v>
      </c>
      <c r="T428" s="620">
        <v>1789</v>
      </c>
      <c r="U428" s="620">
        <v>0</v>
      </c>
      <c r="V428" s="620">
        <v>0</v>
      </c>
      <c r="W428" s="620">
        <v>0</v>
      </c>
    </row>
    <row r="429" spans="1:23" x14ac:dyDescent="0.25">
      <c r="A429" s="620" t="s">
        <v>1818</v>
      </c>
      <c r="B429" s="620" t="s">
        <v>1819</v>
      </c>
      <c r="C429" s="620">
        <v>5</v>
      </c>
      <c r="D429" s="620">
        <v>294</v>
      </c>
      <c r="E429" s="620">
        <v>60240000</v>
      </c>
      <c r="F429" s="620">
        <v>354</v>
      </c>
      <c r="G429" s="620">
        <v>200</v>
      </c>
      <c r="H429" s="620">
        <v>210</v>
      </c>
      <c r="I429" s="620">
        <v>-144</v>
      </c>
      <c r="J429" s="620">
        <v>-40.68</v>
      </c>
      <c r="K429" s="620">
        <v>205</v>
      </c>
      <c r="L429" s="620">
        <v>-149</v>
      </c>
      <c r="M429" s="620">
        <v>-42.09</v>
      </c>
      <c r="N429" s="620">
        <v>200</v>
      </c>
      <c r="O429" s="620">
        <v>210</v>
      </c>
      <c r="R429" s="620">
        <v>1</v>
      </c>
      <c r="S429" s="620">
        <v>100</v>
      </c>
      <c r="T429" s="620">
        <v>221</v>
      </c>
      <c r="U429" s="620">
        <v>340</v>
      </c>
      <c r="V429" s="620">
        <v>100</v>
      </c>
      <c r="W429" s="620">
        <v>1</v>
      </c>
    </row>
    <row r="430" spans="1:23" x14ac:dyDescent="0.25">
      <c r="A430" s="620" t="s">
        <v>1820</v>
      </c>
      <c r="B430" s="620" t="s">
        <v>1821</v>
      </c>
      <c r="C430" s="620">
        <v>2</v>
      </c>
      <c r="D430" s="620">
        <v>100</v>
      </c>
      <c r="E430" s="620">
        <v>135350000</v>
      </c>
      <c r="F430" s="620">
        <v>1200</v>
      </c>
      <c r="G430" s="620">
        <v>1400</v>
      </c>
      <c r="H430" s="620">
        <v>1307</v>
      </c>
      <c r="I430" s="620">
        <v>107</v>
      </c>
      <c r="J430" s="620">
        <v>8.92</v>
      </c>
      <c r="K430" s="620">
        <v>1353</v>
      </c>
      <c r="L430" s="620">
        <v>153</v>
      </c>
      <c r="M430" s="620">
        <v>12.75</v>
      </c>
      <c r="N430" s="620">
        <v>1307</v>
      </c>
      <c r="O430" s="620">
        <v>1400</v>
      </c>
      <c r="R430" s="620">
        <v>1</v>
      </c>
      <c r="S430" s="620">
        <v>10</v>
      </c>
      <c r="T430" s="620">
        <v>1256</v>
      </c>
      <c r="U430" s="620">
        <v>1498</v>
      </c>
      <c r="V430" s="620">
        <v>45</v>
      </c>
      <c r="W430" s="620">
        <v>1</v>
      </c>
    </row>
    <row r="431" spans="1:23" x14ac:dyDescent="0.25">
      <c r="A431" s="620" t="s">
        <v>1822</v>
      </c>
      <c r="B431" s="620" t="s">
        <v>1823</v>
      </c>
      <c r="C431" s="620">
        <v>0</v>
      </c>
      <c r="D431" s="620">
        <v>0</v>
      </c>
      <c r="E431" s="620">
        <v>0</v>
      </c>
      <c r="F431" s="620">
        <v>1000000</v>
      </c>
      <c r="G431" s="620">
        <v>0</v>
      </c>
      <c r="H431" s="620">
        <v>1000000</v>
      </c>
      <c r="I431" s="620">
        <v>0</v>
      </c>
      <c r="J431" s="620">
        <v>0</v>
      </c>
      <c r="K431" s="620">
        <v>1000000</v>
      </c>
      <c r="L431" s="620">
        <v>0</v>
      </c>
      <c r="M431" s="620">
        <v>0</v>
      </c>
      <c r="N431" s="620">
        <v>0</v>
      </c>
      <c r="O431" s="620">
        <v>0</v>
      </c>
      <c r="R431" s="620">
        <v>1</v>
      </c>
      <c r="S431" s="620">
        <v>1100</v>
      </c>
      <c r="T431" s="620">
        <v>1000000</v>
      </c>
      <c r="U431" s="620">
        <v>1004490</v>
      </c>
      <c r="V431" s="620">
        <v>100</v>
      </c>
      <c r="W431" s="620">
        <v>1</v>
      </c>
    </row>
    <row r="432" spans="1:23" x14ac:dyDescent="0.25">
      <c r="A432" s="620" t="s">
        <v>1824</v>
      </c>
      <c r="B432" s="620" t="s">
        <v>1825</v>
      </c>
      <c r="C432" s="620">
        <v>0</v>
      </c>
      <c r="D432" s="620">
        <v>0</v>
      </c>
      <c r="E432" s="620">
        <v>0</v>
      </c>
      <c r="F432" s="620">
        <v>6509</v>
      </c>
      <c r="G432" s="620">
        <v>6444</v>
      </c>
      <c r="H432" s="620">
        <v>6509</v>
      </c>
      <c r="I432" s="620">
        <v>0</v>
      </c>
      <c r="J432" s="620">
        <v>0</v>
      </c>
      <c r="K432" s="620">
        <v>6509</v>
      </c>
      <c r="L432" s="620">
        <v>0</v>
      </c>
      <c r="M432" s="620">
        <v>0</v>
      </c>
      <c r="N432" s="620">
        <v>6444</v>
      </c>
      <c r="O432" s="620">
        <v>6444</v>
      </c>
      <c r="P432" s="620" t="s">
        <v>1826</v>
      </c>
      <c r="Q432" s="620" t="s">
        <v>1827</v>
      </c>
      <c r="R432" s="620">
        <v>0</v>
      </c>
      <c r="S432" s="620">
        <v>0</v>
      </c>
      <c r="T432" s="620">
        <v>0</v>
      </c>
      <c r="U432" s="620">
        <v>6444</v>
      </c>
      <c r="V432" s="620">
        <v>101534</v>
      </c>
      <c r="W432" s="620">
        <v>14</v>
      </c>
    </row>
    <row r="433" spans="1:23" x14ac:dyDescent="0.25">
      <c r="A433" s="620" t="s">
        <v>1828</v>
      </c>
      <c r="B433" s="620" t="s">
        <v>1829</v>
      </c>
      <c r="C433" s="620">
        <v>506</v>
      </c>
      <c r="D433" s="620">
        <v>1004957</v>
      </c>
      <c r="E433" s="620">
        <v>15588813978</v>
      </c>
      <c r="F433" s="620">
        <v>16149</v>
      </c>
      <c r="G433" s="620">
        <v>15343</v>
      </c>
      <c r="H433" s="620">
        <v>15500</v>
      </c>
      <c r="I433" s="620">
        <v>-649</v>
      </c>
      <c r="J433" s="620">
        <v>-4.0199999999999996</v>
      </c>
      <c r="K433" s="620">
        <v>15512</v>
      </c>
      <c r="L433" s="620">
        <v>-637</v>
      </c>
      <c r="M433" s="620">
        <v>-3.94</v>
      </c>
      <c r="N433" s="620">
        <v>15342</v>
      </c>
      <c r="O433" s="620">
        <v>16100</v>
      </c>
      <c r="P433" s="620" t="s">
        <v>1830</v>
      </c>
      <c r="Q433" s="620" t="s">
        <v>1831</v>
      </c>
      <c r="R433" s="620">
        <v>1</v>
      </c>
      <c r="S433" s="620">
        <v>100</v>
      </c>
      <c r="T433" s="620">
        <v>15342</v>
      </c>
      <c r="U433" s="620">
        <v>15676</v>
      </c>
      <c r="V433" s="620">
        <v>500</v>
      </c>
      <c r="W433" s="620">
        <v>1</v>
      </c>
    </row>
    <row r="434" spans="1:23" x14ac:dyDescent="0.25">
      <c r="A434" s="620" t="s">
        <v>1832</v>
      </c>
      <c r="B434" s="620" t="s">
        <v>1833</v>
      </c>
      <c r="C434" s="620">
        <v>649</v>
      </c>
      <c r="D434" s="620">
        <v>2335364</v>
      </c>
      <c r="E434" s="620">
        <v>23337590478</v>
      </c>
      <c r="F434" s="620">
        <v>9932</v>
      </c>
      <c r="G434" s="620">
        <v>9800</v>
      </c>
      <c r="H434" s="620">
        <v>9820</v>
      </c>
      <c r="I434" s="620">
        <v>-112</v>
      </c>
      <c r="J434" s="620">
        <v>-1.1299999999999999</v>
      </c>
      <c r="K434" s="620">
        <v>9993</v>
      </c>
      <c r="L434" s="620">
        <v>61</v>
      </c>
      <c r="M434" s="620">
        <v>0.61</v>
      </c>
      <c r="N434" s="620">
        <v>9800</v>
      </c>
      <c r="O434" s="620">
        <v>10398</v>
      </c>
      <c r="P434" s="620" t="s">
        <v>1834</v>
      </c>
      <c r="Q434" s="620" t="s">
        <v>1835</v>
      </c>
      <c r="R434" s="620">
        <v>1</v>
      </c>
      <c r="S434" s="620">
        <v>1000</v>
      </c>
      <c r="T434" s="620">
        <v>9821</v>
      </c>
      <c r="U434" s="620">
        <v>9850</v>
      </c>
      <c r="V434" s="620">
        <v>8488</v>
      </c>
      <c r="W434" s="620">
        <v>2</v>
      </c>
    </row>
    <row r="435" spans="1:23" x14ac:dyDescent="0.25">
      <c r="A435" s="620" t="s">
        <v>1836</v>
      </c>
      <c r="B435" s="620" t="s">
        <v>1837</v>
      </c>
      <c r="C435" s="620">
        <v>1638</v>
      </c>
      <c r="D435" s="620">
        <v>10625823</v>
      </c>
      <c r="E435" s="620">
        <v>39539096023</v>
      </c>
      <c r="F435" s="620">
        <v>3895</v>
      </c>
      <c r="G435" s="620">
        <v>3701</v>
      </c>
      <c r="H435" s="620">
        <v>3701</v>
      </c>
      <c r="I435" s="620">
        <v>-194</v>
      </c>
      <c r="J435" s="620">
        <v>-4.9800000000000004</v>
      </c>
      <c r="K435" s="620">
        <v>3721</v>
      </c>
      <c r="L435" s="620">
        <v>-174</v>
      </c>
      <c r="M435" s="620">
        <v>-4.47</v>
      </c>
      <c r="N435" s="620">
        <v>3701</v>
      </c>
      <c r="O435" s="620">
        <v>3830</v>
      </c>
      <c r="P435" s="620" t="s">
        <v>1838</v>
      </c>
      <c r="Q435" s="620" t="s">
        <v>1839</v>
      </c>
      <c r="R435" s="620">
        <v>1</v>
      </c>
      <c r="S435" s="620">
        <v>500</v>
      </c>
      <c r="T435" s="620">
        <v>2878</v>
      </c>
      <c r="U435" s="620">
        <v>3701</v>
      </c>
      <c r="V435" s="620">
        <v>1414785</v>
      </c>
      <c r="W435" s="620">
        <v>69</v>
      </c>
    </row>
    <row r="436" spans="1:23" x14ac:dyDescent="0.25">
      <c r="A436" s="620" t="s">
        <v>1840</v>
      </c>
      <c r="B436" s="620" t="s">
        <v>1841</v>
      </c>
      <c r="C436" s="620">
        <v>0</v>
      </c>
      <c r="D436" s="620">
        <v>0</v>
      </c>
      <c r="E436" s="620">
        <v>0</v>
      </c>
      <c r="F436" s="620">
        <v>1000000</v>
      </c>
      <c r="G436" s="620">
        <v>0</v>
      </c>
      <c r="H436" s="620">
        <v>1000000</v>
      </c>
      <c r="I436" s="620">
        <v>0</v>
      </c>
      <c r="J436" s="620">
        <v>0</v>
      </c>
      <c r="K436" s="620">
        <v>1000000</v>
      </c>
      <c r="L436" s="620">
        <v>0</v>
      </c>
      <c r="M436" s="620">
        <v>0</v>
      </c>
      <c r="N436" s="620">
        <v>0</v>
      </c>
      <c r="O436" s="620">
        <v>0</v>
      </c>
      <c r="R436" s="620">
        <v>1</v>
      </c>
      <c r="S436" s="620">
        <v>2250</v>
      </c>
      <c r="T436" s="620">
        <v>990000</v>
      </c>
      <c r="U436" s="620">
        <v>1000000</v>
      </c>
      <c r="V436" s="620">
        <v>2250</v>
      </c>
      <c r="W436" s="620">
        <v>1</v>
      </c>
    </row>
    <row r="437" spans="1:23" x14ac:dyDescent="0.25">
      <c r="A437" s="620" t="s">
        <v>1842</v>
      </c>
      <c r="B437" s="620" t="s">
        <v>1843</v>
      </c>
      <c r="C437" s="620">
        <v>219</v>
      </c>
      <c r="D437" s="620">
        <v>545983</v>
      </c>
      <c r="E437" s="620">
        <v>6752757246</v>
      </c>
      <c r="F437" s="620">
        <v>12980</v>
      </c>
      <c r="G437" s="620">
        <v>12331</v>
      </c>
      <c r="H437" s="620">
        <v>12331</v>
      </c>
      <c r="I437" s="620">
        <v>-649</v>
      </c>
      <c r="J437" s="620">
        <v>-5</v>
      </c>
      <c r="K437" s="620">
        <v>12368</v>
      </c>
      <c r="L437" s="620">
        <v>-612</v>
      </c>
      <c r="M437" s="620">
        <v>-4.71</v>
      </c>
      <c r="N437" s="620">
        <v>12331</v>
      </c>
      <c r="O437" s="620">
        <v>12690</v>
      </c>
      <c r="P437" s="620" t="s">
        <v>1844</v>
      </c>
      <c r="Q437" s="620" t="s">
        <v>1845</v>
      </c>
      <c r="R437" s="620">
        <v>0</v>
      </c>
      <c r="S437" s="620">
        <v>0</v>
      </c>
      <c r="T437" s="620">
        <v>0</v>
      </c>
      <c r="U437" s="620">
        <v>12331</v>
      </c>
      <c r="V437" s="620">
        <v>75057</v>
      </c>
      <c r="W437" s="620">
        <v>11</v>
      </c>
    </row>
    <row r="438" spans="1:23" x14ac:dyDescent="0.25">
      <c r="A438" s="620" t="s">
        <v>1846</v>
      </c>
      <c r="B438" s="620" t="s">
        <v>1847</v>
      </c>
      <c r="C438" s="620">
        <v>8</v>
      </c>
      <c r="D438" s="620">
        <v>14</v>
      </c>
      <c r="E438" s="620">
        <v>147032000</v>
      </c>
      <c r="F438" s="620">
        <v>14960</v>
      </c>
      <c r="G438" s="620">
        <v>10500</v>
      </c>
      <c r="H438" s="620">
        <v>10506</v>
      </c>
      <c r="I438" s="620">
        <v>-4454</v>
      </c>
      <c r="J438" s="620">
        <v>-29.77</v>
      </c>
      <c r="K438" s="620">
        <v>10502</v>
      </c>
      <c r="L438" s="620">
        <v>-4458</v>
      </c>
      <c r="M438" s="620">
        <v>-29.8</v>
      </c>
      <c r="N438" s="620">
        <v>10500</v>
      </c>
      <c r="O438" s="620">
        <v>10506</v>
      </c>
      <c r="R438" s="620">
        <v>1</v>
      </c>
      <c r="S438" s="620">
        <v>5</v>
      </c>
      <c r="T438" s="620">
        <v>10501</v>
      </c>
      <c r="U438" s="620">
        <v>17000</v>
      </c>
      <c r="V438" s="620">
        <v>16</v>
      </c>
      <c r="W438" s="620">
        <v>2</v>
      </c>
    </row>
    <row r="439" spans="1:23" x14ac:dyDescent="0.25">
      <c r="A439" s="620" t="s">
        <v>1848</v>
      </c>
      <c r="B439" s="620" t="s">
        <v>1849</v>
      </c>
      <c r="C439" s="620">
        <v>121</v>
      </c>
      <c r="D439" s="620">
        <v>441362</v>
      </c>
      <c r="E439" s="620">
        <v>2073077314</v>
      </c>
      <c r="F439" s="620">
        <v>4842</v>
      </c>
      <c r="G439" s="620">
        <v>4697</v>
      </c>
      <c r="H439" s="620">
        <v>4697</v>
      </c>
      <c r="I439" s="620">
        <v>-145</v>
      </c>
      <c r="J439" s="620">
        <v>-2.99</v>
      </c>
      <c r="K439" s="620">
        <v>4697</v>
      </c>
      <c r="L439" s="620">
        <v>-145</v>
      </c>
      <c r="M439" s="620">
        <v>-2.99</v>
      </c>
      <c r="N439" s="620">
        <v>4697</v>
      </c>
      <c r="O439" s="620">
        <v>4697</v>
      </c>
      <c r="R439" s="620">
        <v>0</v>
      </c>
      <c r="S439" s="620">
        <v>0</v>
      </c>
      <c r="T439" s="620">
        <v>0</v>
      </c>
      <c r="U439" s="620">
        <v>4697</v>
      </c>
      <c r="V439" s="620">
        <v>327974</v>
      </c>
      <c r="W439" s="620">
        <v>40</v>
      </c>
    </row>
    <row r="440" spans="1:23" x14ac:dyDescent="0.25">
      <c r="A440" s="620" t="s">
        <v>1850</v>
      </c>
      <c r="B440" s="620" t="s">
        <v>1851</v>
      </c>
      <c r="C440" s="620">
        <v>55</v>
      </c>
      <c r="D440" s="620">
        <v>67548</v>
      </c>
      <c r="E440" s="620">
        <v>2078857248</v>
      </c>
      <c r="F440" s="620">
        <v>31727</v>
      </c>
      <c r="G440" s="620">
        <v>30776</v>
      </c>
      <c r="H440" s="620">
        <v>30776</v>
      </c>
      <c r="I440" s="620">
        <v>-951</v>
      </c>
      <c r="J440" s="620">
        <v>-3</v>
      </c>
      <c r="K440" s="620">
        <v>30776</v>
      </c>
      <c r="L440" s="620">
        <v>-951</v>
      </c>
      <c r="M440" s="620">
        <v>-3</v>
      </c>
      <c r="N440" s="620">
        <v>30776</v>
      </c>
      <c r="O440" s="620">
        <v>30776</v>
      </c>
      <c r="P440" s="620" t="s">
        <v>1852</v>
      </c>
      <c r="Q440" s="620" t="s">
        <v>1853</v>
      </c>
      <c r="R440" s="620">
        <v>0</v>
      </c>
      <c r="S440" s="620">
        <v>0</v>
      </c>
      <c r="T440" s="620">
        <v>0</v>
      </c>
      <c r="U440" s="620">
        <v>30776</v>
      </c>
      <c r="V440" s="620">
        <v>246987</v>
      </c>
      <c r="W440" s="620">
        <v>142</v>
      </c>
    </row>
    <row r="441" spans="1:23" x14ac:dyDescent="0.25">
      <c r="A441" s="620" t="s">
        <v>1854</v>
      </c>
      <c r="B441" s="620" t="s">
        <v>1855</v>
      </c>
      <c r="C441" s="620">
        <v>401</v>
      </c>
      <c r="D441" s="620">
        <v>632114</v>
      </c>
      <c r="E441" s="620">
        <v>10427038218</v>
      </c>
      <c r="F441" s="620">
        <v>16307</v>
      </c>
      <c r="G441" s="620">
        <v>15920</v>
      </c>
      <c r="H441" s="620">
        <v>16500</v>
      </c>
      <c r="I441" s="620">
        <v>193</v>
      </c>
      <c r="J441" s="620">
        <v>1.18</v>
      </c>
      <c r="K441" s="620">
        <v>16496</v>
      </c>
      <c r="L441" s="620">
        <v>189</v>
      </c>
      <c r="M441" s="620">
        <v>1.1599999999999999</v>
      </c>
      <c r="N441" s="620">
        <v>15911</v>
      </c>
      <c r="O441" s="620">
        <v>17111</v>
      </c>
      <c r="P441" s="620" t="s">
        <v>1856</v>
      </c>
      <c r="Q441" s="620" t="s">
        <v>1857</v>
      </c>
      <c r="R441" s="620">
        <v>1</v>
      </c>
      <c r="S441" s="620">
        <v>1600</v>
      </c>
      <c r="T441" s="620">
        <v>16156</v>
      </c>
      <c r="U441" s="620">
        <v>16490</v>
      </c>
      <c r="V441" s="620">
        <v>387</v>
      </c>
      <c r="W441" s="620">
        <v>1</v>
      </c>
    </row>
    <row r="442" spans="1:23" x14ac:dyDescent="0.25">
      <c r="A442" s="620" t="s">
        <v>1858</v>
      </c>
      <c r="B442" s="620" t="s">
        <v>1859</v>
      </c>
      <c r="C442" s="620">
        <v>17552</v>
      </c>
      <c r="D442" s="620">
        <v>606199717</v>
      </c>
      <c r="E442" s="620">
        <v>335020849157</v>
      </c>
      <c r="F442" s="620">
        <v>533</v>
      </c>
      <c r="G442" s="620">
        <v>530</v>
      </c>
      <c r="H442" s="620">
        <v>559</v>
      </c>
      <c r="I442" s="620">
        <v>26</v>
      </c>
      <c r="J442" s="620">
        <v>4.88</v>
      </c>
      <c r="K442" s="620">
        <v>553</v>
      </c>
      <c r="L442" s="620">
        <v>20</v>
      </c>
      <c r="M442" s="620">
        <v>3.75</v>
      </c>
      <c r="N442" s="620">
        <v>521</v>
      </c>
      <c r="O442" s="620">
        <v>559</v>
      </c>
      <c r="P442" s="620" t="s">
        <v>1860</v>
      </c>
      <c r="Q442" s="620" t="s">
        <v>1861</v>
      </c>
      <c r="R442" s="620">
        <v>5</v>
      </c>
      <c r="S442" s="620">
        <v>123853</v>
      </c>
      <c r="T442" s="620">
        <v>557</v>
      </c>
      <c r="U442" s="620">
        <v>557</v>
      </c>
      <c r="V442" s="620">
        <v>100000</v>
      </c>
      <c r="W442" s="620">
        <v>1</v>
      </c>
    </row>
    <row r="443" spans="1:23" x14ac:dyDescent="0.25">
      <c r="A443" s="620" t="s">
        <v>1862</v>
      </c>
      <c r="B443" s="620" t="s">
        <v>1863</v>
      </c>
      <c r="C443" s="620">
        <v>583</v>
      </c>
      <c r="D443" s="620">
        <v>2956857</v>
      </c>
      <c r="E443" s="620">
        <v>17531212215</v>
      </c>
      <c r="F443" s="620">
        <v>6009</v>
      </c>
      <c r="G443" s="620">
        <v>5732</v>
      </c>
      <c r="H443" s="620">
        <v>5774</v>
      </c>
      <c r="I443" s="620">
        <v>-235</v>
      </c>
      <c r="J443" s="620">
        <v>-3.91</v>
      </c>
      <c r="K443" s="620">
        <v>5929</v>
      </c>
      <c r="L443" s="620">
        <v>-80</v>
      </c>
      <c r="M443" s="620">
        <v>-1.33</v>
      </c>
      <c r="N443" s="620">
        <v>5709</v>
      </c>
      <c r="O443" s="620">
        <v>6166</v>
      </c>
      <c r="P443" s="620" t="s">
        <v>1864</v>
      </c>
      <c r="Q443" s="620" t="s">
        <v>1865</v>
      </c>
      <c r="R443" s="620">
        <v>1</v>
      </c>
      <c r="S443" s="620">
        <v>4000</v>
      </c>
      <c r="T443" s="620">
        <v>5573</v>
      </c>
      <c r="U443" s="620">
        <v>5774</v>
      </c>
      <c r="V443" s="620">
        <v>710</v>
      </c>
      <c r="W443" s="620">
        <v>1</v>
      </c>
    </row>
    <row r="444" spans="1:23" x14ac:dyDescent="0.25">
      <c r="A444" s="620" t="s">
        <v>1866</v>
      </c>
      <c r="B444" s="620" t="s">
        <v>1867</v>
      </c>
      <c r="C444" s="620">
        <v>433</v>
      </c>
      <c r="D444" s="620">
        <v>2458308</v>
      </c>
      <c r="E444" s="620">
        <v>7249078548</v>
      </c>
      <c r="F444" s="620">
        <v>3094</v>
      </c>
      <c r="G444" s="620">
        <v>2940</v>
      </c>
      <c r="H444" s="620">
        <v>2940</v>
      </c>
      <c r="I444" s="620">
        <v>-154</v>
      </c>
      <c r="J444" s="620">
        <v>-4.9800000000000004</v>
      </c>
      <c r="K444" s="620">
        <v>2949</v>
      </c>
      <c r="L444" s="620">
        <v>-145</v>
      </c>
      <c r="M444" s="620">
        <v>-4.6900000000000004</v>
      </c>
      <c r="N444" s="620">
        <v>2940</v>
      </c>
      <c r="O444" s="620">
        <v>3039</v>
      </c>
      <c r="P444" s="620" t="s">
        <v>1868</v>
      </c>
      <c r="Q444" s="620" t="s">
        <v>1869</v>
      </c>
      <c r="R444" s="620">
        <v>0</v>
      </c>
      <c r="S444" s="620">
        <v>0</v>
      </c>
      <c r="T444" s="620">
        <v>0</v>
      </c>
      <c r="U444" s="620">
        <v>2940</v>
      </c>
      <c r="V444" s="620">
        <v>131</v>
      </c>
      <c r="W444" s="620">
        <v>1</v>
      </c>
    </row>
    <row r="445" spans="1:23" x14ac:dyDescent="0.25">
      <c r="A445" s="620" t="s">
        <v>1870</v>
      </c>
      <c r="B445" s="620" t="s">
        <v>1871</v>
      </c>
      <c r="C445" s="620">
        <v>523</v>
      </c>
      <c r="D445" s="620">
        <v>558080</v>
      </c>
      <c r="E445" s="620">
        <v>9401586651</v>
      </c>
      <c r="F445" s="620">
        <v>17726</v>
      </c>
      <c r="G445" s="620">
        <v>16840</v>
      </c>
      <c r="H445" s="620">
        <v>16840</v>
      </c>
      <c r="I445" s="620">
        <v>-886</v>
      </c>
      <c r="J445" s="620">
        <v>-5</v>
      </c>
      <c r="K445" s="620">
        <v>16846</v>
      </c>
      <c r="L445" s="620">
        <v>-880</v>
      </c>
      <c r="M445" s="620">
        <v>-4.96</v>
      </c>
      <c r="N445" s="620">
        <v>16840</v>
      </c>
      <c r="O445" s="620">
        <v>17000</v>
      </c>
      <c r="P445" s="620" t="s">
        <v>1872</v>
      </c>
      <c r="Q445" s="620" t="s">
        <v>1873</v>
      </c>
      <c r="R445" s="620">
        <v>0</v>
      </c>
      <c r="S445" s="620">
        <v>0</v>
      </c>
      <c r="T445" s="620">
        <v>0</v>
      </c>
      <c r="U445" s="620">
        <v>16840</v>
      </c>
      <c r="V445" s="620">
        <v>114873</v>
      </c>
      <c r="W445" s="620">
        <v>28</v>
      </c>
    </row>
    <row r="446" spans="1:23" x14ac:dyDescent="0.25">
      <c r="A446" s="620" t="s">
        <v>1874</v>
      </c>
      <c r="B446" s="620" t="s">
        <v>1874</v>
      </c>
      <c r="C446" s="620">
        <v>2069</v>
      </c>
      <c r="D446" s="620">
        <v>4291632</v>
      </c>
      <c r="E446" s="620">
        <v>51058770939</v>
      </c>
      <c r="F446" s="620">
        <v>12474</v>
      </c>
      <c r="G446" s="620">
        <v>11901</v>
      </c>
      <c r="H446" s="620">
        <v>11851</v>
      </c>
      <c r="I446" s="620">
        <v>-623</v>
      </c>
      <c r="J446" s="620">
        <v>-4.99</v>
      </c>
      <c r="K446" s="620">
        <v>11897</v>
      </c>
      <c r="L446" s="620">
        <v>-577</v>
      </c>
      <c r="M446" s="620">
        <v>-4.63</v>
      </c>
      <c r="N446" s="620">
        <v>11851</v>
      </c>
      <c r="O446" s="620">
        <v>12367</v>
      </c>
      <c r="P446" s="620" t="s">
        <v>1875</v>
      </c>
      <c r="Q446" s="620" t="s">
        <v>1876</v>
      </c>
      <c r="R446" s="620">
        <v>1</v>
      </c>
      <c r="S446" s="620">
        <v>1000</v>
      </c>
      <c r="T446" s="620">
        <v>9756</v>
      </c>
      <c r="U446" s="620">
        <v>11851</v>
      </c>
      <c r="V446" s="620">
        <v>524654</v>
      </c>
      <c r="W446" s="620">
        <v>73</v>
      </c>
    </row>
    <row r="447" spans="1:23" x14ac:dyDescent="0.25">
      <c r="A447" s="620" t="s">
        <v>1877</v>
      </c>
      <c r="B447" s="620" t="s">
        <v>1878</v>
      </c>
      <c r="C447" s="620">
        <v>1</v>
      </c>
      <c r="D447" s="620">
        <v>50</v>
      </c>
      <c r="E447" s="620">
        <v>87500000</v>
      </c>
      <c r="F447" s="620">
        <v>2000</v>
      </c>
      <c r="G447" s="620">
        <v>1750</v>
      </c>
      <c r="H447" s="620">
        <v>1750</v>
      </c>
      <c r="I447" s="620">
        <v>-250</v>
      </c>
      <c r="J447" s="620">
        <v>-12.5</v>
      </c>
      <c r="K447" s="620">
        <v>1750</v>
      </c>
      <c r="L447" s="620">
        <v>-250</v>
      </c>
      <c r="M447" s="620">
        <v>-12.5</v>
      </c>
      <c r="N447" s="620">
        <v>1750</v>
      </c>
      <c r="O447" s="620">
        <v>1750</v>
      </c>
      <c r="R447" s="620">
        <v>1</v>
      </c>
      <c r="S447" s="620">
        <v>100</v>
      </c>
      <c r="T447" s="620">
        <v>1453</v>
      </c>
      <c r="U447" s="620">
        <v>1800</v>
      </c>
      <c r="V447" s="620">
        <v>50</v>
      </c>
      <c r="W447" s="620">
        <v>1</v>
      </c>
    </row>
    <row r="448" spans="1:23" x14ac:dyDescent="0.25">
      <c r="A448" s="620" t="s">
        <v>1879</v>
      </c>
      <c r="B448" s="620" t="s">
        <v>1880</v>
      </c>
      <c r="C448" s="620">
        <v>1</v>
      </c>
      <c r="D448" s="620">
        <v>76</v>
      </c>
      <c r="E448" s="620">
        <v>760</v>
      </c>
      <c r="F448" s="620">
        <v>392007</v>
      </c>
      <c r="G448" s="620">
        <v>10</v>
      </c>
      <c r="H448" s="620">
        <v>10</v>
      </c>
      <c r="I448" s="620">
        <v>-391997</v>
      </c>
      <c r="J448" s="620">
        <v>-100</v>
      </c>
      <c r="K448" s="620">
        <v>10</v>
      </c>
      <c r="L448" s="620">
        <v>-391997</v>
      </c>
      <c r="M448" s="620">
        <v>-100</v>
      </c>
      <c r="N448" s="620">
        <v>10</v>
      </c>
      <c r="O448" s="620">
        <v>10</v>
      </c>
      <c r="R448" s="620">
        <v>0</v>
      </c>
      <c r="S448" s="620">
        <v>0</v>
      </c>
      <c r="T448" s="620">
        <v>0</v>
      </c>
      <c r="U448" s="620">
        <v>0</v>
      </c>
      <c r="V448" s="620">
        <v>0</v>
      </c>
      <c r="W448" s="620">
        <v>0</v>
      </c>
    </row>
    <row r="449" spans="1:23" x14ac:dyDescent="0.25">
      <c r="A449" s="620" t="s">
        <v>1881</v>
      </c>
      <c r="B449" s="620" t="s">
        <v>1882</v>
      </c>
      <c r="C449" s="620">
        <v>39</v>
      </c>
      <c r="D449" s="620">
        <v>29207</v>
      </c>
      <c r="E449" s="620">
        <v>723348194</v>
      </c>
      <c r="F449" s="620">
        <v>26030</v>
      </c>
      <c r="G449" s="620">
        <v>26000</v>
      </c>
      <c r="H449" s="620">
        <v>24729</v>
      </c>
      <c r="I449" s="620">
        <v>-1301</v>
      </c>
      <c r="J449" s="620">
        <v>-5</v>
      </c>
      <c r="K449" s="620">
        <v>25722</v>
      </c>
      <c r="L449" s="620">
        <v>-308</v>
      </c>
      <c r="M449" s="620">
        <v>-1.18</v>
      </c>
      <c r="N449" s="620">
        <v>24729</v>
      </c>
      <c r="O449" s="620">
        <v>26000</v>
      </c>
      <c r="P449" s="620" t="s">
        <v>1883</v>
      </c>
      <c r="Q449" s="620" t="s">
        <v>1884</v>
      </c>
      <c r="R449" s="620">
        <v>0</v>
      </c>
      <c r="S449" s="620">
        <v>0</v>
      </c>
      <c r="T449" s="620">
        <v>0</v>
      </c>
      <c r="U449" s="620">
        <v>25740</v>
      </c>
      <c r="V449" s="620">
        <v>4900</v>
      </c>
      <c r="W449" s="620">
        <v>1</v>
      </c>
    </row>
    <row r="450" spans="1:23" x14ac:dyDescent="0.25">
      <c r="A450" s="620" t="s">
        <v>1885</v>
      </c>
      <c r="B450" s="620" t="s">
        <v>1886</v>
      </c>
      <c r="C450" s="620">
        <v>7</v>
      </c>
      <c r="D450" s="620">
        <v>28470</v>
      </c>
      <c r="E450" s="620">
        <v>1047161330</v>
      </c>
      <c r="F450" s="620">
        <v>37503</v>
      </c>
      <c r="G450" s="620">
        <v>36305</v>
      </c>
      <c r="H450" s="620">
        <v>36840</v>
      </c>
      <c r="I450" s="620">
        <v>-663</v>
      </c>
      <c r="J450" s="620">
        <v>-1.77</v>
      </c>
      <c r="K450" s="620">
        <v>36781</v>
      </c>
      <c r="L450" s="620">
        <v>-722</v>
      </c>
      <c r="M450" s="620">
        <v>-1.93</v>
      </c>
      <c r="N450" s="620">
        <v>36305</v>
      </c>
      <c r="O450" s="620">
        <v>37118</v>
      </c>
      <c r="R450" s="620">
        <v>0</v>
      </c>
      <c r="S450" s="620">
        <v>0</v>
      </c>
      <c r="T450" s="620">
        <v>0</v>
      </c>
      <c r="U450" s="620">
        <v>36840</v>
      </c>
      <c r="V450" s="620">
        <v>1470</v>
      </c>
      <c r="W450" s="620">
        <v>1</v>
      </c>
    </row>
    <row r="451" spans="1:23" x14ac:dyDescent="0.25">
      <c r="A451" s="620" t="s">
        <v>1887</v>
      </c>
      <c r="B451" s="620" t="s">
        <v>1888</v>
      </c>
      <c r="C451" s="620">
        <v>393</v>
      </c>
      <c r="D451" s="620">
        <v>1164245</v>
      </c>
      <c r="E451" s="620">
        <v>4041094395</v>
      </c>
      <c r="F451" s="620">
        <v>3578</v>
      </c>
      <c r="G451" s="620">
        <v>3471</v>
      </c>
      <c r="H451" s="620">
        <v>3471</v>
      </c>
      <c r="I451" s="620">
        <v>-107</v>
      </c>
      <c r="J451" s="620">
        <v>-2.99</v>
      </c>
      <c r="K451" s="620">
        <v>3471</v>
      </c>
      <c r="L451" s="620">
        <v>-107</v>
      </c>
      <c r="M451" s="620">
        <v>-2.99</v>
      </c>
      <c r="N451" s="620">
        <v>3471</v>
      </c>
      <c r="O451" s="620">
        <v>3471</v>
      </c>
      <c r="P451" s="620" t="s">
        <v>1889</v>
      </c>
      <c r="Q451" s="620" t="s">
        <v>1890</v>
      </c>
      <c r="R451" s="620">
        <v>0</v>
      </c>
      <c r="S451" s="620">
        <v>0</v>
      </c>
      <c r="T451" s="620">
        <v>0</v>
      </c>
      <c r="U451" s="620">
        <v>3471</v>
      </c>
      <c r="V451" s="620">
        <v>8681008</v>
      </c>
      <c r="W451" s="620">
        <v>497</v>
      </c>
    </row>
    <row r="452" spans="1:23" x14ac:dyDescent="0.25">
      <c r="A452" s="620" t="s">
        <v>1891</v>
      </c>
      <c r="B452" s="620" t="s">
        <v>1892</v>
      </c>
      <c r="C452" s="620">
        <v>26</v>
      </c>
      <c r="D452" s="620">
        <v>41696</v>
      </c>
      <c r="E452" s="620">
        <v>389065376</v>
      </c>
      <c r="F452" s="620">
        <v>9619</v>
      </c>
      <c r="G452" s="620">
        <v>9331</v>
      </c>
      <c r="H452" s="620">
        <v>9331</v>
      </c>
      <c r="I452" s="620">
        <v>-288</v>
      </c>
      <c r="J452" s="620">
        <v>-2.99</v>
      </c>
      <c r="K452" s="620">
        <v>9331</v>
      </c>
      <c r="L452" s="620">
        <v>-288</v>
      </c>
      <c r="M452" s="620">
        <v>-2.99</v>
      </c>
      <c r="N452" s="620">
        <v>9331</v>
      </c>
      <c r="O452" s="620">
        <v>9331</v>
      </c>
      <c r="P452" s="620" t="s">
        <v>1893</v>
      </c>
      <c r="Q452" s="620" t="s">
        <v>1894</v>
      </c>
      <c r="R452" s="620">
        <v>0</v>
      </c>
      <c r="S452" s="620">
        <v>0</v>
      </c>
      <c r="T452" s="620">
        <v>0</v>
      </c>
      <c r="U452" s="620">
        <v>9331</v>
      </c>
      <c r="V452" s="620">
        <v>71626</v>
      </c>
      <c r="W452" s="620">
        <v>21</v>
      </c>
    </row>
    <row r="453" spans="1:23" x14ac:dyDescent="0.25">
      <c r="A453" s="620" t="s">
        <v>1895</v>
      </c>
      <c r="B453" s="620" t="s">
        <v>1896</v>
      </c>
      <c r="C453" s="620">
        <v>0</v>
      </c>
      <c r="D453" s="620">
        <v>0</v>
      </c>
      <c r="E453" s="620">
        <v>0</v>
      </c>
      <c r="F453" s="620">
        <v>1</v>
      </c>
      <c r="G453" s="620">
        <v>0</v>
      </c>
      <c r="H453" s="620">
        <v>1</v>
      </c>
      <c r="I453" s="620">
        <v>0</v>
      </c>
      <c r="J453" s="620">
        <v>0</v>
      </c>
      <c r="K453" s="620">
        <v>1</v>
      </c>
      <c r="L453" s="620">
        <v>0</v>
      </c>
      <c r="M453" s="620">
        <v>0</v>
      </c>
      <c r="N453" s="620">
        <v>0</v>
      </c>
      <c r="O453" s="620">
        <v>0</v>
      </c>
      <c r="R453" s="620">
        <v>1</v>
      </c>
      <c r="S453" s="620">
        <v>100</v>
      </c>
      <c r="T453" s="620">
        <v>20</v>
      </c>
      <c r="U453" s="620">
        <v>0</v>
      </c>
      <c r="V453" s="620">
        <v>0</v>
      </c>
      <c r="W453" s="620">
        <v>0</v>
      </c>
    </row>
    <row r="454" spans="1:23" x14ac:dyDescent="0.25">
      <c r="A454" s="620" t="s">
        <v>344</v>
      </c>
      <c r="B454" s="620" t="s">
        <v>1897</v>
      </c>
      <c r="C454" s="620">
        <v>610</v>
      </c>
      <c r="D454" s="620">
        <v>3023964</v>
      </c>
      <c r="E454" s="620">
        <v>26830157717</v>
      </c>
      <c r="F454" s="620">
        <v>8670</v>
      </c>
      <c r="G454" s="620">
        <v>8555</v>
      </c>
      <c r="H454" s="620">
        <v>8870</v>
      </c>
      <c r="I454" s="620">
        <v>200</v>
      </c>
      <c r="J454" s="620">
        <v>2.31</v>
      </c>
      <c r="K454" s="620">
        <v>8873</v>
      </c>
      <c r="L454" s="620">
        <v>203</v>
      </c>
      <c r="M454" s="620">
        <v>2.34</v>
      </c>
      <c r="N454" s="620">
        <v>8555</v>
      </c>
      <c r="O454" s="620">
        <v>9000</v>
      </c>
      <c r="P454" s="620" t="s">
        <v>1898</v>
      </c>
      <c r="Q454" s="620" t="s">
        <v>1899</v>
      </c>
      <c r="R454" s="620">
        <v>2</v>
      </c>
      <c r="S454" s="620">
        <v>314</v>
      </c>
      <c r="T454" s="620">
        <v>8830</v>
      </c>
      <c r="U454" s="620">
        <v>8830</v>
      </c>
      <c r="V454" s="620">
        <v>12</v>
      </c>
      <c r="W454" s="620">
        <v>1</v>
      </c>
    </row>
    <row r="455" spans="1:23" x14ac:dyDescent="0.25">
      <c r="A455" s="620" t="s">
        <v>1900</v>
      </c>
      <c r="B455" s="620" t="s">
        <v>1901</v>
      </c>
      <c r="C455" s="620">
        <v>0</v>
      </c>
      <c r="D455" s="620">
        <v>0</v>
      </c>
      <c r="E455" s="620">
        <v>0</v>
      </c>
      <c r="F455" s="620">
        <v>800</v>
      </c>
      <c r="G455" s="620">
        <v>0</v>
      </c>
      <c r="H455" s="620">
        <v>800</v>
      </c>
      <c r="I455" s="620">
        <v>0</v>
      </c>
      <c r="J455" s="620">
        <v>0</v>
      </c>
      <c r="K455" s="620">
        <v>800</v>
      </c>
      <c r="L455" s="620">
        <v>0</v>
      </c>
      <c r="M455" s="620">
        <v>0</v>
      </c>
      <c r="N455" s="620">
        <v>0</v>
      </c>
      <c r="O455" s="620">
        <v>0</v>
      </c>
      <c r="R455" s="620">
        <v>1</v>
      </c>
      <c r="S455" s="620">
        <v>3</v>
      </c>
      <c r="T455" s="620">
        <v>700</v>
      </c>
      <c r="U455" s="620">
        <v>921</v>
      </c>
      <c r="V455" s="620">
        <v>3</v>
      </c>
      <c r="W455" s="620">
        <v>1</v>
      </c>
    </row>
    <row r="456" spans="1:23" x14ac:dyDescent="0.25">
      <c r="A456" s="620" t="s">
        <v>1902</v>
      </c>
      <c r="B456" s="620" t="s">
        <v>1903</v>
      </c>
      <c r="C456" s="620">
        <v>211</v>
      </c>
      <c r="D456" s="620">
        <v>375012</v>
      </c>
      <c r="E456" s="620">
        <v>3111205509</v>
      </c>
      <c r="F456" s="620">
        <v>8723</v>
      </c>
      <c r="G456" s="620">
        <v>8287</v>
      </c>
      <c r="H456" s="620">
        <v>8287</v>
      </c>
      <c r="I456" s="620">
        <v>-436</v>
      </c>
      <c r="J456" s="620">
        <v>-5</v>
      </c>
      <c r="K456" s="620">
        <v>8296</v>
      </c>
      <c r="L456" s="620">
        <v>-427</v>
      </c>
      <c r="M456" s="620">
        <v>-4.9000000000000004</v>
      </c>
      <c r="N456" s="620">
        <v>8287</v>
      </c>
      <c r="O456" s="620">
        <v>8988</v>
      </c>
      <c r="P456" s="620" t="s">
        <v>1904</v>
      </c>
      <c r="Q456" s="620" t="s">
        <v>1905</v>
      </c>
      <c r="R456" s="620">
        <v>0</v>
      </c>
      <c r="S456" s="620">
        <v>0</v>
      </c>
      <c r="T456" s="620">
        <v>0</v>
      </c>
      <c r="U456" s="620">
        <v>8287</v>
      </c>
      <c r="V456" s="620">
        <v>71702</v>
      </c>
      <c r="W456" s="620">
        <v>14</v>
      </c>
    </row>
    <row r="457" spans="1:23" x14ac:dyDescent="0.25">
      <c r="A457" s="620" t="s">
        <v>1906</v>
      </c>
      <c r="B457" s="620" t="s">
        <v>1907</v>
      </c>
      <c r="C457" s="620">
        <v>50</v>
      </c>
      <c r="D457" s="620">
        <v>45555</v>
      </c>
      <c r="E457" s="620">
        <v>335785905</v>
      </c>
      <c r="F457" s="620">
        <v>7758</v>
      </c>
      <c r="G457" s="620">
        <v>7371</v>
      </c>
      <c r="H457" s="620">
        <v>7371</v>
      </c>
      <c r="I457" s="620">
        <v>-387</v>
      </c>
      <c r="J457" s="620">
        <v>-4.99</v>
      </c>
      <c r="K457" s="620">
        <v>7693</v>
      </c>
      <c r="L457" s="620">
        <v>-65</v>
      </c>
      <c r="M457" s="620">
        <v>-0.84</v>
      </c>
      <c r="N457" s="620">
        <v>7371</v>
      </c>
      <c r="O457" s="620">
        <v>7371</v>
      </c>
      <c r="P457" s="620" t="s">
        <v>1787</v>
      </c>
      <c r="Q457" s="620" t="s">
        <v>1908</v>
      </c>
      <c r="R457" s="620">
        <v>1</v>
      </c>
      <c r="S457" s="620">
        <v>5000</v>
      </c>
      <c r="T457" s="620">
        <v>6282</v>
      </c>
      <c r="U457" s="620">
        <v>7371</v>
      </c>
      <c r="V457" s="620">
        <v>1411928</v>
      </c>
      <c r="W457" s="620">
        <v>198</v>
      </c>
    </row>
    <row r="458" spans="1:23" x14ac:dyDescent="0.25">
      <c r="A458" s="620" t="s">
        <v>1909</v>
      </c>
      <c r="B458" s="620" t="s">
        <v>1910</v>
      </c>
      <c r="C458" s="620">
        <v>7</v>
      </c>
      <c r="D458" s="620">
        <v>4493</v>
      </c>
      <c r="E458" s="620">
        <v>26212162</v>
      </c>
      <c r="F458" s="620">
        <v>5892</v>
      </c>
      <c r="G458" s="620">
        <v>5834</v>
      </c>
      <c r="H458" s="620">
        <v>5834</v>
      </c>
      <c r="I458" s="620">
        <v>-58</v>
      </c>
      <c r="J458" s="620">
        <v>-0.98</v>
      </c>
      <c r="K458" s="620">
        <v>5834</v>
      </c>
      <c r="L458" s="620">
        <v>-58</v>
      </c>
      <c r="M458" s="620">
        <v>-0.98</v>
      </c>
      <c r="N458" s="620">
        <v>5834</v>
      </c>
      <c r="O458" s="620">
        <v>5834</v>
      </c>
      <c r="P458" s="620" t="s">
        <v>1911</v>
      </c>
      <c r="Q458" s="620" t="s">
        <v>1912</v>
      </c>
      <c r="R458" s="620">
        <v>0</v>
      </c>
      <c r="S458" s="620">
        <v>0</v>
      </c>
      <c r="T458" s="620">
        <v>0</v>
      </c>
      <c r="U458" s="620">
        <v>5834</v>
      </c>
      <c r="V458" s="620">
        <v>2536396</v>
      </c>
      <c r="W458" s="620">
        <v>291</v>
      </c>
    </row>
    <row r="459" spans="1:23" x14ac:dyDescent="0.25">
      <c r="A459" s="620" t="s">
        <v>1913</v>
      </c>
      <c r="B459" s="620" t="s">
        <v>1914</v>
      </c>
      <c r="C459" s="620">
        <v>1</v>
      </c>
      <c r="D459" s="620">
        <v>10000</v>
      </c>
      <c r="E459" s="620">
        <v>10000000000</v>
      </c>
      <c r="F459" s="620">
        <v>1000000</v>
      </c>
      <c r="G459" s="620">
        <v>1000000</v>
      </c>
      <c r="H459" s="620">
        <v>1000000</v>
      </c>
      <c r="I459" s="620">
        <v>0</v>
      </c>
      <c r="J459" s="620">
        <v>0</v>
      </c>
      <c r="K459" s="620">
        <v>1000000</v>
      </c>
      <c r="L459" s="620">
        <v>0</v>
      </c>
      <c r="M459" s="620">
        <v>0</v>
      </c>
      <c r="N459" s="620">
        <v>1000000</v>
      </c>
      <c r="O459" s="620">
        <v>1000000</v>
      </c>
      <c r="R459" s="620">
        <v>0</v>
      </c>
      <c r="S459" s="620">
        <v>0</v>
      </c>
      <c r="T459" s="620">
        <v>0</v>
      </c>
      <c r="U459" s="620">
        <v>0</v>
      </c>
      <c r="V459" s="620">
        <v>0</v>
      </c>
      <c r="W459" s="620">
        <v>0</v>
      </c>
    </row>
    <row r="460" spans="1:23" x14ac:dyDescent="0.25">
      <c r="A460" s="620" t="s">
        <v>1915</v>
      </c>
      <c r="B460" s="620" t="s">
        <v>1916</v>
      </c>
      <c r="C460" s="620">
        <v>101</v>
      </c>
      <c r="D460" s="620">
        <v>129859</v>
      </c>
      <c r="E460" s="620">
        <v>108663837298</v>
      </c>
      <c r="F460" s="620">
        <v>836073</v>
      </c>
      <c r="G460" s="620">
        <v>836073</v>
      </c>
      <c r="H460" s="620">
        <v>837200</v>
      </c>
      <c r="I460" s="620">
        <v>1127</v>
      </c>
      <c r="J460" s="620">
        <v>0.13</v>
      </c>
      <c r="K460" s="620">
        <v>836783</v>
      </c>
      <c r="L460" s="620">
        <v>710</v>
      </c>
      <c r="M460" s="620">
        <v>0.08</v>
      </c>
      <c r="N460" s="620">
        <v>835051</v>
      </c>
      <c r="O460" s="620">
        <v>838000</v>
      </c>
      <c r="R460" s="620">
        <v>1</v>
      </c>
      <c r="S460" s="620">
        <v>97</v>
      </c>
      <c r="T460" s="620">
        <v>836510</v>
      </c>
      <c r="U460" s="620">
        <v>839000</v>
      </c>
      <c r="V460" s="620">
        <v>33300</v>
      </c>
      <c r="W460" s="620">
        <v>3</v>
      </c>
    </row>
    <row r="461" spans="1:23" x14ac:dyDescent="0.25">
      <c r="A461" s="620" t="s">
        <v>1917</v>
      </c>
      <c r="B461" s="620" t="s">
        <v>1918</v>
      </c>
      <c r="C461" s="620">
        <v>2918</v>
      </c>
      <c r="D461" s="620">
        <v>41888535</v>
      </c>
      <c r="E461" s="620">
        <v>93496975276</v>
      </c>
      <c r="F461" s="620">
        <v>2251</v>
      </c>
      <c r="G461" s="620">
        <v>2255</v>
      </c>
      <c r="H461" s="620">
        <v>2184</v>
      </c>
      <c r="I461" s="620">
        <v>-67</v>
      </c>
      <c r="J461" s="620">
        <v>-2.98</v>
      </c>
      <c r="K461" s="620">
        <v>2232</v>
      </c>
      <c r="L461" s="620">
        <v>-19</v>
      </c>
      <c r="M461" s="620">
        <v>-0.84</v>
      </c>
      <c r="N461" s="620">
        <v>2184</v>
      </c>
      <c r="O461" s="620">
        <v>2299</v>
      </c>
      <c r="P461" s="620" t="s">
        <v>793</v>
      </c>
      <c r="Q461" s="620" t="s">
        <v>1919</v>
      </c>
      <c r="R461" s="620">
        <v>0</v>
      </c>
      <c r="S461" s="620">
        <v>0</v>
      </c>
      <c r="T461" s="620">
        <v>0</v>
      </c>
      <c r="U461" s="620">
        <v>2184</v>
      </c>
      <c r="V461" s="620">
        <v>1497102</v>
      </c>
      <c r="W461" s="620">
        <v>35</v>
      </c>
    </row>
    <row r="462" spans="1:23" x14ac:dyDescent="0.25">
      <c r="A462" s="620" t="s">
        <v>1920</v>
      </c>
      <c r="B462" s="620" t="s">
        <v>1921</v>
      </c>
      <c r="C462" s="620">
        <v>0</v>
      </c>
      <c r="D462" s="620">
        <v>0</v>
      </c>
      <c r="E462" s="620">
        <v>0</v>
      </c>
      <c r="F462" s="620">
        <v>1</v>
      </c>
      <c r="G462" s="620">
        <v>0</v>
      </c>
      <c r="H462" s="620">
        <v>1</v>
      </c>
      <c r="I462" s="620">
        <v>0</v>
      </c>
      <c r="J462" s="620">
        <v>0</v>
      </c>
      <c r="K462" s="620">
        <v>1</v>
      </c>
      <c r="L462" s="620">
        <v>0</v>
      </c>
      <c r="M462" s="620">
        <v>0</v>
      </c>
      <c r="N462" s="620">
        <v>0</v>
      </c>
      <c r="O462" s="620">
        <v>0</v>
      </c>
      <c r="R462" s="620">
        <v>1</v>
      </c>
      <c r="S462" s="620">
        <v>10</v>
      </c>
      <c r="T462" s="620">
        <v>10</v>
      </c>
      <c r="U462" s="620">
        <v>0</v>
      </c>
      <c r="V462" s="620">
        <v>0</v>
      </c>
      <c r="W462" s="620">
        <v>0</v>
      </c>
    </row>
    <row r="463" spans="1:23" x14ac:dyDescent="0.25">
      <c r="A463" s="620" t="s">
        <v>1922</v>
      </c>
      <c r="B463" s="620" t="s">
        <v>1923</v>
      </c>
      <c r="C463" s="620">
        <v>81</v>
      </c>
      <c r="D463" s="620">
        <v>160463</v>
      </c>
      <c r="E463" s="620">
        <v>1174065062</v>
      </c>
      <c r="F463" s="620">
        <v>7691</v>
      </c>
      <c r="G463" s="620">
        <v>7311</v>
      </c>
      <c r="H463" s="620">
        <v>7307</v>
      </c>
      <c r="I463" s="620">
        <v>-384</v>
      </c>
      <c r="J463" s="620">
        <v>-4.99</v>
      </c>
      <c r="K463" s="620">
        <v>7552</v>
      </c>
      <c r="L463" s="620">
        <v>-139</v>
      </c>
      <c r="M463" s="620">
        <v>-1.81</v>
      </c>
      <c r="N463" s="620">
        <v>7307</v>
      </c>
      <c r="O463" s="620">
        <v>7498</v>
      </c>
      <c r="P463" s="620" t="s">
        <v>1924</v>
      </c>
      <c r="Q463" s="620" t="s">
        <v>1925</v>
      </c>
      <c r="R463" s="620">
        <v>1</v>
      </c>
      <c r="S463" s="620">
        <v>300</v>
      </c>
      <c r="T463" s="620">
        <v>6156</v>
      </c>
      <c r="U463" s="620">
        <v>7307</v>
      </c>
      <c r="V463" s="620">
        <v>95099</v>
      </c>
      <c r="W463" s="620">
        <v>12</v>
      </c>
    </row>
    <row r="464" spans="1:23" x14ac:dyDescent="0.25">
      <c r="A464" s="620" t="s">
        <v>1926</v>
      </c>
      <c r="B464" s="620" t="s">
        <v>1927</v>
      </c>
      <c r="C464" s="620">
        <v>598</v>
      </c>
      <c r="D464" s="620">
        <v>1808888</v>
      </c>
      <c r="E464" s="620">
        <v>33791749408</v>
      </c>
      <c r="F464" s="620">
        <v>18942</v>
      </c>
      <c r="G464" s="620">
        <v>18250</v>
      </c>
      <c r="H464" s="620">
        <v>18700</v>
      </c>
      <c r="I464" s="620">
        <v>-242</v>
      </c>
      <c r="J464" s="620">
        <v>-1.28</v>
      </c>
      <c r="K464" s="620">
        <v>18681</v>
      </c>
      <c r="L464" s="620">
        <v>-261</v>
      </c>
      <c r="M464" s="620">
        <v>-1.38</v>
      </c>
      <c r="N464" s="620">
        <v>18250</v>
      </c>
      <c r="O464" s="620">
        <v>19000</v>
      </c>
      <c r="P464" s="620" t="s">
        <v>1928</v>
      </c>
      <c r="Q464" s="620" t="s">
        <v>1929</v>
      </c>
      <c r="R464" s="620">
        <v>1</v>
      </c>
      <c r="S464" s="620">
        <v>821</v>
      </c>
      <c r="T464" s="620">
        <v>18672</v>
      </c>
      <c r="U464" s="620">
        <v>18739</v>
      </c>
      <c r="V464" s="620">
        <v>200</v>
      </c>
      <c r="W464" s="620">
        <v>1</v>
      </c>
    </row>
    <row r="465" spans="1:23" x14ac:dyDescent="0.25">
      <c r="A465" s="620" t="s">
        <v>1930</v>
      </c>
      <c r="B465" s="620" t="s">
        <v>1931</v>
      </c>
      <c r="C465" s="620">
        <v>286</v>
      </c>
      <c r="D465" s="620">
        <v>1943804</v>
      </c>
      <c r="E465" s="620">
        <v>7564865439</v>
      </c>
      <c r="F465" s="620">
        <v>4070</v>
      </c>
      <c r="G465" s="620">
        <v>3868</v>
      </c>
      <c r="H465" s="620">
        <v>3867</v>
      </c>
      <c r="I465" s="620">
        <v>-203</v>
      </c>
      <c r="J465" s="620">
        <v>-4.99</v>
      </c>
      <c r="K465" s="620">
        <v>3892</v>
      </c>
      <c r="L465" s="620">
        <v>-178</v>
      </c>
      <c r="M465" s="620">
        <v>-4.37</v>
      </c>
      <c r="N465" s="620">
        <v>3867</v>
      </c>
      <c r="O465" s="620">
        <v>4037</v>
      </c>
      <c r="P465" s="620" t="s">
        <v>1932</v>
      </c>
      <c r="Q465" s="620" t="s">
        <v>1933</v>
      </c>
      <c r="R465" s="620">
        <v>6</v>
      </c>
      <c r="S465" s="620">
        <v>129978</v>
      </c>
      <c r="T465" s="620">
        <v>3867</v>
      </c>
      <c r="U465" s="620">
        <v>3900</v>
      </c>
      <c r="V465" s="620">
        <v>72358</v>
      </c>
      <c r="W465" s="620">
        <v>2</v>
      </c>
    </row>
    <row r="466" spans="1:23" x14ac:dyDescent="0.25">
      <c r="A466" s="620" t="s">
        <v>1934</v>
      </c>
      <c r="B466" s="620" t="s">
        <v>1935</v>
      </c>
      <c r="C466" s="620">
        <v>956</v>
      </c>
      <c r="D466" s="620">
        <v>5342225</v>
      </c>
      <c r="E466" s="620">
        <v>29024946908</v>
      </c>
      <c r="F466" s="620">
        <v>5713</v>
      </c>
      <c r="G466" s="620">
        <v>5428</v>
      </c>
      <c r="H466" s="620">
        <v>5428</v>
      </c>
      <c r="I466" s="620">
        <v>-285</v>
      </c>
      <c r="J466" s="620">
        <v>-4.99</v>
      </c>
      <c r="K466" s="620">
        <v>5433</v>
      </c>
      <c r="L466" s="620">
        <v>-280</v>
      </c>
      <c r="M466" s="620">
        <v>-4.9000000000000004</v>
      </c>
      <c r="N466" s="620">
        <v>5428</v>
      </c>
      <c r="O466" s="620">
        <v>5577</v>
      </c>
      <c r="P466" s="620" t="s">
        <v>1936</v>
      </c>
      <c r="Q466" s="620" t="s">
        <v>1937</v>
      </c>
      <c r="R466" s="620">
        <v>0</v>
      </c>
      <c r="S466" s="620">
        <v>0</v>
      </c>
      <c r="T466" s="620">
        <v>0</v>
      </c>
      <c r="U466" s="620">
        <v>5428</v>
      </c>
      <c r="V466" s="620">
        <v>1437296</v>
      </c>
      <c r="W466" s="620">
        <v>88</v>
      </c>
    </row>
    <row r="467" spans="1:23" x14ac:dyDescent="0.25">
      <c r="A467" s="620" t="s">
        <v>1938</v>
      </c>
      <c r="B467" s="620" t="s">
        <v>1939</v>
      </c>
      <c r="C467" s="620">
        <v>0</v>
      </c>
      <c r="D467" s="620">
        <v>0</v>
      </c>
      <c r="E467" s="620">
        <v>0</v>
      </c>
      <c r="F467" s="620">
        <v>1</v>
      </c>
      <c r="G467" s="620">
        <v>0</v>
      </c>
      <c r="H467" s="620">
        <v>1</v>
      </c>
      <c r="I467" s="620">
        <v>0</v>
      </c>
      <c r="J467" s="620">
        <v>0</v>
      </c>
      <c r="K467" s="620">
        <v>1</v>
      </c>
      <c r="L467" s="620">
        <v>0</v>
      </c>
      <c r="M467" s="620">
        <v>0</v>
      </c>
      <c r="N467" s="620">
        <v>0</v>
      </c>
      <c r="O467" s="620">
        <v>0</v>
      </c>
      <c r="R467" s="620">
        <v>1</v>
      </c>
      <c r="S467" s="620">
        <v>5</v>
      </c>
      <c r="T467" s="620">
        <v>30</v>
      </c>
      <c r="U467" s="620">
        <v>0</v>
      </c>
      <c r="V467" s="620">
        <v>0</v>
      </c>
      <c r="W467" s="620">
        <v>0</v>
      </c>
    </row>
    <row r="468" spans="1:23" x14ac:dyDescent="0.25">
      <c r="A468" s="620" t="s">
        <v>1940</v>
      </c>
      <c r="B468" s="620" t="s">
        <v>1941</v>
      </c>
      <c r="C468" s="620">
        <v>276</v>
      </c>
      <c r="D468" s="620">
        <v>563721</v>
      </c>
      <c r="E468" s="620">
        <v>15829674701</v>
      </c>
      <c r="F468" s="620">
        <v>26787</v>
      </c>
      <c r="G468" s="620">
        <v>28126</v>
      </c>
      <c r="H468" s="620">
        <v>28126</v>
      </c>
      <c r="I468" s="620">
        <v>1339</v>
      </c>
      <c r="J468" s="620">
        <v>5</v>
      </c>
      <c r="K468" s="620">
        <v>28081</v>
      </c>
      <c r="L468" s="620">
        <v>1294</v>
      </c>
      <c r="M468" s="620">
        <v>4.83</v>
      </c>
      <c r="N468" s="620">
        <v>27101</v>
      </c>
      <c r="O468" s="620">
        <v>28126</v>
      </c>
      <c r="P468" s="620" t="s">
        <v>562</v>
      </c>
      <c r="Q468" s="620" t="s">
        <v>1942</v>
      </c>
      <c r="R468" s="620">
        <v>55</v>
      </c>
      <c r="S468" s="620">
        <v>142876</v>
      </c>
      <c r="T468" s="620">
        <v>28126</v>
      </c>
      <c r="U468" s="620">
        <v>28247</v>
      </c>
      <c r="V468" s="620">
        <v>60</v>
      </c>
      <c r="W468" s="620">
        <v>1</v>
      </c>
    </row>
    <row r="469" spans="1:23" x14ac:dyDescent="0.25">
      <c r="A469" s="620" t="s">
        <v>1943</v>
      </c>
      <c r="B469" s="620" t="s">
        <v>1944</v>
      </c>
      <c r="C469" s="620">
        <v>582</v>
      </c>
      <c r="D469" s="620">
        <v>16216822</v>
      </c>
      <c r="E469" s="620">
        <v>339631058141</v>
      </c>
      <c r="F469" s="620">
        <v>20923</v>
      </c>
      <c r="G469" s="620">
        <v>20940</v>
      </c>
      <c r="H469" s="620">
        <v>20947</v>
      </c>
      <c r="I469" s="620">
        <v>24</v>
      </c>
      <c r="J469" s="620">
        <v>0.11</v>
      </c>
      <c r="K469" s="620">
        <v>20943</v>
      </c>
      <c r="L469" s="620">
        <v>20</v>
      </c>
      <c r="M469" s="620">
        <v>0.1</v>
      </c>
      <c r="N469" s="620">
        <v>20915</v>
      </c>
      <c r="O469" s="620">
        <v>20948</v>
      </c>
      <c r="R469" s="620">
        <v>1</v>
      </c>
      <c r="S469" s="620">
        <v>20000</v>
      </c>
      <c r="T469" s="620">
        <v>20945</v>
      </c>
      <c r="U469" s="620">
        <v>20945</v>
      </c>
      <c r="V469" s="620">
        <v>35000</v>
      </c>
      <c r="W469" s="620">
        <v>1</v>
      </c>
    </row>
    <row r="470" spans="1:23" x14ac:dyDescent="0.25">
      <c r="A470" s="620" t="s">
        <v>1945</v>
      </c>
      <c r="B470" s="620" t="s">
        <v>1946</v>
      </c>
      <c r="C470" s="620">
        <v>112</v>
      </c>
      <c r="D470" s="620">
        <v>280139</v>
      </c>
      <c r="E470" s="620">
        <v>5420811864</v>
      </c>
      <c r="F470" s="620">
        <v>19828</v>
      </c>
      <c r="G470" s="620">
        <v>19234</v>
      </c>
      <c r="H470" s="620">
        <v>19234</v>
      </c>
      <c r="I470" s="620">
        <v>-594</v>
      </c>
      <c r="J470" s="620">
        <v>-3</v>
      </c>
      <c r="K470" s="620">
        <v>19350</v>
      </c>
      <c r="L470" s="620">
        <v>-478</v>
      </c>
      <c r="M470" s="620">
        <v>-2.41</v>
      </c>
      <c r="N470" s="620">
        <v>19234</v>
      </c>
      <c r="O470" s="620">
        <v>20290</v>
      </c>
      <c r="P470" s="620" t="s">
        <v>1947</v>
      </c>
      <c r="Q470" s="620" t="s">
        <v>1948</v>
      </c>
      <c r="R470" s="620">
        <v>0</v>
      </c>
      <c r="S470" s="620">
        <v>0</v>
      </c>
      <c r="T470" s="620">
        <v>0</v>
      </c>
      <c r="U470" s="620">
        <v>19234</v>
      </c>
      <c r="V470" s="620">
        <v>13343</v>
      </c>
      <c r="W470" s="620">
        <v>4</v>
      </c>
    </row>
    <row r="471" spans="1:23" x14ac:dyDescent="0.25">
      <c r="A471" s="620" t="s">
        <v>1949</v>
      </c>
      <c r="B471" s="620" t="s">
        <v>1950</v>
      </c>
      <c r="C471" s="620">
        <v>59</v>
      </c>
      <c r="D471" s="620">
        <v>6277</v>
      </c>
      <c r="E471" s="620">
        <v>6395113758</v>
      </c>
      <c r="F471" s="620">
        <v>1018149</v>
      </c>
      <c r="G471" s="620">
        <v>1017000</v>
      </c>
      <c r="H471" s="620">
        <v>1019101</v>
      </c>
      <c r="I471" s="620">
        <v>952</v>
      </c>
      <c r="J471" s="620">
        <v>0.09</v>
      </c>
      <c r="K471" s="620">
        <v>1018817</v>
      </c>
      <c r="L471" s="620">
        <v>668</v>
      </c>
      <c r="M471" s="620">
        <v>7.0000000000000007E-2</v>
      </c>
      <c r="N471" s="620">
        <v>1017000</v>
      </c>
      <c r="O471" s="620">
        <v>1019101</v>
      </c>
      <c r="R471" s="620">
        <v>1</v>
      </c>
      <c r="S471" s="620">
        <v>1229</v>
      </c>
      <c r="T471" s="620">
        <v>1019000</v>
      </c>
      <c r="U471" s="620">
        <v>1019789</v>
      </c>
      <c r="V471" s="620">
        <v>1600</v>
      </c>
      <c r="W471" s="620">
        <v>3</v>
      </c>
    </row>
    <row r="472" spans="1:23" x14ac:dyDescent="0.25">
      <c r="A472" s="620" t="s">
        <v>1951</v>
      </c>
      <c r="B472" s="620" t="s">
        <v>1952</v>
      </c>
      <c r="C472" s="620">
        <v>13</v>
      </c>
      <c r="D472" s="620">
        <v>23766</v>
      </c>
      <c r="E472" s="620">
        <v>53045712</v>
      </c>
      <c r="F472" s="620">
        <v>2301</v>
      </c>
      <c r="G472" s="620">
        <v>2232</v>
      </c>
      <c r="H472" s="620">
        <v>2232</v>
      </c>
      <c r="I472" s="620">
        <v>-69</v>
      </c>
      <c r="J472" s="620">
        <v>-3</v>
      </c>
      <c r="K472" s="620">
        <v>2232</v>
      </c>
      <c r="L472" s="620">
        <v>-69</v>
      </c>
      <c r="M472" s="620">
        <v>-3</v>
      </c>
      <c r="N472" s="620">
        <v>2232</v>
      </c>
      <c r="O472" s="620">
        <v>2232</v>
      </c>
      <c r="P472" s="620" t="s">
        <v>1953</v>
      </c>
      <c r="Q472" s="620" t="s">
        <v>1954</v>
      </c>
      <c r="R472" s="620">
        <v>0</v>
      </c>
      <c r="S472" s="620">
        <v>0</v>
      </c>
      <c r="T472" s="620">
        <v>0</v>
      </c>
      <c r="U472" s="620">
        <v>2232</v>
      </c>
      <c r="V472" s="620">
        <v>940913</v>
      </c>
      <c r="W472" s="620">
        <v>22</v>
      </c>
    </row>
    <row r="473" spans="1:23" x14ac:dyDescent="0.25">
      <c r="A473" s="620" t="s">
        <v>1955</v>
      </c>
      <c r="B473" s="620" t="s">
        <v>1956</v>
      </c>
      <c r="C473" s="620">
        <v>367</v>
      </c>
      <c r="D473" s="620">
        <v>454141</v>
      </c>
      <c r="E473" s="620">
        <v>10126191349</v>
      </c>
      <c r="F473" s="620">
        <v>23426</v>
      </c>
      <c r="G473" s="620">
        <v>22255</v>
      </c>
      <c r="H473" s="620">
        <v>22255</v>
      </c>
      <c r="I473" s="620">
        <v>-1171</v>
      </c>
      <c r="J473" s="620">
        <v>-5</v>
      </c>
      <c r="K473" s="620">
        <v>22297</v>
      </c>
      <c r="L473" s="620">
        <v>-1129</v>
      </c>
      <c r="M473" s="620">
        <v>-4.82</v>
      </c>
      <c r="N473" s="620">
        <v>22255</v>
      </c>
      <c r="O473" s="620">
        <v>23000</v>
      </c>
      <c r="P473" s="620" t="s">
        <v>627</v>
      </c>
      <c r="R473" s="620">
        <v>0</v>
      </c>
      <c r="S473" s="620">
        <v>0</v>
      </c>
      <c r="T473" s="620">
        <v>0</v>
      </c>
      <c r="U473" s="620">
        <v>22255</v>
      </c>
      <c r="V473" s="620">
        <v>185309</v>
      </c>
      <c r="W473" s="620">
        <v>33</v>
      </c>
    </row>
    <row r="474" spans="1:23" x14ac:dyDescent="0.25">
      <c r="A474" s="620" t="s">
        <v>1957</v>
      </c>
      <c r="B474" s="620" t="s">
        <v>1958</v>
      </c>
      <c r="C474" s="620">
        <v>240</v>
      </c>
      <c r="D474" s="620">
        <v>635708</v>
      </c>
      <c r="E474" s="620">
        <v>10766899263</v>
      </c>
      <c r="F474" s="620">
        <v>16840</v>
      </c>
      <c r="G474" s="620">
        <v>16500</v>
      </c>
      <c r="H474" s="620">
        <v>17000</v>
      </c>
      <c r="I474" s="620">
        <v>160</v>
      </c>
      <c r="J474" s="620">
        <v>0.95</v>
      </c>
      <c r="K474" s="620">
        <v>16937</v>
      </c>
      <c r="L474" s="620">
        <v>97</v>
      </c>
      <c r="M474" s="620">
        <v>0.57999999999999996</v>
      </c>
      <c r="N474" s="620">
        <v>16500</v>
      </c>
      <c r="O474" s="620">
        <v>17000</v>
      </c>
      <c r="P474" s="620" t="s">
        <v>1959</v>
      </c>
      <c r="Q474" s="620" t="s">
        <v>1960</v>
      </c>
      <c r="R474" s="620">
        <v>1</v>
      </c>
      <c r="S474" s="620">
        <v>6</v>
      </c>
      <c r="T474" s="620">
        <v>16760</v>
      </c>
      <c r="U474" s="620">
        <v>17010</v>
      </c>
      <c r="V474" s="620">
        <v>747</v>
      </c>
      <c r="W474" s="620">
        <v>1</v>
      </c>
    </row>
    <row r="475" spans="1:23" x14ac:dyDescent="0.25">
      <c r="A475" s="620" t="s">
        <v>1961</v>
      </c>
      <c r="B475" s="620" t="s">
        <v>1962</v>
      </c>
      <c r="C475" s="620">
        <v>749</v>
      </c>
      <c r="D475" s="620">
        <v>11347068</v>
      </c>
      <c r="E475" s="620">
        <v>32289888378</v>
      </c>
      <c r="F475" s="620">
        <v>2987</v>
      </c>
      <c r="G475" s="620">
        <v>2838</v>
      </c>
      <c r="H475" s="620">
        <v>2838</v>
      </c>
      <c r="I475" s="620">
        <v>-149</v>
      </c>
      <c r="J475" s="620">
        <v>-4.99</v>
      </c>
      <c r="K475" s="620">
        <v>2846</v>
      </c>
      <c r="L475" s="620">
        <v>-141</v>
      </c>
      <c r="M475" s="620">
        <v>-4.72</v>
      </c>
      <c r="N475" s="620">
        <v>2838</v>
      </c>
      <c r="O475" s="620">
        <v>2930</v>
      </c>
      <c r="P475" s="620" t="s">
        <v>1963</v>
      </c>
      <c r="Q475" s="620" t="s">
        <v>1964</v>
      </c>
      <c r="R475" s="620">
        <v>0</v>
      </c>
      <c r="S475" s="620">
        <v>0</v>
      </c>
      <c r="T475" s="620">
        <v>0</v>
      </c>
      <c r="U475" s="620">
        <v>2838</v>
      </c>
      <c r="V475" s="620">
        <v>2173259</v>
      </c>
      <c r="W475" s="620">
        <v>49</v>
      </c>
    </row>
    <row r="476" spans="1:23" x14ac:dyDescent="0.25">
      <c r="A476" s="620" t="s">
        <v>1965</v>
      </c>
      <c r="B476" s="620" t="s">
        <v>1966</v>
      </c>
      <c r="C476" s="620">
        <v>261</v>
      </c>
      <c r="D476" s="620">
        <v>344003</v>
      </c>
      <c r="E476" s="620">
        <v>6073076678</v>
      </c>
      <c r="F476" s="620">
        <v>18579</v>
      </c>
      <c r="G476" s="620">
        <v>17651</v>
      </c>
      <c r="H476" s="620">
        <v>17651</v>
      </c>
      <c r="I476" s="620">
        <v>-928</v>
      </c>
      <c r="J476" s="620">
        <v>-4.99</v>
      </c>
      <c r="K476" s="620">
        <v>17654</v>
      </c>
      <c r="L476" s="620">
        <v>-925</v>
      </c>
      <c r="M476" s="620">
        <v>-4.9800000000000004</v>
      </c>
      <c r="N476" s="620">
        <v>17651</v>
      </c>
      <c r="O476" s="620">
        <v>18200</v>
      </c>
      <c r="P476" s="620" t="s">
        <v>1967</v>
      </c>
      <c r="Q476" s="620" t="s">
        <v>1968</v>
      </c>
      <c r="R476" s="620">
        <v>0</v>
      </c>
      <c r="S476" s="620">
        <v>0</v>
      </c>
      <c r="T476" s="620">
        <v>0</v>
      </c>
      <c r="U476" s="620">
        <v>17651</v>
      </c>
      <c r="V476" s="620">
        <v>82746</v>
      </c>
      <c r="W476" s="620">
        <v>26</v>
      </c>
    </row>
    <row r="477" spans="1:23" x14ac:dyDescent="0.25">
      <c r="A477" s="620" t="s">
        <v>1969</v>
      </c>
      <c r="B477" s="620" t="s">
        <v>1970</v>
      </c>
      <c r="C477" s="620">
        <v>1437</v>
      </c>
      <c r="D477" s="620">
        <v>7053499</v>
      </c>
      <c r="E477" s="620">
        <v>92184906980</v>
      </c>
      <c r="F477" s="620">
        <v>13673</v>
      </c>
      <c r="G477" s="620">
        <v>12990</v>
      </c>
      <c r="H477" s="620">
        <v>12990</v>
      </c>
      <c r="I477" s="620">
        <v>-683</v>
      </c>
      <c r="J477" s="620">
        <v>-5</v>
      </c>
      <c r="K477" s="620">
        <v>13069</v>
      </c>
      <c r="L477" s="620">
        <v>-604</v>
      </c>
      <c r="M477" s="620">
        <v>-4.42</v>
      </c>
      <c r="N477" s="620">
        <v>12990</v>
      </c>
      <c r="O477" s="620">
        <v>13700</v>
      </c>
      <c r="P477" s="620" t="s">
        <v>1971</v>
      </c>
      <c r="Q477" s="620" t="s">
        <v>1972</v>
      </c>
      <c r="R477" s="620">
        <v>1</v>
      </c>
      <c r="S477" s="620">
        <v>1000</v>
      </c>
      <c r="T477" s="620">
        <v>9853</v>
      </c>
      <c r="U477" s="620">
        <v>12990</v>
      </c>
      <c r="V477" s="620">
        <v>457733</v>
      </c>
      <c r="W477" s="620">
        <v>58</v>
      </c>
    </row>
    <row r="478" spans="1:23" x14ac:dyDescent="0.25">
      <c r="A478" s="620" t="s">
        <v>1973</v>
      </c>
      <c r="B478" s="620" t="s">
        <v>1974</v>
      </c>
      <c r="C478" s="620">
        <v>625</v>
      </c>
      <c r="D478" s="620">
        <v>7727490</v>
      </c>
      <c r="E478" s="620">
        <v>17671409354</v>
      </c>
      <c r="F478" s="620">
        <v>2394</v>
      </c>
      <c r="G478" s="620">
        <v>2275</v>
      </c>
      <c r="H478" s="620">
        <v>2275</v>
      </c>
      <c r="I478" s="620">
        <v>-119</v>
      </c>
      <c r="J478" s="620">
        <v>-4.97</v>
      </c>
      <c r="K478" s="620">
        <v>2287</v>
      </c>
      <c r="L478" s="620">
        <v>-107</v>
      </c>
      <c r="M478" s="620">
        <v>-4.47</v>
      </c>
      <c r="N478" s="620">
        <v>2275</v>
      </c>
      <c r="O478" s="620">
        <v>2371</v>
      </c>
      <c r="P478" s="620" t="s">
        <v>1975</v>
      </c>
      <c r="Q478" s="620" t="s">
        <v>1976</v>
      </c>
      <c r="R478" s="620">
        <v>0</v>
      </c>
      <c r="S478" s="620">
        <v>0</v>
      </c>
      <c r="T478" s="620">
        <v>0</v>
      </c>
      <c r="U478" s="620">
        <v>2275</v>
      </c>
      <c r="V478" s="620">
        <v>1473557</v>
      </c>
      <c r="W478" s="620">
        <v>26</v>
      </c>
    </row>
    <row r="479" spans="1:23" x14ac:dyDescent="0.25">
      <c r="A479" s="620" t="s">
        <v>1977</v>
      </c>
      <c r="B479" s="620" t="s">
        <v>1978</v>
      </c>
      <c r="C479" s="620">
        <v>241</v>
      </c>
      <c r="D479" s="620">
        <v>158404</v>
      </c>
      <c r="E479" s="620">
        <v>8597419050</v>
      </c>
      <c r="F479" s="620">
        <v>57013</v>
      </c>
      <c r="G479" s="620">
        <v>54163</v>
      </c>
      <c r="H479" s="620">
        <v>54163</v>
      </c>
      <c r="I479" s="620">
        <v>-2850</v>
      </c>
      <c r="J479" s="620">
        <v>-5</v>
      </c>
      <c r="K479" s="620">
        <v>54275</v>
      </c>
      <c r="L479" s="620">
        <v>-2738</v>
      </c>
      <c r="M479" s="620">
        <v>-4.8</v>
      </c>
      <c r="N479" s="620">
        <v>54163</v>
      </c>
      <c r="O479" s="620">
        <v>57013</v>
      </c>
      <c r="P479" s="620" t="s">
        <v>1979</v>
      </c>
      <c r="Q479" s="620" t="s">
        <v>1980</v>
      </c>
      <c r="R479" s="620">
        <v>0</v>
      </c>
      <c r="S479" s="620">
        <v>0</v>
      </c>
      <c r="T479" s="620">
        <v>0</v>
      </c>
      <c r="U479" s="620">
        <v>54163</v>
      </c>
      <c r="V479" s="620">
        <v>5749</v>
      </c>
      <c r="W479" s="620">
        <v>5</v>
      </c>
    </row>
    <row r="480" spans="1:23" x14ac:dyDescent="0.25">
      <c r="A480" s="620" t="s">
        <v>1981</v>
      </c>
      <c r="B480" s="620" t="s">
        <v>1982</v>
      </c>
      <c r="C480" s="620">
        <v>397</v>
      </c>
      <c r="D480" s="620">
        <v>257418</v>
      </c>
      <c r="E480" s="620">
        <v>7001769600</v>
      </c>
      <c r="F480" s="620">
        <v>28631</v>
      </c>
      <c r="G480" s="620">
        <v>27200</v>
      </c>
      <c r="H480" s="620">
        <v>27200</v>
      </c>
      <c r="I480" s="620">
        <v>-1431</v>
      </c>
      <c r="J480" s="620">
        <v>-5</v>
      </c>
      <c r="K480" s="620">
        <v>27200</v>
      </c>
      <c r="L480" s="620">
        <v>-1431</v>
      </c>
      <c r="M480" s="620">
        <v>-5</v>
      </c>
      <c r="N480" s="620">
        <v>27200</v>
      </c>
      <c r="O480" s="620">
        <v>27200</v>
      </c>
      <c r="P480" s="620" t="s">
        <v>1983</v>
      </c>
      <c r="Q480" s="620" t="s">
        <v>1984</v>
      </c>
      <c r="R480" s="620">
        <v>1</v>
      </c>
      <c r="S480" s="620">
        <v>209</v>
      </c>
      <c r="T480" s="620">
        <v>23701</v>
      </c>
      <c r="U480" s="620">
        <v>27200</v>
      </c>
      <c r="V480" s="620">
        <v>437715</v>
      </c>
      <c r="W480" s="620">
        <v>138</v>
      </c>
    </row>
    <row r="481" spans="1:23" x14ac:dyDescent="0.25">
      <c r="A481" s="620" t="s">
        <v>1985</v>
      </c>
      <c r="B481" s="620" t="s">
        <v>1986</v>
      </c>
      <c r="C481" s="620">
        <v>4</v>
      </c>
      <c r="D481" s="620">
        <v>4876</v>
      </c>
      <c r="E481" s="620">
        <v>37876768</v>
      </c>
      <c r="F481" s="620">
        <v>7542</v>
      </c>
      <c r="G481" s="620">
        <v>7768</v>
      </c>
      <c r="H481" s="620">
        <v>7768</v>
      </c>
      <c r="I481" s="620">
        <v>226</v>
      </c>
      <c r="J481" s="620">
        <v>3</v>
      </c>
      <c r="K481" s="620">
        <v>7768</v>
      </c>
      <c r="L481" s="620">
        <v>226</v>
      </c>
      <c r="M481" s="620">
        <v>3</v>
      </c>
      <c r="N481" s="620">
        <v>7768</v>
      </c>
      <c r="O481" s="620">
        <v>7768</v>
      </c>
      <c r="P481" s="620" t="s">
        <v>1987</v>
      </c>
      <c r="Q481" s="620" t="s">
        <v>1988</v>
      </c>
      <c r="R481" s="620">
        <v>25</v>
      </c>
      <c r="S481" s="620">
        <v>179248</v>
      </c>
      <c r="T481" s="620">
        <v>7768</v>
      </c>
      <c r="U481" s="620">
        <v>0</v>
      </c>
      <c r="V481" s="620">
        <v>0</v>
      </c>
      <c r="W481" s="620">
        <v>0</v>
      </c>
    </row>
    <row r="482" spans="1:23" x14ac:dyDescent="0.25">
      <c r="A482" s="620" t="s">
        <v>1989</v>
      </c>
      <c r="B482" s="620" t="s">
        <v>1990</v>
      </c>
      <c r="C482" s="620">
        <v>293</v>
      </c>
      <c r="D482" s="620">
        <v>2156884</v>
      </c>
      <c r="E482" s="620">
        <v>5176315878</v>
      </c>
      <c r="F482" s="620">
        <v>2525</v>
      </c>
      <c r="G482" s="620">
        <v>2399</v>
      </c>
      <c r="H482" s="620">
        <v>2399</v>
      </c>
      <c r="I482" s="620">
        <v>-126</v>
      </c>
      <c r="J482" s="620">
        <v>-4.99</v>
      </c>
      <c r="K482" s="620">
        <v>2400</v>
      </c>
      <c r="L482" s="620">
        <v>-125</v>
      </c>
      <c r="M482" s="620">
        <v>-4.95</v>
      </c>
      <c r="N482" s="620">
        <v>2399</v>
      </c>
      <c r="O482" s="620">
        <v>2450</v>
      </c>
      <c r="P482" s="620" t="s">
        <v>1991</v>
      </c>
      <c r="Q482" s="620" t="s">
        <v>1992</v>
      </c>
      <c r="R482" s="620">
        <v>0</v>
      </c>
      <c r="S482" s="620">
        <v>0</v>
      </c>
      <c r="T482" s="620">
        <v>0</v>
      </c>
      <c r="U482" s="620">
        <v>2399</v>
      </c>
      <c r="V482" s="620">
        <v>2735251</v>
      </c>
      <c r="W482" s="620">
        <v>63</v>
      </c>
    </row>
    <row r="483" spans="1:23" x14ac:dyDescent="0.25">
      <c r="A483" s="620" t="s">
        <v>1993</v>
      </c>
      <c r="B483" s="620" t="s">
        <v>1994</v>
      </c>
      <c r="C483" s="620">
        <v>56</v>
      </c>
      <c r="D483" s="620">
        <v>78253</v>
      </c>
      <c r="E483" s="620">
        <v>401456815</v>
      </c>
      <c r="F483" s="620">
        <v>5287</v>
      </c>
      <c r="G483" s="620">
        <v>4900</v>
      </c>
      <c r="H483" s="620">
        <v>5026</v>
      </c>
      <c r="I483" s="620">
        <v>-261</v>
      </c>
      <c r="J483" s="620">
        <v>-4.9400000000000004</v>
      </c>
      <c r="K483" s="620">
        <v>5130</v>
      </c>
      <c r="L483" s="620">
        <v>-157</v>
      </c>
      <c r="M483" s="620">
        <v>-2.97</v>
      </c>
      <c r="N483" s="620">
        <v>4900</v>
      </c>
      <c r="O483" s="620">
        <v>5572</v>
      </c>
      <c r="R483" s="620">
        <v>1</v>
      </c>
      <c r="S483" s="620">
        <v>1000</v>
      </c>
      <c r="T483" s="620">
        <v>5011</v>
      </c>
      <c r="U483" s="620">
        <v>5120</v>
      </c>
      <c r="V483" s="620">
        <v>400</v>
      </c>
      <c r="W483" s="620">
        <v>1</v>
      </c>
    </row>
    <row r="484" spans="1:23" x14ac:dyDescent="0.25">
      <c r="A484" s="620" t="s">
        <v>1995</v>
      </c>
      <c r="B484" s="620" t="s">
        <v>1996</v>
      </c>
      <c r="C484" s="620">
        <v>107</v>
      </c>
      <c r="D484" s="620">
        <v>681232</v>
      </c>
      <c r="E484" s="620">
        <v>20278914176</v>
      </c>
      <c r="F484" s="620">
        <v>30688</v>
      </c>
      <c r="G484" s="620">
        <v>29768</v>
      </c>
      <c r="H484" s="620">
        <v>29768</v>
      </c>
      <c r="I484" s="620">
        <v>-920</v>
      </c>
      <c r="J484" s="620">
        <v>-3</v>
      </c>
      <c r="K484" s="620">
        <v>29768</v>
      </c>
      <c r="L484" s="620">
        <v>-920</v>
      </c>
      <c r="M484" s="620">
        <v>-3</v>
      </c>
      <c r="N484" s="620">
        <v>29768</v>
      </c>
      <c r="O484" s="620">
        <v>29768</v>
      </c>
      <c r="P484" s="620" t="s">
        <v>1997</v>
      </c>
      <c r="Q484" s="620" t="s">
        <v>1998</v>
      </c>
      <c r="R484" s="620">
        <v>0</v>
      </c>
      <c r="S484" s="620">
        <v>0</v>
      </c>
      <c r="T484" s="620">
        <v>0</v>
      </c>
      <c r="U484" s="620">
        <v>29768</v>
      </c>
      <c r="V484" s="620">
        <v>688192</v>
      </c>
      <c r="W484" s="620">
        <v>151</v>
      </c>
    </row>
    <row r="485" spans="1:23" x14ac:dyDescent="0.25">
      <c r="A485" s="620" t="s">
        <v>1999</v>
      </c>
      <c r="B485" s="620" t="s">
        <v>2000</v>
      </c>
      <c r="C485" s="620">
        <v>22</v>
      </c>
      <c r="D485" s="620">
        <v>157303</v>
      </c>
      <c r="E485" s="620">
        <v>1608508845</v>
      </c>
      <c r="F485" s="620">
        <v>10212</v>
      </c>
      <c r="G485" s="620">
        <v>10506</v>
      </c>
      <c r="H485" s="620">
        <v>10215</v>
      </c>
      <c r="I485" s="620">
        <v>3</v>
      </c>
      <c r="J485" s="620">
        <v>0.03</v>
      </c>
      <c r="K485" s="620">
        <v>10226</v>
      </c>
      <c r="L485" s="620">
        <v>14</v>
      </c>
      <c r="M485" s="620">
        <v>0.14000000000000001</v>
      </c>
      <c r="N485" s="620">
        <v>10215</v>
      </c>
      <c r="O485" s="620">
        <v>10506</v>
      </c>
      <c r="R485" s="620">
        <v>1</v>
      </c>
      <c r="S485" s="620">
        <v>350</v>
      </c>
      <c r="T485" s="620">
        <v>10000</v>
      </c>
      <c r="U485" s="620">
        <v>10500</v>
      </c>
      <c r="V485" s="620">
        <v>200</v>
      </c>
      <c r="W485" s="620">
        <v>1</v>
      </c>
    </row>
    <row r="486" spans="1:23" x14ac:dyDescent="0.25">
      <c r="A486" s="620" t="s">
        <v>2001</v>
      </c>
      <c r="B486" s="620" t="s">
        <v>2002</v>
      </c>
      <c r="C486" s="620">
        <v>0</v>
      </c>
      <c r="D486" s="620">
        <v>0</v>
      </c>
      <c r="E486" s="620">
        <v>0</v>
      </c>
      <c r="F486" s="620">
        <v>1</v>
      </c>
      <c r="G486" s="620">
        <v>0</v>
      </c>
      <c r="H486" s="620">
        <v>1</v>
      </c>
      <c r="I486" s="620">
        <v>0</v>
      </c>
      <c r="J486" s="620">
        <v>0</v>
      </c>
      <c r="K486" s="620">
        <v>1</v>
      </c>
      <c r="L486" s="620">
        <v>0</v>
      </c>
      <c r="M486" s="620">
        <v>0</v>
      </c>
      <c r="N486" s="620">
        <v>0</v>
      </c>
      <c r="O486" s="620">
        <v>0</v>
      </c>
      <c r="R486" s="620">
        <v>5</v>
      </c>
      <c r="S486" s="620">
        <v>500</v>
      </c>
      <c r="T486" s="620">
        <v>1</v>
      </c>
      <c r="U486" s="620">
        <v>0</v>
      </c>
      <c r="V486" s="620">
        <v>0</v>
      </c>
      <c r="W486" s="620">
        <v>0</v>
      </c>
    </row>
    <row r="487" spans="1:23" x14ac:dyDescent="0.25">
      <c r="A487" s="620" t="s">
        <v>2003</v>
      </c>
      <c r="B487" s="620" t="s">
        <v>2004</v>
      </c>
      <c r="C487" s="620">
        <v>8</v>
      </c>
      <c r="D487" s="620">
        <v>800</v>
      </c>
      <c r="E487" s="620">
        <v>182000000</v>
      </c>
      <c r="F487" s="620">
        <v>209</v>
      </c>
      <c r="G487" s="620">
        <v>220</v>
      </c>
      <c r="H487" s="620">
        <v>230</v>
      </c>
      <c r="I487" s="620">
        <v>21</v>
      </c>
      <c r="J487" s="620">
        <v>10.050000000000001</v>
      </c>
      <c r="K487" s="620">
        <v>227</v>
      </c>
      <c r="L487" s="620">
        <v>18</v>
      </c>
      <c r="M487" s="620">
        <v>8.61</v>
      </c>
      <c r="N487" s="620">
        <v>220</v>
      </c>
      <c r="O487" s="620">
        <v>230</v>
      </c>
      <c r="R487" s="620">
        <v>2</v>
      </c>
      <c r="S487" s="620">
        <v>200</v>
      </c>
      <c r="T487" s="620">
        <v>201</v>
      </c>
      <c r="U487" s="620">
        <v>0</v>
      </c>
      <c r="V487" s="620">
        <v>0</v>
      </c>
      <c r="W487" s="620">
        <v>0</v>
      </c>
    </row>
    <row r="488" spans="1:23" x14ac:dyDescent="0.25">
      <c r="A488" s="620" t="s">
        <v>2005</v>
      </c>
      <c r="B488" s="620" t="s">
        <v>2006</v>
      </c>
      <c r="C488" s="620">
        <v>751</v>
      </c>
      <c r="D488" s="620">
        <v>1153766</v>
      </c>
      <c r="E488" s="620">
        <v>20221973010</v>
      </c>
      <c r="F488" s="620">
        <v>18019</v>
      </c>
      <c r="G488" s="620">
        <v>17119</v>
      </c>
      <c r="H488" s="620">
        <v>17123</v>
      </c>
      <c r="I488" s="620">
        <v>-896</v>
      </c>
      <c r="J488" s="620">
        <v>-4.97</v>
      </c>
      <c r="K488" s="620">
        <v>17527</v>
      </c>
      <c r="L488" s="620">
        <v>-492</v>
      </c>
      <c r="M488" s="620">
        <v>-2.73</v>
      </c>
      <c r="N488" s="620">
        <v>17119</v>
      </c>
      <c r="O488" s="620">
        <v>18750</v>
      </c>
      <c r="P488" s="620" t="s">
        <v>2007</v>
      </c>
      <c r="Q488" s="620" t="s">
        <v>2008</v>
      </c>
      <c r="R488" s="620">
        <v>1</v>
      </c>
      <c r="S488" s="620">
        <v>1000</v>
      </c>
      <c r="T488" s="620">
        <v>17122</v>
      </c>
      <c r="U488" s="620">
        <v>17496</v>
      </c>
      <c r="V488" s="620">
        <v>87</v>
      </c>
      <c r="W488" s="620">
        <v>1</v>
      </c>
    </row>
    <row r="489" spans="1:23" x14ac:dyDescent="0.25">
      <c r="A489" s="620" t="s">
        <v>2009</v>
      </c>
      <c r="B489" s="620" t="s">
        <v>2010</v>
      </c>
      <c r="C489" s="620">
        <v>1494</v>
      </c>
      <c r="D489" s="620">
        <v>13139907</v>
      </c>
      <c r="E489" s="620">
        <v>49554903557</v>
      </c>
      <c r="F489" s="620">
        <v>3930</v>
      </c>
      <c r="G489" s="620">
        <v>3734</v>
      </c>
      <c r="H489" s="620">
        <v>3734</v>
      </c>
      <c r="I489" s="620">
        <v>-196</v>
      </c>
      <c r="J489" s="620">
        <v>-4.99</v>
      </c>
      <c r="K489" s="620">
        <v>3771</v>
      </c>
      <c r="L489" s="620">
        <v>-159</v>
      </c>
      <c r="M489" s="620">
        <v>-4.05</v>
      </c>
      <c r="N489" s="620">
        <v>3734</v>
      </c>
      <c r="O489" s="620">
        <v>3960</v>
      </c>
      <c r="P489" s="620" t="s">
        <v>2011</v>
      </c>
      <c r="Q489" s="620" t="s">
        <v>2012</v>
      </c>
      <c r="R489" s="620">
        <v>1</v>
      </c>
      <c r="S489" s="620">
        <v>6000</v>
      </c>
      <c r="T489" s="620">
        <v>2868</v>
      </c>
      <c r="U489" s="620">
        <v>3734</v>
      </c>
      <c r="V489" s="620">
        <v>1264511</v>
      </c>
      <c r="W489" s="620">
        <v>63</v>
      </c>
    </row>
    <row r="490" spans="1:23" x14ac:dyDescent="0.25">
      <c r="A490" s="620" t="s">
        <v>2013</v>
      </c>
      <c r="B490" s="620" t="s">
        <v>2014</v>
      </c>
      <c r="C490" s="620">
        <v>0</v>
      </c>
      <c r="D490" s="620">
        <v>0</v>
      </c>
      <c r="E490" s="620">
        <v>0</v>
      </c>
      <c r="F490" s="620">
        <v>900</v>
      </c>
      <c r="G490" s="620">
        <v>0</v>
      </c>
      <c r="H490" s="620">
        <v>900</v>
      </c>
      <c r="I490" s="620">
        <v>0</v>
      </c>
      <c r="J490" s="620">
        <v>0</v>
      </c>
      <c r="K490" s="620">
        <v>900</v>
      </c>
      <c r="L490" s="620">
        <v>0</v>
      </c>
      <c r="M490" s="620">
        <v>0</v>
      </c>
      <c r="N490" s="620">
        <v>0</v>
      </c>
      <c r="O490" s="620">
        <v>0</v>
      </c>
      <c r="R490" s="620">
        <v>1</v>
      </c>
      <c r="S490" s="620">
        <v>2</v>
      </c>
      <c r="T490" s="620">
        <v>800</v>
      </c>
      <c r="U490" s="620">
        <v>1299</v>
      </c>
      <c r="V490" s="620">
        <v>50</v>
      </c>
      <c r="W490" s="620">
        <v>1</v>
      </c>
    </row>
    <row r="491" spans="1:23" x14ac:dyDescent="0.25">
      <c r="A491" s="620" t="s">
        <v>2015</v>
      </c>
      <c r="B491" s="620" t="s">
        <v>2016</v>
      </c>
      <c r="C491" s="620">
        <v>0</v>
      </c>
      <c r="D491" s="620">
        <v>0</v>
      </c>
      <c r="E491" s="620">
        <v>0</v>
      </c>
      <c r="F491" s="620">
        <v>1</v>
      </c>
      <c r="G491" s="620">
        <v>0</v>
      </c>
      <c r="H491" s="620">
        <v>1</v>
      </c>
      <c r="I491" s="620">
        <v>0</v>
      </c>
      <c r="J491" s="620">
        <v>0</v>
      </c>
      <c r="K491" s="620">
        <v>1</v>
      </c>
      <c r="L491" s="620">
        <v>0</v>
      </c>
      <c r="M491" s="620">
        <v>0</v>
      </c>
      <c r="N491" s="620">
        <v>0</v>
      </c>
      <c r="O491" s="620">
        <v>0</v>
      </c>
      <c r="R491" s="620">
        <v>1</v>
      </c>
      <c r="S491" s="620">
        <v>100</v>
      </c>
      <c r="T491" s="620">
        <v>200</v>
      </c>
      <c r="U491" s="620">
        <v>0</v>
      </c>
      <c r="V491" s="620">
        <v>0</v>
      </c>
      <c r="W491" s="620">
        <v>0</v>
      </c>
    </row>
    <row r="492" spans="1:23" x14ac:dyDescent="0.25">
      <c r="A492" s="620" t="s">
        <v>2017</v>
      </c>
      <c r="B492" s="620" t="s">
        <v>2018</v>
      </c>
      <c r="C492" s="620">
        <v>41</v>
      </c>
      <c r="D492" s="620">
        <v>18693</v>
      </c>
      <c r="E492" s="620">
        <v>378159390</v>
      </c>
      <c r="F492" s="620">
        <v>21294</v>
      </c>
      <c r="G492" s="620">
        <v>20230</v>
      </c>
      <c r="H492" s="620">
        <v>20230</v>
      </c>
      <c r="I492" s="620">
        <v>-1064</v>
      </c>
      <c r="J492" s="620">
        <v>-5</v>
      </c>
      <c r="K492" s="620">
        <v>21018</v>
      </c>
      <c r="L492" s="620">
        <v>-276</v>
      </c>
      <c r="M492" s="620">
        <v>-1.3</v>
      </c>
      <c r="N492" s="620">
        <v>20230</v>
      </c>
      <c r="O492" s="620">
        <v>20230</v>
      </c>
      <c r="P492" s="620" t="s">
        <v>2019</v>
      </c>
      <c r="Q492" s="620" t="s">
        <v>2020</v>
      </c>
      <c r="R492" s="620">
        <v>0</v>
      </c>
      <c r="S492" s="620">
        <v>0</v>
      </c>
      <c r="T492" s="620">
        <v>0</v>
      </c>
      <c r="U492" s="620">
        <v>20230</v>
      </c>
      <c r="V492" s="620">
        <v>29561</v>
      </c>
      <c r="W492" s="620">
        <v>20</v>
      </c>
    </row>
    <row r="493" spans="1:23" x14ac:dyDescent="0.25">
      <c r="A493" s="620" t="s">
        <v>2021</v>
      </c>
      <c r="B493" s="620" t="s">
        <v>2022</v>
      </c>
      <c r="C493" s="620">
        <v>821</v>
      </c>
      <c r="D493" s="620">
        <v>2098808</v>
      </c>
      <c r="E493" s="620">
        <v>28696478776</v>
      </c>
      <c r="F493" s="620">
        <v>13519</v>
      </c>
      <c r="G493" s="620">
        <v>13210</v>
      </c>
      <c r="H493" s="620">
        <v>13590</v>
      </c>
      <c r="I493" s="620">
        <v>71</v>
      </c>
      <c r="J493" s="620">
        <v>0.53</v>
      </c>
      <c r="K493" s="620">
        <v>13673</v>
      </c>
      <c r="L493" s="620">
        <v>154</v>
      </c>
      <c r="M493" s="620">
        <v>1.1399999999999999</v>
      </c>
      <c r="N493" s="620">
        <v>13201</v>
      </c>
      <c r="O493" s="620">
        <v>14000</v>
      </c>
      <c r="P493" s="620" t="s">
        <v>2023</v>
      </c>
      <c r="Q493" s="620" t="s">
        <v>2024</v>
      </c>
      <c r="R493" s="620">
        <v>2</v>
      </c>
      <c r="S493" s="620">
        <v>824</v>
      </c>
      <c r="T493" s="620">
        <v>13554</v>
      </c>
      <c r="U493" s="620">
        <v>13590</v>
      </c>
      <c r="V493" s="620">
        <v>2180</v>
      </c>
      <c r="W493" s="620">
        <v>1</v>
      </c>
    </row>
    <row r="494" spans="1:23" x14ac:dyDescent="0.25">
      <c r="A494" s="620" t="s">
        <v>2025</v>
      </c>
      <c r="B494" s="620" t="s">
        <v>2026</v>
      </c>
      <c r="C494" s="620">
        <v>216</v>
      </c>
      <c r="D494" s="620">
        <v>220888</v>
      </c>
      <c r="E494" s="620">
        <v>4235538315</v>
      </c>
      <c r="F494" s="620">
        <v>20181</v>
      </c>
      <c r="G494" s="620">
        <v>19172</v>
      </c>
      <c r="H494" s="620">
        <v>19172</v>
      </c>
      <c r="I494" s="620">
        <v>-1009</v>
      </c>
      <c r="J494" s="620">
        <v>-5</v>
      </c>
      <c r="K494" s="620">
        <v>19175</v>
      </c>
      <c r="L494" s="620">
        <v>-1006</v>
      </c>
      <c r="M494" s="620">
        <v>-4.9800000000000004</v>
      </c>
      <c r="N494" s="620">
        <v>19172</v>
      </c>
      <c r="O494" s="620">
        <v>19830</v>
      </c>
      <c r="P494" s="620" t="s">
        <v>2027</v>
      </c>
      <c r="Q494" s="620" t="s">
        <v>2028</v>
      </c>
      <c r="R494" s="620">
        <v>0</v>
      </c>
      <c r="S494" s="620">
        <v>0</v>
      </c>
      <c r="T494" s="620">
        <v>0</v>
      </c>
      <c r="U494" s="620">
        <v>19172</v>
      </c>
      <c r="V494" s="620">
        <v>26890</v>
      </c>
      <c r="W494" s="620">
        <v>18</v>
      </c>
    </row>
    <row r="495" spans="1:23" x14ac:dyDescent="0.25">
      <c r="A495" s="620" t="s">
        <v>2029</v>
      </c>
      <c r="B495" s="620" t="s">
        <v>2030</v>
      </c>
      <c r="C495" s="620">
        <v>129</v>
      </c>
      <c r="D495" s="620">
        <v>346820</v>
      </c>
      <c r="E495" s="620">
        <v>2922305320</v>
      </c>
      <c r="F495" s="620">
        <v>8869</v>
      </c>
      <c r="G495" s="620">
        <v>8426</v>
      </c>
      <c r="H495" s="620">
        <v>8426</v>
      </c>
      <c r="I495" s="620">
        <v>-443</v>
      </c>
      <c r="J495" s="620">
        <v>-4.99</v>
      </c>
      <c r="K495" s="620">
        <v>8426</v>
      </c>
      <c r="L495" s="620">
        <v>-443</v>
      </c>
      <c r="M495" s="620">
        <v>-4.99</v>
      </c>
      <c r="N495" s="620">
        <v>8426</v>
      </c>
      <c r="O495" s="620">
        <v>8426</v>
      </c>
      <c r="P495" s="620" t="s">
        <v>2031</v>
      </c>
      <c r="Q495" s="620" t="s">
        <v>2032</v>
      </c>
      <c r="R495" s="620">
        <v>1</v>
      </c>
      <c r="S495" s="620">
        <v>200</v>
      </c>
      <c r="T495" s="620">
        <v>7410</v>
      </c>
      <c r="U495" s="620">
        <v>8426</v>
      </c>
      <c r="V495" s="620">
        <v>412722</v>
      </c>
      <c r="W495" s="620">
        <v>117</v>
      </c>
    </row>
    <row r="496" spans="1:23" x14ac:dyDescent="0.25">
      <c r="A496" s="620" t="s">
        <v>2033</v>
      </c>
      <c r="B496" s="620" t="s">
        <v>2034</v>
      </c>
      <c r="C496" s="620">
        <v>347</v>
      </c>
      <c r="D496" s="620">
        <v>2585059</v>
      </c>
      <c r="E496" s="620">
        <v>9112243196</v>
      </c>
      <c r="F496" s="620">
        <v>3694</v>
      </c>
      <c r="G496" s="620">
        <v>3510</v>
      </c>
      <c r="H496" s="620">
        <v>3510</v>
      </c>
      <c r="I496" s="620">
        <v>-184</v>
      </c>
      <c r="J496" s="620">
        <v>-4.9800000000000004</v>
      </c>
      <c r="K496" s="620">
        <v>3525</v>
      </c>
      <c r="L496" s="620">
        <v>-169</v>
      </c>
      <c r="M496" s="620">
        <v>-4.57</v>
      </c>
      <c r="N496" s="620">
        <v>3510</v>
      </c>
      <c r="O496" s="620">
        <v>3750</v>
      </c>
      <c r="P496" s="620" t="s">
        <v>2035</v>
      </c>
      <c r="Q496" s="620" t="s">
        <v>2036</v>
      </c>
      <c r="R496" s="620">
        <v>1</v>
      </c>
      <c r="S496" s="620">
        <v>1000</v>
      </c>
      <c r="T496" s="620">
        <v>3405</v>
      </c>
      <c r="U496" s="620">
        <v>3510</v>
      </c>
      <c r="V496" s="620">
        <v>607311</v>
      </c>
      <c r="W496" s="620">
        <v>35</v>
      </c>
    </row>
    <row r="497" spans="1:23" x14ac:dyDescent="0.25">
      <c r="A497" s="620" t="s">
        <v>2037</v>
      </c>
      <c r="B497" s="620" t="s">
        <v>2038</v>
      </c>
      <c r="C497" s="620">
        <v>132</v>
      </c>
      <c r="D497" s="620">
        <v>749101</v>
      </c>
      <c r="E497" s="620">
        <v>2244306596</v>
      </c>
      <c r="F497" s="620">
        <v>3153</v>
      </c>
      <c r="G497" s="620">
        <v>2996</v>
      </c>
      <c r="H497" s="620">
        <v>2996</v>
      </c>
      <c r="I497" s="620">
        <v>-157</v>
      </c>
      <c r="J497" s="620">
        <v>-4.9800000000000004</v>
      </c>
      <c r="K497" s="620">
        <v>3041</v>
      </c>
      <c r="L497" s="620">
        <v>-112</v>
      </c>
      <c r="M497" s="620">
        <v>-3.55</v>
      </c>
      <c r="N497" s="620">
        <v>2996</v>
      </c>
      <c r="O497" s="620">
        <v>2996</v>
      </c>
      <c r="P497" s="620" t="s">
        <v>1115</v>
      </c>
      <c r="Q497" s="620" t="s">
        <v>2039</v>
      </c>
      <c r="R497" s="620">
        <v>1</v>
      </c>
      <c r="S497" s="620">
        <v>4000</v>
      </c>
      <c r="T497" s="620">
        <v>2829</v>
      </c>
      <c r="U497" s="620">
        <v>2996</v>
      </c>
      <c r="V497" s="620">
        <v>13018049</v>
      </c>
      <c r="W497" s="620">
        <v>429</v>
      </c>
    </row>
    <row r="498" spans="1:23" x14ac:dyDescent="0.25">
      <c r="A498" s="620" t="s">
        <v>2040</v>
      </c>
      <c r="B498" s="620" t="s">
        <v>2041</v>
      </c>
      <c r="C498" s="620">
        <v>2</v>
      </c>
      <c r="D498" s="620">
        <v>750</v>
      </c>
      <c r="E498" s="620">
        <v>735749100</v>
      </c>
      <c r="F498" s="620">
        <v>963000</v>
      </c>
      <c r="G498" s="620">
        <v>980990</v>
      </c>
      <c r="H498" s="620">
        <v>981000</v>
      </c>
      <c r="I498" s="620">
        <v>18000</v>
      </c>
      <c r="J498" s="620">
        <v>1.87</v>
      </c>
      <c r="K498" s="620">
        <v>980999</v>
      </c>
      <c r="L498" s="620">
        <v>17999</v>
      </c>
      <c r="M498" s="620">
        <v>1.87</v>
      </c>
      <c r="N498" s="620">
        <v>980990</v>
      </c>
      <c r="O498" s="620">
        <v>981000</v>
      </c>
      <c r="R498" s="620">
        <v>2</v>
      </c>
      <c r="S498" s="620">
        <v>15000</v>
      </c>
      <c r="T498" s="620">
        <v>972000</v>
      </c>
      <c r="U498" s="620">
        <v>981000</v>
      </c>
      <c r="V498" s="620">
        <v>14340</v>
      </c>
      <c r="W498" s="620">
        <v>2</v>
      </c>
    </row>
    <row r="499" spans="1:23" x14ac:dyDescent="0.25">
      <c r="A499" s="620" t="s">
        <v>2042</v>
      </c>
      <c r="B499" s="620" t="s">
        <v>2043</v>
      </c>
      <c r="C499" s="620">
        <v>0</v>
      </c>
      <c r="D499" s="620">
        <v>0</v>
      </c>
      <c r="E499" s="620">
        <v>0</v>
      </c>
      <c r="F499" s="620">
        <v>532326</v>
      </c>
      <c r="G499" s="620">
        <v>0</v>
      </c>
      <c r="H499" s="620">
        <v>532326</v>
      </c>
      <c r="I499" s="620">
        <v>0</v>
      </c>
      <c r="J499" s="620">
        <v>0</v>
      </c>
      <c r="K499" s="620">
        <v>532326</v>
      </c>
      <c r="L499" s="620">
        <v>0</v>
      </c>
      <c r="M499" s="620">
        <v>0</v>
      </c>
      <c r="N499" s="620">
        <v>0</v>
      </c>
      <c r="O499" s="620">
        <v>0</v>
      </c>
      <c r="R499" s="620">
        <v>0</v>
      </c>
      <c r="S499" s="620">
        <v>0</v>
      </c>
      <c r="T499" s="620">
        <v>0</v>
      </c>
      <c r="U499" s="620">
        <v>505710</v>
      </c>
      <c r="V499" s="620">
        <v>484</v>
      </c>
      <c r="W499" s="620">
        <v>38</v>
      </c>
    </row>
    <row r="500" spans="1:23" x14ac:dyDescent="0.25">
      <c r="A500" s="620" t="s">
        <v>2044</v>
      </c>
      <c r="B500" s="620" t="s">
        <v>2045</v>
      </c>
      <c r="C500" s="620">
        <v>7</v>
      </c>
      <c r="D500" s="620">
        <v>4100</v>
      </c>
      <c r="E500" s="620">
        <v>81771486</v>
      </c>
      <c r="F500" s="620">
        <v>19967</v>
      </c>
      <c r="G500" s="620">
        <v>20010</v>
      </c>
      <c r="H500" s="620">
        <v>19900</v>
      </c>
      <c r="I500" s="620">
        <v>-67</v>
      </c>
      <c r="J500" s="620">
        <v>-0.34</v>
      </c>
      <c r="K500" s="620">
        <v>19944</v>
      </c>
      <c r="L500" s="620">
        <v>-23</v>
      </c>
      <c r="M500" s="620">
        <v>-0.12</v>
      </c>
      <c r="N500" s="620">
        <v>19900</v>
      </c>
      <c r="O500" s="620">
        <v>20010</v>
      </c>
      <c r="R500" s="620">
        <v>2</v>
      </c>
      <c r="S500" s="620">
        <v>2449</v>
      </c>
      <c r="T500" s="620">
        <v>19900</v>
      </c>
      <c r="U500" s="620">
        <v>20150</v>
      </c>
      <c r="V500" s="620">
        <v>100</v>
      </c>
      <c r="W500" s="620">
        <v>2</v>
      </c>
    </row>
    <row r="501" spans="1:23" x14ac:dyDescent="0.25">
      <c r="A501" s="620" t="s">
        <v>2046</v>
      </c>
      <c r="B501" s="620" t="s">
        <v>2047</v>
      </c>
      <c r="C501" s="620">
        <v>1552</v>
      </c>
      <c r="D501" s="620">
        <v>17071605</v>
      </c>
      <c r="E501" s="620">
        <v>54056859368</v>
      </c>
      <c r="F501" s="620">
        <v>3130</v>
      </c>
      <c r="G501" s="620">
        <v>3110</v>
      </c>
      <c r="H501" s="620">
        <v>3201</v>
      </c>
      <c r="I501" s="620">
        <v>71</v>
      </c>
      <c r="J501" s="620">
        <v>2.27</v>
      </c>
      <c r="K501" s="620">
        <v>3166</v>
      </c>
      <c r="L501" s="620">
        <v>36</v>
      </c>
      <c r="M501" s="620">
        <v>1.1499999999999999</v>
      </c>
      <c r="N501" s="620">
        <v>3024</v>
      </c>
      <c r="O501" s="620">
        <v>3269</v>
      </c>
      <c r="P501" s="620" t="s">
        <v>2048</v>
      </c>
      <c r="Q501" s="620" t="s">
        <v>2049</v>
      </c>
      <c r="R501" s="620">
        <v>1</v>
      </c>
      <c r="S501" s="620">
        <v>500</v>
      </c>
      <c r="T501" s="620">
        <v>3200</v>
      </c>
      <c r="U501" s="620">
        <v>3202</v>
      </c>
      <c r="V501" s="620">
        <v>11397</v>
      </c>
      <c r="W501" s="620">
        <v>1</v>
      </c>
    </row>
    <row r="502" spans="1:23" x14ac:dyDescent="0.25">
      <c r="A502" s="620" t="s">
        <v>2050</v>
      </c>
      <c r="B502" s="620" t="s">
        <v>2051</v>
      </c>
      <c r="C502" s="620">
        <v>55</v>
      </c>
      <c r="D502" s="620">
        <v>95688</v>
      </c>
      <c r="E502" s="620">
        <v>907122240</v>
      </c>
      <c r="F502" s="620">
        <v>9978</v>
      </c>
      <c r="G502" s="620">
        <v>9480</v>
      </c>
      <c r="H502" s="620">
        <v>9480</v>
      </c>
      <c r="I502" s="620">
        <v>-498</v>
      </c>
      <c r="J502" s="620">
        <v>-4.99</v>
      </c>
      <c r="K502" s="620">
        <v>9873</v>
      </c>
      <c r="L502" s="620">
        <v>-105</v>
      </c>
      <c r="M502" s="620">
        <v>-1.05</v>
      </c>
      <c r="N502" s="620">
        <v>9480</v>
      </c>
      <c r="O502" s="620">
        <v>9480</v>
      </c>
      <c r="P502" s="620" t="s">
        <v>2052</v>
      </c>
      <c r="Q502" s="620" t="s">
        <v>2053</v>
      </c>
      <c r="R502" s="620">
        <v>1</v>
      </c>
      <c r="S502" s="620">
        <v>153</v>
      </c>
      <c r="T502" s="620">
        <v>6444</v>
      </c>
      <c r="U502" s="620">
        <v>9480</v>
      </c>
      <c r="V502" s="620">
        <v>1578624</v>
      </c>
      <c r="W502" s="620">
        <v>156</v>
      </c>
    </row>
    <row r="503" spans="1:23" x14ac:dyDescent="0.25">
      <c r="A503" s="620" t="s">
        <v>2054</v>
      </c>
      <c r="B503" s="620" t="s">
        <v>2055</v>
      </c>
      <c r="C503" s="620">
        <v>702</v>
      </c>
      <c r="D503" s="620">
        <v>1061445</v>
      </c>
      <c r="E503" s="620">
        <v>28194131494</v>
      </c>
      <c r="F503" s="620">
        <v>25652</v>
      </c>
      <c r="G503" s="620">
        <v>24511</v>
      </c>
      <c r="H503" s="620">
        <v>26934</v>
      </c>
      <c r="I503" s="620">
        <v>1282</v>
      </c>
      <c r="J503" s="620">
        <v>5</v>
      </c>
      <c r="K503" s="620">
        <v>26562</v>
      </c>
      <c r="L503" s="620">
        <v>910</v>
      </c>
      <c r="M503" s="620">
        <v>3.55</v>
      </c>
      <c r="N503" s="620">
        <v>24370</v>
      </c>
      <c r="O503" s="620">
        <v>26934</v>
      </c>
      <c r="P503" s="620" t="s">
        <v>987</v>
      </c>
      <c r="Q503" s="620" t="s">
        <v>2056</v>
      </c>
      <c r="R503" s="620">
        <v>2</v>
      </c>
      <c r="S503" s="620">
        <v>200</v>
      </c>
      <c r="T503" s="620">
        <v>26934</v>
      </c>
      <c r="U503" s="620">
        <v>28253</v>
      </c>
      <c r="V503" s="620">
        <v>380</v>
      </c>
      <c r="W503" s="620">
        <v>1</v>
      </c>
    </row>
    <row r="504" spans="1:23" x14ac:dyDescent="0.25">
      <c r="A504" s="620" t="s">
        <v>2057</v>
      </c>
      <c r="B504" s="620" t="s">
        <v>2058</v>
      </c>
      <c r="C504" s="620">
        <v>0</v>
      </c>
      <c r="D504" s="620">
        <v>0</v>
      </c>
      <c r="E504" s="620">
        <v>0</v>
      </c>
      <c r="F504" s="620">
        <v>893000</v>
      </c>
      <c r="G504" s="620">
        <v>0</v>
      </c>
      <c r="H504" s="620">
        <v>893000</v>
      </c>
      <c r="I504" s="620">
        <v>0</v>
      </c>
      <c r="J504" s="620">
        <v>0</v>
      </c>
      <c r="K504" s="620">
        <v>893000</v>
      </c>
      <c r="L504" s="620">
        <v>0</v>
      </c>
      <c r="M504" s="620">
        <v>0</v>
      </c>
      <c r="N504" s="620">
        <v>0</v>
      </c>
      <c r="O504" s="620">
        <v>0</v>
      </c>
      <c r="R504" s="620">
        <v>1</v>
      </c>
      <c r="S504" s="620">
        <v>5000</v>
      </c>
      <c r="T504" s="620">
        <v>893000</v>
      </c>
      <c r="U504" s="620">
        <v>0</v>
      </c>
      <c r="V504" s="620">
        <v>0</v>
      </c>
      <c r="W504" s="620">
        <v>0</v>
      </c>
    </row>
    <row r="505" spans="1:23" x14ac:dyDescent="0.25">
      <c r="A505" s="620" t="s">
        <v>2059</v>
      </c>
      <c r="B505" s="620" t="s">
        <v>2060</v>
      </c>
      <c r="C505" s="620">
        <v>0</v>
      </c>
      <c r="D505" s="620">
        <v>0</v>
      </c>
      <c r="E505" s="620">
        <v>0</v>
      </c>
      <c r="F505" s="620">
        <v>960000</v>
      </c>
      <c r="G505" s="620">
        <v>0</v>
      </c>
      <c r="H505" s="620">
        <v>960000</v>
      </c>
      <c r="I505" s="620">
        <v>0</v>
      </c>
      <c r="J505" s="620">
        <v>0</v>
      </c>
      <c r="K505" s="620">
        <v>960000</v>
      </c>
      <c r="L505" s="620">
        <v>0</v>
      </c>
      <c r="M505" s="620">
        <v>0</v>
      </c>
      <c r="N505" s="620">
        <v>0</v>
      </c>
      <c r="O505" s="620">
        <v>0</v>
      </c>
      <c r="R505" s="620">
        <v>1</v>
      </c>
      <c r="S505" s="620">
        <v>6500</v>
      </c>
      <c r="T505" s="620">
        <v>960000</v>
      </c>
      <c r="U505" s="620">
        <v>0</v>
      </c>
      <c r="V505" s="620">
        <v>0</v>
      </c>
      <c r="W505" s="620">
        <v>0</v>
      </c>
    </row>
    <row r="506" spans="1:23" x14ac:dyDescent="0.25">
      <c r="A506" s="620" t="s">
        <v>2061</v>
      </c>
      <c r="B506" s="620" t="s">
        <v>2062</v>
      </c>
      <c r="C506" s="620">
        <v>1684</v>
      </c>
      <c r="D506" s="620">
        <v>21357361</v>
      </c>
      <c r="E506" s="620">
        <v>71052216922</v>
      </c>
      <c r="F506" s="620">
        <v>3487</v>
      </c>
      <c r="G506" s="620">
        <v>3340</v>
      </c>
      <c r="H506" s="620">
        <v>3319</v>
      </c>
      <c r="I506" s="620">
        <v>-168</v>
      </c>
      <c r="J506" s="620">
        <v>-4.82</v>
      </c>
      <c r="K506" s="620">
        <v>3327</v>
      </c>
      <c r="L506" s="620">
        <v>-160</v>
      </c>
      <c r="M506" s="620">
        <v>-4.59</v>
      </c>
      <c r="N506" s="620">
        <v>3313</v>
      </c>
      <c r="O506" s="620">
        <v>3460</v>
      </c>
      <c r="P506" s="620" t="s">
        <v>775</v>
      </c>
      <c r="Q506" s="620" t="s">
        <v>2063</v>
      </c>
      <c r="R506" s="620">
        <v>1</v>
      </c>
      <c r="S506" s="620">
        <v>300</v>
      </c>
      <c r="T506" s="620">
        <v>3320</v>
      </c>
      <c r="U506" s="620">
        <v>3320</v>
      </c>
      <c r="V506" s="620">
        <v>2200</v>
      </c>
      <c r="W506" s="620">
        <v>1</v>
      </c>
    </row>
    <row r="507" spans="1:23" x14ac:dyDescent="0.25">
      <c r="A507" s="620" t="s">
        <v>2064</v>
      </c>
      <c r="B507" s="620" t="s">
        <v>2065</v>
      </c>
      <c r="C507" s="620">
        <v>87</v>
      </c>
      <c r="D507" s="620">
        <v>89222</v>
      </c>
      <c r="E507" s="620">
        <v>1693701226</v>
      </c>
      <c r="F507" s="620">
        <v>19982</v>
      </c>
      <c r="G507" s="620">
        <v>18983</v>
      </c>
      <c r="H507" s="620">
        <v>18983</v>
      </c>
      <c r="I507" s="620">
        <v>-999</v>
      </c>
      <c r="J507" s="620">
        <v>-5</v>
      </c>
      <c r="K507" s="620">
        <v>19108</v>
      </c>
      <c r="L507" s="620">
        <v>-874</v>
      </c>
      <c r="M507" s="620">
        <v>-4.37</v>
      </c>
      <c r="N507" s="620">
        <v>18983</v>
      </c>
      <c r="O507" s="620">
        <v>18983</v>
      </c>
      <c r="P507" s="620" t="s">
        <v>2066</v>
      </c>
      <c r="Q507" s="620" t="s">
        <v>2067</v>
      </c>
      <c r="R507" s="620">
        <v>0</v>
      </c>
      <c r="S507" s="620">
        <v>0</v>
      </c>
      <c r="T507" s="620">
        <v>0</v>
      </c>
      <c r="U507" s="620">
        <v>18983</v>
      </c>
      <c r="V507" s="620">
        <v>197187</v>
      </c>
      <c r="W507" s="620">
        <v>64</v>
      </c>
    </row>
    <row r="508" spans="1:23" x14ac:dyDescent="0.25">
      <c r="A508" s="620" t="s">
        <v>2068</v>
      </c>
      <c r="B508" s="620" t="s">
        <v>2069</v>
      </c>
      <c r="C508" s="620">
        <v>2032</v>
      </c>
      <c r="D508" s="620">
        <v>11036692</v>
      </c>
      <c r="E508" s="620">
        <v>44023883941</v>
      </c>
      <c r="F508" s="620">
        <v>4078</v>
      </c>
      <c r="G508" s="620">
        <v>4000</v>
      </c>
      <c r="H508" s="620">
        <v>3977</v>
      </c>
      <c r="I508" s="620">
        <v>-101</v>
      </c>
      <c r="J508" s="620">
        <v>-2.48</v>
      </c>
      <c r="K508" s="620">
        <v>3989</v>
      </c>
      <c r="L508" s="620">
        <v>-89</v>
      </c>
      <c r="M508" s="620">
        <v>-2.1800000000000002</v>
      </c>
      <c r="N508" s="620">
        <v>3878</v>
      </c>
      <c r="O508" s="620">
        <v>4122</v>
      </c>
      <c r="P508" s="620" t="s">
        <v>2070</v>
      </c>
      <c r="Q508" s="620" t="s">
        <v>2071</v>
      </c>
      <c r="R508" s="620">
        <v>2</v>
      </c>
      <c r="S508" s="620">
        <v>19500</v>
      </c>
      <c r="T508" s="620">
        <v>3970</v>
      </c>
      <c r="U508" s="620">
        <v>3980</v>
      </c>
      <c r="V508" s="620">
        <v>5254</v>
      </c>
      <c r="W508" s="620">
        <v>3</v>
      </c>
    </row>
    <row r="509" spans="1:23" x14ac:dyDescent="0.25">
      <c r="A509" s="620" t="s">
        <v>2072</v>
      </c>
      <c r="B509" s="620" t="s">
        <v>2073</v>
      </c>
      <c r="C509" s="620">
        <v>34220</v>
      </c>
      <c r="D509" s="620">
        <v>80399617</v>
      </c>
      <c r="E509" s="620">
        <v>201441354294</v>
      </c>
      <c r="F509" s="620">
        <v>2595</v>
      </c>
      <c r="G509" s="620">
        <v>2530</v>
      </c>
      <c r="H509" s="620">
        <v>2490</v>
      </c>
      <c r="I509" s="620">
        <v>-105</v>
      </c>
      <c r="J509" s="620">
        <v>-4.05</v>
      </c>
      <c r="K509" s="620">
        <v>2506</v>
      </c>
      <c r="L509" s="620">
        <v>-89</v>
      </c>
      <c r="M509" s="620">
        <v>-3.43</v>
      </c>
      <c r="N509" s="620">
        <v>2469</v>
      </c>
      <c r="O509" s="620">
        <v>2680</v>
      </c>
      <c r="P509" s="620" t="s">
        <v>2074</v>
      </c>
      <c r="Q509" s="620" t="s">
        <v>2075</v>
      </c>
      <c r="R509" s="620">
        <v>6</v>
      </c>
      <c r="S509" s="620">
        <v>10550</v>
      </c>
      <c r="T509" s="620">
        <v>2487</v>
      </c>
      <c r="U509" s="620">
        <v>2487</v>
      </c>
      <c r="V509" s="620">
        <v>10177</v>
      </c>
      <c r="W509" s="620">
        <v>9</v>
      </c>
    </row>
    <row r="510" spans="1:23" x14ac:dyDescent="0.25">
      <c r="A510" s="620" t="s">
        <v>2076</v>
      </c>
      <c r="B510" s="620" t="s">
        <v>2077</v>
      </c>
      <c r="C510" s="620">
        <v>375</v>
      </c>
      <c r="D510" s="620">
        <v>445486</v>
      </c>
      <c r="E510" s="620">
        <v>22448789439</v>
      </c>
      <c r="F510" s="620">
        <v>51469</v>
      </c>
      <c r="G510" s="620">
        <v>51469</v>
      </c>
      <c r="H510" s="620">
        <v>49899</v>
      </c>
      <c r="I510" s="620">
        <v>-1570</v>
      </c>
      <c r="J510" s="620">
        <v>-3.05</v>
      </c>
      <c r="K510" s="620">
        <v>50392</v>
      </c>
      <c r="L510" s="620">
        <v>-1077</v>
      </c>
      <c r="M510" s="620">
        <v>-2.09</v>
      </c>
      <c r="N510" s="620">
        <v>48900</v>
      </c>
      <c r="O510" s="620">
        <v>53000</v>
      </c>
      <c r="P510" s="620" t="s">
        <v>2078</v>
      </c>
      <c r="Q510" s="620" t="s">
        <v>2079</v>
      </c>
      <c r="R510" s="620">
        <v>2</v>
      </c>
      <c r="S510" s="620">
        <v>2525</v>
      </c>
      <c r="T510" s="620">
        <v>49610</v>
      </c>
      <c r="U510" s="620">
        <v>49899</v>
      </c>
      <c r="V510" s="620">
        <v>5597</v>
      </c>
      <c r="W510" s="620">
        <v>2</v>
      </c>
    </row>
    <row r="511" spans="1:23" x14ac:dyDescent="0.25">
      <c r="A511" s="620" t="s">
        <v>2080</v>
      </c>
      <c r="B511" s="620" t="s">
        <v>2081</v>
      </c>
      <c r="C511" s="620">
        <v>64</v>
      </c>
      <c r="D511" s="620">
        <v>84928</v>
      </c>
      <c r="E511" s="620">
        <v>959176832</v>
      </c>
      <c r="F511" s="620">
        <v>11643</v>
      </c>
      <c r="G511" s="620">
        <v>11294</v>
      </c>
      <c r="H511" s="620">
        <v>11294</v>
      </c>
      <c r="I511" s="620">
        <v>-349</v>
      </c>
      <c r="J511" s="620">
        <v>-3</v>
      </c>
      <c r="K511" s="620">
        <v>11294</v>
      </c>
      <c r="L511" s="620">
        <v>-349</v>
      </c>
      <c r="M511" s="620">
        <v>-3</v>
      </c>
      <c r="N511" s="620">
        <v>11294</v>
      </c>
      <c r="O511" s="620">
        <v>11294</v>
      </c>
      <c r="P511" s="620" t="s">
        <v>2082</v>
      </c>
      <c r="Q511" s="620" t="s">
        <v>974</v>
      </c>
      <c r="R511" s="620">
        <v>0</v>
      </c>
      <c r="S511" s="620">
        <v>0</v>
      </c>
      <c r="T511" s="620">
        <v>0</v>
      </c>
      <c r="U511" s="620">
        <v>11294</v>
      </c>
      <c r="V511" s="620">
        <v>192983</v>
      </c>
      <c r="W511" s="620">
        <v>52</v>
      </c>
    </row>
    <row r="512" spans="1:23" x14ac:dyDescent="0.25">
      <c r="A512" s="620" t="s">
        <v>2083</v>
      </c>
      <c r="B512" s="620" t="s">
        <v>2084</v>
      </c>
      <c r="C512" s="620">
        <v>533</v>
      </c>
      <c r="D512" s="620">
        <v>3315597</v>
      </c>
      <c r="E512" s="620">
        <v>11571960174</v>
      </c>
      <c r="F512" s="620">
        <v>3659</v>
      </c>
      <c r="G512" s="620">
        <v>3477</v>
      </c>
      <c r="H512" s="620">
        <v>3477</v>
      </c>
      <c r="I512" s="620">
        <v>-182</v>
      </c>
      <c r="J512" s="620">
        <v>-4.97</v>
      </c>
      <c r="K512" s="620">
        <v>3490</v>
      </c>
      <c r="L512" s="620">
        <v>-169</v>
      </c>
      <c r="M512" s="620">
        <v>-4.62</v>
      </c>
      <c r="N512" s="620">
        <v>3477</v>
      </c>
      <c r="O512" s="620">
        <v>3554</v>
      </c>
      <c r="P512" s="620" t="s">
        <v>2085</v>
      </c>
      <c r="Q512" s="620" t="s">
        <v>2086</v>
      </c>
      <c r="R512" s="620">
        <v>0</v>
      </c>
      <c r="S512" s="620">
        <v>0</v>
      </c>
      <c r="T512" s="620">
        <v>0</v>
      </c>
      <c r="U512" s="620">
        <v>3477</v>
      </c>
      <c r="V512" s="620">
        <v>924682</v>
      </c>
      <c r="W512" s="620">
        <v>41</v>
      </c>
    </row>
    <row r="513" spans="1:23" x14ac:dyDescent="0.25">
      <c r="A513" s="620" t="s">
        <v>2087</v>
      </c>
      <c r="B513" s="620" t="s">
        <v>2088</v>
      </c>
      <c r="C513" s="620">
        <v>385</v>
      </c>
      <c r="D513" s="620">
        <v>2536087</v>
      </c>
      <c r="E513" s="620">
        <v>9397158638</v>
      </c>
      <c r="F513" s="620">
        <v>3893</v>
      </c>
      <c r="G513" s="620">
        <v>3699</v>
      </c>
      <c r="H513" s="620">
        <v>3699</v>
      </c>
      <c r="I513" s="620">
        <v>-194</v>
      </c>
      <c r="J513" s="620">
        <v>-4.9800000000000004</v>
      </c>
      <c r="K513" s="620">
        <v>3705</v>
      </c>
      <c r="L513" s="620">
        <v>-188</v>
      </c>
      <c r="M513" s="620">
        <v>-4.83</v>
      </c>
      <c r="N513" s="620">
        <v>3699</v>
      </c>
      <c r="O513" s="620">
        <v>3800</v>
      </c>
      <c r="P513" s="620" t="s">
        <v>627</v>
      </c>
      <c r="R513" s="620">
        <v>0</v>
      </c>
      <c r="S513" s="620">
        <v>0</v>
      </c>
      <c r="T513" s="620">
        <v>0</v>
      </c>
      <c r="U513" s="620">
        <v>3699</v>
      </c>
      <c r="V513" s="620">
        <v>487691</v>
      </c>
      <c r="W513" s="620">
        <v>28</v>
      </c>
    </row>
    <row r="514" spans="1:23" x14ac:dyDescent="0.25">
      <c r="A514" s="620" t="s">
        <v>2089</v>
      </c>
      <c r="B514" s="620" t="s">
        <v>2090</v>
      </c>
      <c r="C514" s="620">
        <v>17126</v>
      </c>
      <c r="D514" s="620">
        <v>8800159</v>
      </c>
      <c r="E514" s="620">
        <v>129632656769</v>
      </c>
      <c r="F514" s="620">
        <v>14928</v>
      </c>
      <c r="G514" s="620">
        <v>14710</v>
      </c>
      <c r="H514" s="620">
        <v>14335</v>
      </c>
      <c r="I514" s="620">
        <v>-593</v>
      </c>
      <c r="J514" s="620">
        <v>-3.97</v>
      </c>
      <c r="K514" s="620">
        <v>14731</v>
      </c>
      <c r="L514" s="620">
        <v>-197</v>
      </c>
      <c r="M514" s="620">
        <v>-1.32</v>
      </c>
      <c r="N514" s="620">
        <v>14183</v>
      </c>
      <c r="O514" s="620">
        <v>15300</v>
      </c>
      <c r="R514" s="620">
        <v>2</v>
      </c>
      <c r="S514" s="620">
        <v>8982</v>
      </c>
      <c r="T514" s="620">
        <v>14335</v>
      </c>
      <c r="U514" s="620">
        <v>14335</v>
      </c>
      <c r="V514" s="620">
        <v>10735</v>
      </c>
      <c r="W514" s="620">
        <v>8</v>
      </c>
    </row>
    <row r="515" spans="1:23" x14ac:dyDescent="0.25">
      <c r="A515" s="620" t="s">
        <v>2091</v>
      </c>
      <c r="B515" s="620" t="s">
        <v>2092</v>
      </c>
      <c r="C515" s="620">
        <v>88</v>
      </c>
      <c r="D515" s="620">
        <v>57322</v>
      </c>
      <c r="E515" s="620">
        <v>3185332485</v>
      </c>
      <c r="F515" s="620">
        <v>56413</v>
      </c>
      <c r="G515" s="620">
        <v>57212</v>
      </c>
      <c r="H515" s="620">
        <v>55990</v>
      </c>
      <c r="I515" s="620">
        <v>-423</v>
      </c>
      <c r="J515" s="620">
        <v>-0.75</v>
      </c>
      <c r="K515" s="620">
        <v>55569</v>
      </c>
      <c r="L515" s="620">
        <v>-844</v>
      </c>
      <c r="M515" s="620">
        <v>-1.5</v>
      </c>
      <c r="N515" s="620">
        <v>55121</v>
      </c>
      <c r="O515" s="620">
        <v>57212</v>
      </c>
      <c r="R515" s="620">
        <v>1</v>
      </c>
      <c r="S515" s="620">
        <v>50000</v>
      </c>
      <c r="T515" s="620">
        <v>55334</v>
      </c>
      <c r="U515" s="620">
        <v>55500</v>
      </c>
      <c r="V515" s="620">
        <v>94</v>
      </c>
      <c r="W515" s="620">
        <v>1</v>
      </c>
    </row>
    <row r="516" spans="1:23" x14ac:dyDescent="0.25">
      <c r="A516" s="620" t="s">
        <v>2093</v>
      </c>
      <c r="B516" s="620" t="s">
        <v>1707</v>
      </c>
      <c r="C516" s="620">
        <v>54</v>
      </c>
      <c r="D516" s="620">
        <v>77800</v>
      </c>
      <c r="E516" s="620">
        <v>69465543200</v>
      </c>
      <c r="F516" s="620">
        <v>892239</v>
      </c>
      <c r="G516" s="620">
        <v>893000</v>
      </c>
      <c r="H516" s="620">
        <v>895000</v>
      </c>
      <c r="I516" s="620">
        <v>2761</v>
      </c>
      <c r="J516" s="620">
        <v>0.31</v>
      </c>
      <c r="K516" s="620">
        <v>892873</v>
      </c>
      <c r="L516" s="620">
        <v>634</v>
      </c>
      <c r="M516" s="620">
        <v>7.0000000000000007E-2</v>
      </c>
      <c r="N516" s="620">
        <v>890001</v>
      </c>
      <c r="O516" s="620">
        <v>895000</v>
      </c>
      <c r="R516" s="620">
        <v>1</v>
      </c>
      <c r="S516" s="620">
        <v>1500</v>
      </c>
      <c r="T516" s="620">
        <v>890020</v>
      </c>
      <c r="U516" s="620">
        <v>899962</v>
      </c>
      <c r="V516" s="620">
        <v>1000</v>
      </c>
      <c r="W516" s="620">
        <v>1</v>
      </c>
    </row>
    <row r="517" spans="1:23" x14ac:dyDescent="0.25">
      <c r="A517" s="620" t="s">
        <v>2094</v>
      </c>
      <c r="B517" s="620" t="s">
        <v>2095</v>
      </c>
      <c r="C517" s="620">
        <v>624</v>
      </c>
      <c r="D517" s="620">
        <v>3439717</v>
      </c>
      <c r="E517" s="620">
        <v>18110174341</v>
      </c>
      <c r="F517" s="620">
        <v>5222</v>
      </c>
      <c r="G517" s="620">
        <v>5001</v>
      </c>
      <c r="H517" s="620">
        <v>5240</v>
      </c>
      <c r="I517" s="620">
        <v>18</v>
      </c>
      <c r="J517" s="620">
        <v>0.34</v>
      </c>
      <c r="K517" s="620">
        <v>5265</v>
      </c>
      <c r="L517" s="620">
        <v>43</v>
      </c>
      <c r="M517" s="620">
        <v>0.82</v>
      </c>
      <c r="N517" s="620">
        <v>5001</v>
      </c>
      <c r="O517" s="620">
        <v>5330</v>
      </c>
      <c r="P517" s="620" t="s">
        <v>2096</v>
      </c>
      <c r="Q517" s="620" t="s">
        <v>2097</v>
      </c>
      <c r="R517" s="620">
        <v>1</v>
      </c>
      <c r="S517" s="620">
        <v>380</v>
      </c>
      <c r="T517" s="620">
        <v>5236</v>
      </c>
      <c r="U517" s="620">
        <v>5246</v>
      </c>
      <c r="V517" s="620">
        <v>1570</v>
      </c>
      <c r="W517" s="620">
        <v>1</v>
      </c>
    </row>
    <row r="518" spans="1:23" x14ac:dyDescent="0.25">
      <c r="A518" s="620" t="s">
        <v>2098</v>
      </c>
      <c r="B518" s="620" t="s">
        <v>2099</v>
      </c>
      <c r="C518" s="620">
        <v>190</v>
      </c>
      <c r="D518" s="620">
        <v>957108</v>
      </c>
      <c r="E518" s="620">
        <v>4206489660</v>
      </c>
      <c r="F518" s="620">
        <v>4626</v>
      </c>
      <c r="G518" s="620">
        <v>4395</v>
      </c>
      <c r="H518" s="620">
        <v>4395</v>
      </c>
      <c r="I518" s="620">
        <v>-231</v>
      </c>
      <c r="J518" s="620">
        <v>-4.99</v>
      </c>
      <c r="K518" s="620">
        <v>4395</v>
      </c>
      <c r="L518" s="620">
        <v>-231</v>
      </c>
      <c r="M518" s="620">
        <v>-4.99</v>
      </c>
      <c r="N518" s="620">
        <v>4395</v>
      </c>
      <c r="O518" s="620">
        <v>4395</v>
      </c>
      <c r="P518" s="620" t="s">
        <v>1077</v>
      </c>
      <c r="Q518" s="620" t="s">
        <v>2100</v>
      </c>
      <c r="R518" s="620">
        <v>0</v>
      </c>
      <c r="S518" s="620">
        <v>0</v>
      </c>
      <c r="T518" s="620">
        <v>0</v>
      </c>
      <c r="U518" s="620">
        <v>4395</v>
      </c>
      <c r="V518" s="620">
        <v>1909674</v>
      </c>
      <c r="W518" s="620">
        <v>118</v>
      </c>
    </row>
    <row r="519" spans="1:23" x14ac:dyDescent="0.25">
      <c r="A519" s="620" t="s">
        <v>2101</v>
      </c>
      <c r="B519" s="620" t="s">
        <v>2102</v>
      </c>
      <c r="C519" s="620">
        <v>25</v>
      </c>
      <c r="D519" s="620">
        <v>62603</v>
      </c>
      <c r="E519" s="620">
        <v>659122279</v>
      </c>
      <c r="F519" s="620">
        <v>10504</v>
      </c>
      <c r="G519" s="620">
        <v>10569</v>
      </c>
      <c r="H519" s="620">
        <v>10547</v>
      </c>
      <c r="I519" s="620">
        <v>43</v>
      </c>
      <c r="J519" s="620">
        <v>0.41</v>
      </c>
      <c r="K519" s="620">
        <v>10529</v>
      </c>
      <c r="L519" s="620">
        <v>25</v>
      </c>
      <c r="M519" s="620">
        <v>0.24</v>
      </c>
      <c r="N519" s="620">
        <v>10499</v>
      </c>
      <c r="O519" s="620">
        <v>10569</v>
      </c>
      <c r="R519" s="620">
        <v>1</v>
      </c>
      <c r="S519" s="620">
        <v>804</v>
      </c>
      <c r="T519" s="620">
        <v>10510</v>
      </c>
      <c r="U519" s="620">
        <v>10546</v>
      </c>
      <c r="V519" s="620">
        <v>14000</v>
      </c>
      <c r="W519" s="620">
        <v>1</v>
      </c>
    </row>
    <row r="520" spans="1:23" x14ac:dyDescent="0.25">
      <c r="A520" s="620" t="s">
        <v>2103</v>
      </c>
      <c r="B520" s="620" t="s">
        <v>2104</v>
      </c>
      <c r="C520" s="620">
        <v>0</v>
      </c>
      <c r="D520" s="620">
        <v>0</v>
      </c>
      <c r="E520" s="620">
        <v>0</v>
      </c>
      <c r="F520" s="620">
        <v>192</v>
      </c>
      <c r="G520" s="620">
        <v>0</v>
      </c>
      <c r="H520" s="620">
        <v>200</v>
      </c>
      <c r="I520" s="620">
        <v>8</v>
      </c>
      <c r="J520" s="620">
        <v>4.17</v>
      </c>
      <c r="K520" s="620">
        <v>192</v>
      </c>
      <c r="L520" s="620">
        <v>0</v>
      </c>
      <c r="M520" s="620">
        <v>0</v>
      </c>
      <c r="N520" s="620">
        <v>0</v>
      </c>
      <c r="O520" s="620">
        <v>0</v>
      </c>
      <c r="R520" s="620">
        <v>5</v>
      </c>
      <c r="S520" s="620">
        <v>500</v>
      </c>
      <c r="T520" s="620">
        <v>80</v>
      </c>
      <c r="U520" s="620">
        <v>0</v>
      </c>
      <c r="V520" s="620">
        <v>0</v>
      </c>
      <c r="W520" s="620">
        <v>0</v>
      </c>
    </row>
    <row r="521" spans="1:23" x14ac:dyDescent="0.25">
      <c r="A521" s="620" t="s">
        <v>2105</v>
      </c>
      <c r="B521" s="620" t="s">
        <v>2106</v>
      </c>
      <c r="C521" s="620">
        <v>232</v>
      </c>
      <c r="D521" s="620">
        <v>584473</v>
      </c>
      <c r="E521" s="620">
        <v>28220694332</v>
      </c>
      <c r="F521" s="620">
        <v>50825</v>
      </c>
      <c r="G521" s="620">
        <v>48284</v>
      </c>
      <c r="H521" s="620">
        <v>48284</v>
      </c>
      <c r="I521" s="620">
        <v>-2541</v>
      </c>
      <c r="J521" s="620">
        <v>-5</v>
      </c>
      <c r="K521" s="620">
        <v>48284</v>
      </c>
      <c r="L521" s="620">
        <v>-2541</v>
      </c>
      <c r="M521" s="620">
        <v>-5</v>
      </c>
      <c r="N521" s="620">
        <v>48284</v>
      </c>
      <c r="O521" s="620">
        <v>48284</v>
      </c>
      <c r="P521" s="620" t="s">
        <v>2107</v>
      </c>
      <c r="Q521" s="620" t="s">
        <v>2108</v>
      </c>
      <c r="R521" s="620">
        <v>0</v>
      </c>
      <c r="S521" s="620">
        <v>0</v>
      </c>
      <c r="T521" s="620">
        <v>0</v>
      </c>
      <c r="U521" s="620">
        <v>48284</v>
      </c>
      <c r="V521" s="620">
        <v>308047</v>
      </c>
      <c r="W521" s="620">
        <v>166</v>
      </c>
    </row>
    <row r="522" spans="1:23" x14ac:dyDescent="0.25">
      <c r="A522" s="620" t="s">
        <v>2109</v>
      </c>
      <c r="B522" s="620" t="s">
        <v>2110</v>
      </c>
      <c r="C522" s="620">
        <v>289</v>
      </c>
      <c r="D522" s="620">
        <v>1463930</v>
      </c>
      <c r="E522" s="620">
        <v>7247917430</v>
      </c>
      <c r="F522" s="620">
        <v>5211</v>
      </c>
      <c r="G522" s="620">
        <v>4951</v>
      </c>
      <c r="H522" s="620">
        <v>4951</v>
      </c>
      <c r="I522" s="620">
        <v>-260</v>
      </c>
      <c r="J522" s="620">
        <v>-4.99</v>
      </c>
      <c r="K522" s="620">
        <v>4991</v>
      </c>
      <c r="L522" s="620">
        <v>-220</v>
      </c>
      <c r="M522" s="620">
        <v>-4.22</v>
      </c>
      <c r="N522" s="620">
        <v>4951</v>
      </c>
      <c r="O522" s="620">
        <v>4951</v>
      </c>
      <c r="P522" s="620" t="s">
        <v>2111</v>
      </c>
      <c r="Q522" s="620" t="s">
        <v>2112</v>
      </c>
      <c r="R522" s="620">
        <v>1</v>
      </c>
      <c r="S522" s="620">
        <v>500</v>
      </c>
      <c r="T522" s="620">
        <v>4371</v>
      </c>
      <c r="U522" s="620">
        <v>4951</v>
      </c>
      <c r="V522" s="620">
        <v>5864548</v>
      </c>
      <c r="W522" s="620">
        <v>410</v>
      </c>
    </row>
    <row r="523" spans="1:23" x14ac:dyDescent="0.25">
      <c r="A523" s="620" t="s">
        <v>2113</v>
      </c>
      <c r="B523" s="620" t="s">
        <v>2114</v>
      </c>
      <c r="C523" s="620">
        <v>0</v>
      </c>
      <c r="D523" s="620">
        <v>0</v>
      </c>
      <c r="E523" s="620">
        <v>0</v>
      </c>
      <c r="F523" s="620">
        <v>980392</v>
      </c>
      <c r="G523" s="620">
        <v>0</v>
      </c>
      <c r="H523" s="620">
        <v>980392</v>
      </c>
      <c r="I523" s="620">
        <v>0</v>
      </c>
      <c r="J523" s="620">
        <v>0</v>
      </c>
      <c r="K523" s="620">
        <v>980392</v>
      </c>
      <c r="L523" s="620">
        <v>0</v>
      </c>
      <c r="M523" s="620">
        <v>0</v>
      </c>
      <c r="N523" s="620">
        <v>0</v>
      </c>
      <c r="O523" s="620">
        <v>0</v>
      </c>
      <c r="R523" s="620">
        <v>1</v>
      </c>
      <c r="S523" s="620">
        <v>6250</v>
      </c>
      <c r="T523" s="620">
        <v>980392</v>
      </c>
      <c r="U523" s="620">
        <v>1000000</v>
      </c>
      <c r="V523" s="620">
        <v>6250</v>
      </c>
      <c r="W523" s="620">
        <v>1</v>
      </c>
    </row>
    <row r="524" spans="1:23" x14ac:dyDescent="0.25">
      <c r="A524" s="620" t="s">
        <v>2115</v>
      </c>
      <c r="B524" s="620" t="s">
        <v>2116</v>
      </c>
      <c r="C524" s="620">
        <v>40</v>
      </c>
      <c r="D524" s="620">
        <v>79574</v>
      </c>
      <c r="E524" s="620">
        <v>304131828</v>
      </c>
      <c r="F524" s="620">
        <v>3940</v>
      </c>
      <c r="G524" s="620">
        <v>3822</v>
      </c>
      <c r="H524" s="620">
        <v>3822</v>
      </c>
      <c r="I524" s="620">
        <v>-118</v>
      </c>
      <c r="J524" s="620">
        <v>-2.99</v>
      </c>
      <c r="K524" s="620">
        <v>3822</v>
      </c>
      <c r="L524" s="620">
        <v>-118</v>
      </c>
      <c r="M524" s="620">
        <v>-2.99</v>
      </c>
      <c r="N524" s="620">
        <v>3822</v>
      </c>
      <c r="O524" s="620">
        <v>3822</v>
      </c>
      <c r="P524" s="620" t="s">
        <v>2117</v>
      </c>
      <c r="Q524" s="620" t="s">
        <v>2118</v>
      </c>
      <c r="R524" s="620">
        <v>0</v>
      </c>
      <c r="S524" s="620">
        <v>0</v>
      </c>
      <c r="T524" s="620">
        <v>0</v>
      </c>
      <c r="U524" s="620">
        <v>3822</v>
      </c>
      <c r="V524" s="620">
        <v>1177677</v>
      </c>
      <c r="W524" s="620">
        <v>83</v>
      </c>
    </row>
    <row r="525" spans="1:23" x14ac:dyDescent="0.25">
      <c r="A525" s="620" t="s">
        <v>2119</v>
      </c>
      <c r="B525" s="620" t="s">
        <v>2120</v>
      </c>
      <c r="C525" s="620">
        <v>911</v>
      </c>
      <c r="D525" s="620">
        <v>2586417</v>
      </c>
      <c r="E525" s="620">
        <v>57357410648</v>
      </c>
      <c r="F525" s="620">
        <v>23339</v>
      </c>
      <c r="G525" s="620">
        <v>22173</v>
      </c>
      <c r="H525" s="620">
        <v>22173</v>
      </c>
      <c r="I525" s="620">
        <v>-1166</v>
      </c>
      <c r="J525" s="620">
        <v>-5</v>
      </c>
      <c r="K525" s="620">
        <v>22176</v>
      </c>
      <c r="L525" s="620">
        <v>-1163</v>
      </c>
      <c r="M525" s="620">
        <v>-4.9800000000000004</v>
      </c>
      <c r="N525" s="620">
        <v>22173</v>
      </c>
      <c r="O525" s="620">
        <v>22595</v>
      </c>
      <c r="P525" s="620" t="s">
        <v>2121</v>
      </c>
      <c r="Q525" s="620" t="s">
        <v>2122</v>
      </c>
      <c r="R525" s="620">
        <v>1</v>
      </c>
      <c r="S525" s="620">
        <v>388</v>
      </c>
      <c r="T525" s="620">
        <v>13911</v>
      </c>
      <c r="U525" s="620">
        <v>22173</v>
      </c>
      <c r="V525" s="620">
        <v>298747</v>
      </c>
      <c r="W525" s="620">
        <v>67</v>
      </c>
    </row>
    <row r="526" spans="1:23" x14ac:dyDescent="0.25">
      <c r="A526" s="620" t="s">
        <v>2123</v>
      </c>
      <c r="B526" s="620" t="s">
        <v>2124</v>
      </c>
      <c r="C526" s="620">
        <v>164</v>
      </c>
      <c r="D526" s="620">
        <v>345811</v>
      </c>
      <c r="E526" s="620">
        <v>2368395168</v>
      </c>
      <c r="F526" s="620">
        <v>7203</v>
      </c>
      <c r="G526" s="620">
        <v>6843</v>
      </c>
      <c r="H526" s="620">
        <v>6843</v>
      </c>
      <c r="I526" s="620">
        <v>-360</v>
      </c>
      <c r="J526" s="620">
        <v>-5</v>
      </c>
      <c r="K526" s="620">
        <v>6863</v>
      </c>
      <c r="L526" s="620">
        <v>-340</v>
      </c>
      <c r="M526" s="620">
        <v>-4.72</v>
      </c>
      <c r="N526" s="620">
        <v>6843</v>
      </c>
      <c r="O526" s="620">
        <v>6989</v>
      </c>
      <c r="P526" s="620" t="s">
        <v>2125</v>
      </c>
      <c r="Q526" s="620" t="s">
        <v>2126</v>
      </c>
      <c r="R526" s="620">
        <v>0</v>
      </c>
      <c r="S526" s="620">
        <v>0</v>
      </c>
      <c r="T526" s="620">
        <v>0</v>
      </c>
      <c r="U526" s="620">
        <v>6843</v>
      </c>
      <c r="V526" s="620">
        <v>368861</v>
      </c>
      <c r="W526" s="620">
        <v>22</v>
      </c>
    </row>
    <row r="527" spans="1:23" x14ac:dyDescent="0.25">
      <c r="A527" s="620" t="s">
        <v>2127</v>
      </c>
      <c r="B527" s="620" t="s">
        <v>2128</v>
      </c>
      <c r="C527" s="620">
        <v>1046</v>
      </c>
      <c r="D527" s="620">
        <v>29412548</v>
      </c>
      <c r="E527" s="620">
        <v>296095146653</v>
      </c>
      <c r="F527" s="620">
        <v>10057</v>
      </c>
      <c r="G527" s="620">
        <v>10065</v>
      </c>
      <c r="H527" s="620">
        <v>10068</v>
      </c>
      <c r="I527" s="620">
        <v>11</v>
      </c>
      <c r="J527" s="620">
        <v>0.11</v>
      </c>
      <c r="K527" s="620">
        <v>10067</v>
      </c>
      <c r="L527" s="620">
        <v>10</v>
      </c>
      <c r="M527" s="620">
        <v>0.1</v>
      </c>
      <c r="N527" s="620">
        <v>10055</v>
      </c>
      <c r="O527" s="620">
        <v>10076</v>
      </c>
      <c r="R527" s="620">
        <v>2</v>
      </c>
      <c r="S527" s="620">
        <v>644</v>
      </c>
      <c r="T527" s="620">
        <v>10066</v>
      </c>
      <c r="U527" s="620">
        <v>10093</v>
      </c>
      <c r="V527" s="620">
        <v>50000</v>
      </c>
      <c r="W527" s="620">
        <v>1</v>
      </c>
    </row>
    <row r="528" spans="1:23" x14ac:dyDescent="0.25">
      <c r="A528" s="620" t="s">
        <v>2129</v>
      </c>
      <c r="B528" s="620" t="s">
        <v>2130</v>
      </c>
      <c r="C528" s="620">
        <v>42</v>
      </c>
      <c r="D528" s="620">
        <v>64239</v>
      </c>
      <c r="E528" s="620">
        <v>189633528</v>
      </c>
      <c r="F528" s="620">
        <v>3043</v>
      </c>
      <c r="G528" s="620">
        <v>2952</v>
      </c>
      <c r="H528" s="620">
        <v>2952</v>
      </c>
      <c r="I528" s="620">
        <v>-91</v>
      </c>
      <c r="J528" s="620">
        <v>-2.99</v>
      </c>
      <c r="K528" s="620">
        <v>2952</v>
      </c>
      <c r="L528" s="620">
        <v>-91</v>
      </c>
      <c r="M528" s="620">
        <v>-2.99</v>
      </c>
      <c r="N528" s="620">
        <v>2952</v>
      </c>
      <c r="O528" s="620">
        <v>2952</v>
      </c>
      <c r="P528" s="620" t="s">
        <v>2131</v>
      </c>
      <c r="Q528" s="620" t="s">
        <v>2132</v>
      </c>
      <c r="R528" s="620">
        <v>0</v>
      </c>
      <c r="S528" s="620">
        <v>0</v>
      </c>
      <c r="T528" s="620">
        <v>0</v>
      </c>
      <c r="U528" s="620">
        <v>2952</v>
      </c>
      <c r="V528" s="620">
        <v>3226225</v>
      </c>
      <c r="W528" s="620">
        <v>217</v>
      </c>
    </row>
    <row r="529" spans="1:23" x14ac:dyDescent="0.25">
      <c r="A529" s="620" t="s">
        <v>2133</v>
      </c>
      <c r="B529" s="620" t="s">
        <v>2134</v>
      </c>
      <c r="C529" s="620">
        <v>0</v>
      </c>
      <c r="D529" s="620">
        <v>0</v>
      </c>
      <c r="E529" s="620">
        <v>0</v>
      </c>
      <c r="F529" s="620">
        <v>1000000</v>
      </c>
      <c r="G529" s="620">
        <v>0</v>
      </c>
      <c r="H529" s="620">
        <v>1000000</v>
      </c>
      <c r="I529" s="620">
        <v>0</v>
      </c>
      <c r="J529" s="620">
        <v>0</v>
      </c>
      <c r="K529" s="620">
        <v>1000000</v>
      </c>
      <c r="L529" s="620">
        <v>0</v>
      </c>
      <c r="M529" s="620">
        <v>0</v>
      </c>
      <c r="N529" s="620">
        <v>0</v>
      </c>
      <c r="O529" s="620">
        <v>0</v>
      </c>
      <c r="R529" s="620">
        <v>1</v>
      </c>
      <c r="S529" s="620">
        <v>250</v>
      </c>
      <c r="T529" s="620">
        <v>1000000</v>
      </c>
      <c r="U529" s="620">
        <v>1010000</v>
      </c>
      <c r="V529" s="620">
        <v>257</v>
      </c>
      <c r="W529" s="620">
        <v>1</v>
      </c>
    </row>
    <row r="530" spans="1:23" x14ac:dyDescent="0.25">
      <c r="A530" s="620" t="s">
        <v>2135</v>
      </c>
      <c r="B530" s="620" t="s">
        <v>2136</v>
      </c>
      <c r="C530" s="620">
        <v>0</v>
      </c>
      <c r="D530" s="620">
        <v>0</v>
      </c>
      <c r="E530" s="620">
        <v>0</v>
      </c>
      <c r="F530" s="620">
        <v>7698</v>
      </c>
      <c r="G530" s="620">
        <v>0</v>
      </c>
      <c r="H530" s="620">
        <v>8000</v>
      </c>
      <c r="I530" s="620">
        <v>302</v>
      </c>
      <c r="J530" s="620">
        <v>3.92</v>
      </c>
      <c r="K530" s="620">
        <v>7698</v>
      </c>
      <c r="L530" s="620">
        <v>0</v>
      </c>
      <c r="M530" s="620">
        <v>0</v>
      </c>
      <c r="N530" s="620">
        <v>0</v>
      </c>
      <c r="O530" s="620">
        <v>0</v>
      </c>
      <c r="R530" s="620">
        <v>1</v>
      </c>
      <c r="S530" s="620">
        <v>100</v>
      </c>
      <c r="T530" s="620">
        <v>14200</v>
      </c>
      <c r="U530" s="620">
        <v>0</v>
      </c>
      <c r="V530" s="620">
        <v>0</v>
      </c>
      <c r="W530" s="620">
        <v>0</v>
      </c>
    </row>
    <row r="531" spans="1:23" x14ac:dyDescent="0.25">
      <c r="A531" s="620" t="s">
        <v>2137</v>
      </c>
      <c r="B531" s="620" t="s">
        <v>2138</v>
      </c>
      <c r="C531" s="620">
        <v>81</v>
      </c>
      <c r="D531" s="620">
        <v>764</v>
      </c>
      <c r="E531" s="620">
        <v>295687651</v>
      </c>
      <c r="F531" s="620">
        <v>379890</v>
      </c>
      <c r="G531" s="620">
        <v>398884</v>
      </c>
      <c r="H531" s="620">
        <v>373000</v>
      </c>
      <c r="I531" s="620">
        <v>-6890</v>
      </c>
      <c r="J531" s="620">
        <v>-1.81</v>
      </c>
      <c r="K531" s="620">
        <v>387026</v>
      </c>
      <c r="L531" s="620">
        <v>7136</v>
      </c>
      <c r="M531" s="620">
        <v>1.88</v>
      </c>
      <c r="N531" s="620">
        <v>372001</v>
      </c>
      <c r="O531" s="620">
        <v>398884</v>
      </c>
      <c r="R531" s="620">
        <v>1</v>
      </c>
      <c r="S531" s="620">
        <v>3</v>
      </c>
      <c r="T531" s="620">
        <v>372000</v>
      </c>
      <c r="U531" s="620">
        <v>401000</v>
      </c>
      <c r="V531" s="620">
        <v>112</v>
      </c>
      <c r="W531" s="620">
        <v>1</v>
      </c>
    </row>
    <row r="532" spans="1:23" x14ac:dyDescent="0.25">
      <c r="A532" s="620" t="s">
        <v>2139</v>
      </c>
      <c r="B532" s="620" t="s">
        <v>2140</v>
      </c>
      <c r="C532" s="620">
        <v>285</v>
      </c>
      <c r="D532" s="620">
        <v>405879</v>
      </c>
      <c r="E532" s="620">
        <v>5390843046</v>
      </c>
      <c r="F532" s="620">
        <v>13975</v>
      </c>
      <c r="G532" s="620">
        <v>13277</v>
      </c>
      <c r="H532" s="620">
        <v>13277</v>
      </c>
      <c r="I532" s="620">
        <v>-698</v>
      </c>
      <c r="J532" s="620">
        <v>-4.99</v>
      </c>
      <c r="K532" s="620">
        <v>13282</v>
      </c>
      <c r="L532" s="620">
        <v>-693</v>
      </c>
      <c r="M532" s="620">
        <v>-4.96</v>
      </c>
      <c r="N532" s="620">
        <v>13277</v>
      </c>
      <c r="O532" s="620">
        <v>13500</v>
      </c>
      <c r="P532" s="620" t="s">
        <v>627</v>
      </c>
      <c r="R532" s="620">
        <v>0</v>
      </c>
      <c r="S532" s="620">
        <v>0</v>
      </c>
      <c r="T532" s="620">
        <v>0</v>
      </c>
      <c r="U532" s="620">
        <v>13277</v>
      </c>
      <c r="V532" s="620">
        <v>93616</v>
      </c>
      <c r="W532" s="620">
        <v>11</v>
      </c>
    </row>
    <row r="533" spans="1:23" x14ac:dyDescent="0.25">
      <c r="A533" s="620" t="s">
        <v>2141</v>
      </c>
      <c r="B533" s="620" t="s">
        <v>2142</v>
      </c>
      <c r="C533" s="620">
        <v>1</v>
      </c>
      <c r="D533" s="620">
        <v>50</v>
      </c>
      <c r="E533" s="620">
        <v>30000000</v>
      </c>
      <c r="F533" s="620">
        <v>547</v>
      </c>
      <c r="G533" s="620">
        <v>600</v>
      </c>
      <c r="H533" s="620">
        <v>600</v>
      </c>
      <c r="I533" s="620">
        <v>53</v>
      </c>
      <c r="J533" s="620">
        <v>9.69</v>
      </c>
      <c r="K533" s="620">
        <v>600</v>
      </c>
      <c r="L533" s="620">
        <v>53</v>
      </c>
      <c r="M533" s="620">
        <v>9.69</v>
      </c>
      <c r="N533" s="620">
        <v>600</v>
      </c>
      <c r="O533" s="620">
        <v>600</v>
      </c>
      <c r="R533" s="620">
        <v>1</v>
      </c>
      <c r="S533" s="620">
        <v>100</v>
      </c>
      <c r="T533" s="620">
        <v>120</v>
      </c>
      <c r="U533" s="620">
        <v>666</v>
      </c>
      <c r="V533" s="620">
        <v>51</v>
      </c>
      <c r="W533" s="620">
        <v>2</v>
      </c>
    </row>
    <row r="534" spans="1:23" x14ac:dyDescent="0.25">
      <c r="A534" s="620" t="s">
        <v>2143</v>
      </c>
      <c r="B534" s="620" t="s">
        <v>2144</v>
      </c>
      <c r="C534" s="620">
        <v>500</v>
      </c>
      <c r="D534" s="620">
        <v>1059594</v>
      </c>
      <c r="E534" s="620">
        <v>15031571030</v>
      </c>
      <c r="F534" s="620">
        <v>14455</v>
      </c>
      <c r="G534" s="620">
        <v>13755</v>
      </c>
      <c r="H534" s="620">
        <v>14456</v>
      </c>
      <c r="I534" s="620">
        <v>1</v>
      </c>
      <c r="J534" s="620">
        <v>0.01</v>
      </c>
      <c r="K534" s="620">
        <v>14186</v>
      </c>
      <c r="L534" s="620">
        <v>-269</v>
      </c>
      <c r="M534" s="620">
        <v>-1.86</v>
      </c>
      <c r="N534" s="620">
        <v>13755</v>
      </c>
      <c r="O534" s="620">
        <v>14799</v>
      </c>
      <c r="P534" s="620" t="s">
        <v>2145</v>
      </c>
      <c r="Q534" s="620" t="s">
        <v>2146</v>
      </c>
      <c r="R534" s="620">
        <v>1</v>
      </c>
      <c r="S534" s="620">
        <v>72</v>
      </c>
      <c r="T534" s="620">
        <v>13900</v>
      </c>
      <c r="U534" s="620">
        <v>14500</v>
      </c>
      <c r="V534" s="620">
        <v>22550</v>
      </c>
      <c r="W534" s="620">
        <v>1</v>
      </c>
    </row>
    <row r="535" spans="1:23" x14ac:dyDescent="0.25">
      <c r="A535" s="620" t="s">
        <v>2147</v>
      </c>
      <c r="B535" s="620" t="s">
        <v>2148</v>
      </c>
      <c r="C535" s="620">
        <v>486</v>
      </c>
      <c r="D535" s="620">
        <v>2102428</v>
      </c>
      <c r="E535" s="620">
        <v>18485245063</v>
      </c>
      <c r="F535" s="620">
        <v>8965</v>
      </c>
      <c r="G535" s="620">
        <v>8610</v>
      </c>
      <c r="H535" s="620">
        <v>8999</v>
      </c>
      <c r="I535" s="620">
        <v>34</v>
      </c>
      <c r="J535" s="620">
        <v>0.38</v>
      </c>
      <c r="K535" s="620">
        <v>8792</v>
      </c>
      <c r="L535" s="620">
        <v>-173</v>
      </c>
      <c r="M535" s="620">
        <v>-1.93</v>
      </c>
      <c r="N535" s="620">
        <v>8517</v>
      </c>
      <c r="O535" s="620">
        <v>9150</v>
      </c>
      <c r="P535" s="620" t="s">
        <v>2149</v>
      </c>
      <c r="Q535" s="620" t="s">
        <v>2150</v>
      </c>
      <c r="R535" s="620">
        <v>1</v>
      </c>
      <c r="S535" s="620">
        <v>559</v>
      </c>
      <c r="T535" s="620">
        <v>8901</v>
      </c>
      <c r="U535" s="620">
        <v>9001</v>
      </c>
      <c r="V535" s="620">
        <v>169</v>
      </c>
      <c r="W535" s="620">
        <v>1</v>
      </c>
    </row>
    <row r="536" spans="1:23" x14ac:dyDescent="0.25">
      <c r="A536" s="620" t="s">
        <v>2151</v>
      </c>
      <c r="B536" s="620" t="s">
        <v>2152</v>
      </c>
      <c r="C536" s="620">
        <v>174</v>
      </c>
      <c r="D536" s="620">
        <v>1961</v>
      </c>
      <c r="E536" s="620">
        <v>755935409</v>
      </c>
      <c r="F536" s="620">
        <v>383739</v>
      </c>
      <c r="G536" s="620">
        <v>376505</v>
      </c>
      <c r="H536" s="620">
        <v>400000</v>
      </c>
      <c r="I536" s="620">
        <v>16261</v>
      </c>
      <c r="J536" s="620">
        <v>4.24</v>
      </c>
      <c r="K536" s="620">
        <v>385485</v>
      </c>
      <c r="L536" s="620">
        <v>1746</v>
      </c>
      <c r="M536" s="620">
        <v>0.45</v>
      </c>
      <c r="N536" s="620">
        <v>364553</v>
      </c>
      <c r="O536" s="620">
        <v>400000</v>
      </c>
      <c r="R536" s="620">
        <v>0</v>
      </c>
      <c r="S536" s="620">
        <v>0</v>
      </c>
      <c r="T536" s="620">
        <v>0</v>
      </c>
      <c r="U536" s="620">
        <v>410000</v>
      </c>
      <c r="V536" s="620">
        <v>38</v>
      </c>
      <c r="W536" s="620">
        <v>1</v>
      </c>
    </row>
    <row r="537" spans="1:23" x14ac:dyDescent="0.25">
      <c r="A537" s="620" t="s">
        <v>2153</v>
      </c>
      <c r="B537" s="620" t="s">
        <v>2154</v>
      </c>
      <c r="C537" s="620">
        <v>3100</v>
      </c>
      <c r="D537" s="620">
        <v>25667336</v>
      </c>
      <c r="E537" s="620">
        <v>472843206824</v>
      </c>
      <c r="F537" s="620">
        <v>17634</v>
      </c>
      <c r="G537" s="620">
        <v>17860</v>
      </c>
      <c r="H537" s="620">
        <v>18515</v>
      </c>
      <c r="I537" s="620">
        <v>881</v>
      </c>
      <c r="J537" s="620">
        <v>5</v>
      </c>
      <c r="K537" s="620">
        <v>18422</v>
      </c>
      <c r="L537" s="620">
        <v>788</v>
      </c>
      <c r="M537" s="620">
        <v>4.47</v>
      </c>
      <c r="N537" s="620">
        <v>17860</v>
      </c>
      <c r="O537" s="620">
        <v>18515</v>
      </c>
      <c r="P537" s="620" t="s">
        <v>2155</v>
      </c>
      <c r="Q537" s="620" t="s">
        <v>1796</v>
      </c>
      <c r="R537" s="620">
        <v>19</v>
      </c>
      <c r="S537" s="620">
        <v>262103</v>
      </c>
      <c r="T537" s="620">
        <v>18515</v>
      </c>
      <c r="U537" s="620">
        <v>18599</v>
      </c>
      <c r="V537" s="620">
        <v>64</v>
      </c>
      <c r="W537" s="620">
        <v>1</v>
      </c>
    </row>
    <row r="538" spans="1:23" x14ac:dyDescent="0.25">
      <c r="A538" s="620" t="s">
        <v>2156</v>
      </c>
      <c r="B538" s="620" t="s">
        <v>2157</v>
      </c>
      <c r="C538" s="620">
        <v>26</v>
      </c>
      <c r="D538" s="620">
        <v>65474</v>
      </c>
      <c r="E538" s="620">
        <v>784051150</v>
      </c>
      <c r="F538" s="620">
        <v>12345</v>
      </c>
      <c r="G538" s="620">
        <v>11975</v>
      </c>
      <c r="H538" s="620">
        <v>11975</v>
      </c>
      <c r="I538" s="620">
        <v>-370</v>
      </c>
      <c r="J538" s="620">
        <v>-3</v>
      </c>
      <c r="K538" s="620">
        <v>11975</v>
      </c>
      <c r="L538" s="620">
        <v>-370</v>
      </c>
      <c r="M538" s="620">
        <v>-3</v>
      </c>
      <c r="N538" s="620">
        <v>11975</v>
      </c>
      <c r="O538" s="620">
        <v>11975</v>
      </c>
      <c r="P538" s="620" t="s">
        <v>2158</v>
      </c>
      <c r="Q538" s="620" t="s">
        <v>590</v>
      </c>
      <c r="R538" s="620">
        <v>0</v>
      </c>
      <c r="S538" s="620">
        <v>0</v>
      </c>
      <c r="T538" s="620">
        <v>0</v>
      </c>
      <c r="U538" s="620">
        <v>11975</v>
      </c>
      <c r="V538" s="620">
        <v>27500</v>
      </c>
      <c r="W538" s="620">
        <v>4</v>
      </c>
    </row>
    <row r="539" spans="1:23" x14ac:dyDescent="0.25">
      <c r="A539" s="620" t="s">
        <v>2159</v>
      </c>
      <c r="B539" s="620" t="s">
        <v>2160</v>
      </c>
      <c r="C539" s="620">
        <v>769</v>
      </c>
      <c r="D539" s="620">
        <v>9218939</v>
      </c>
      <c r="E539" s="620">
        <v>29242474508</v>
      </c>
      <c r="F539" s="620">
        <v>3338</v>
      </c>
      <c r="G539" s="620">
        <v>3172</v>
      </c>
      <c r="H539" s="620">
        <v>3172</v>
      </c>
      <c r="I539" s="620">
        <v>-166</v>
      </c>
      <c r="J539" s="620">
        <v>-4.97</v>
      </c>
      <c r="K539" s="620">
        <v>3172</v>
      </c>
      <c r="L539" s="620">
        <v>-166</v>
      </c>
      <c r="M539" s="620">
        <v>-4.97</v>
      </c>
      <c r="N539" s="620">
        <v>3172</v>
      </c>
      <c r="O539" s="620">
        <v>3172</v>
      </c>
      <c r="P539" s="620" t="s">
        <v>2161</v>
      </c>
      <c r="Q539" s="620" t="s">
        <v>2162</v>
      </c>
      <c r="R539" s="620">
        <v>1</v>
      </c>
      <c r="S539" s="620">
        <v>3333</v>
      </c>
      <c r="T539" s="620">
        <v>2389</v>
      </c>
      <c r="U539" s="620">
        <v>3172</v>
      </c>
      <c r="V539" s="620">
        <v>8202174</v>
      </c>
      <c r="W539" s="620">
        <v>333</v>
      </c>
    </row>
    <row r="540" spans="1:23" x14ac:dyDescent="0.25">
      <c r="A540" s="620" t="s">
        <v>2163</v>
      </c>
      <c r="B540" s="620" t="s">
        <v>2164</v>
      </c>
      <c r="C540" s="620">
        <v>2012</v>
      </c>
      <c r="D540" s="620">
        <v>17405214</v>
      </c>
      <c r="E540" s="620">
        <v>92843748959</v>
      </c>
      <c r="F540" s="620">
        <v>5308</v>
      </c>
      <c r="G540" s="620">
        <v>5280</v>
      </c>
      <c r="H540" s="620">
        <v>5300</v>
      </c>
      <c r="I540" s="620">
        <v>-8</v>
      </c>
      <c r="J540" s="620">
        <v>-0.15</v>
      </c>
      <c r="K540" s="620">
        <v>5334</v>
      </c>
      <c r="L540" s="620">
        <v>26</v>
      </c>
      <c r="M540" s="620">
        <v>0.49</v>
      </c>
      <c r="N540" s="620">
        <v>5270</v>
      </c>
      <c r="O540" s="620">
        <v>5393</v>
      </c>
      <c r="P540" s="620" t="s">
        <v>2165</v>
      </c>
      <c r="Q540" s="620" t="s">
        <v>2166</v>
      </c>
      <c r="R540" s="620">
        <v>1</v>
      </c>
      <c r="S540" s="620">
        <v>500</v>
      </c>
      <c r="T540" s="620">
        <v>5300</v>
      </c>
      <c r="U540" s="620">
        <v>5300</v>
      </c>
      <c r="V540" s="620">
        <v>13797</v>
      </c>
      <c r="W540" s="620">
        <v>1</v>
      </c>
    </row>
    <row r="541" spans="1:23" x14ac:dyDescent="0.25">
      <c r="A541" s="620" t="s">
        <v>2167</v>
      </c>
      <c r="B541" s="620" t="s">
        <v>2168</v>
      </c>
      <c r="C541" s="620">
        <v>0</v>
      </c>
      <c r="D541" s="620">
        <v>0</v>
      </c>
      <c r="E541" s="620">
        <v>0</v>
      </c>
      <c r="F541" s="620">
        <v>4120</v>
      </c>
      <c r="G541" s="620">
        <v>0</v>
      </c>
      <c r="H541" s="620">
        <v>4120</v>
      </c>
      <c r="I541" s="620">
        <v>0</v>
      </c>
      <c r="J541" s="620">
        <v>0</v>
      </c>
      <c r="K541" s="620">
        <v>4120</v>
      </c>
      <c r="L541" s="620">
        <v>0</v>
      </c>
      <c r="M541" s="620">
        <v>0</v>
      </c>
      <c r="N541" s="620">
        <v>0</v>
      </c>
      <c r="O541" s="620">
        <v>0</v>
      </c>
      <c r="P541" s="620" t="s">
        <v>2169</v>
      </c>
      <c r="Q541" s="620" t="s">
        <v>2170</v>
      </c>
      <c r="R541" s="620">
        <v>1</v>
      </c>
      <c r="S541" s="620">
        <v>10000</v>
      </c>
      <c r="T541" s="620">
        <v>4120</v>
      </c>
      <c r="U541" s="620">
        <v>0</v>
      </c>
      <c r="V541" s="620">
        <v>0</v>
      </c>
      <c r="W541" s="620">
        <v>0</v>
      </c>
    </row>
    <row r="542" spans="1:23" x14ac:dyDescent="0.25">
      <c r="A542" s="620" t="s">
        <v>2171</v>
      </c>
      <c r="B542" s="620" t="s">
        <v>2172</v>
      </c>
      <c r="C542" s="620">
        <v>21</v>
      </c>
      <c r="D542" s="620">
        <v>1409</v>
      </c>
      <c r="E542" s="620">
        <v>1014682978</v>
      </c>
      <c r="F542" s="620">
        <v>718131</v>
      </c>
      <c r="G542" s="620">
        <v>726498</v>
      </c>
      <c r="H542" s="620">
        <v>720000</v>
      </c>
      <c r="I542" s="620">
        <v>1869</v>
      </c>
      <c r="J542" s="620">
        <v>0.26</v>
      </c>
      <c r="K542" s="620">
        <v>720144</v>
      </c>
      <c r="L542" s="620">
        <v>2013</v>
      </c>
      <c r="M542" s="620">
        <v>0.28000000000000003</v>
      </c>
      <c r="N542" s="620">
        <v>720000</v>
      </c>
      <c r="O542" s="620">
        <v>726499</v>
      </c>
      <c r="R542" s="620">
        <v>1</v>
      </c>
      <c r="S542" s="620">
        <v>5</v>
      </c>
      <c r="T542" s="620">
        <v>718560</v>
      </c>
      <c r="U542" s="620">
        <v>723997</v>
      </c>
      <c r="V542" s="620">
        <v>1</v>
      </c>
      <c r="W542" s="620">
        <v>1</v>
      </c>
    </row>
    <row r="543" spans="1:23" x14ac:dyDescent="0.25">
      <c r="A543" s="620" t="s">
        <v>2173</v>
      </c>
      <c r="B543" s="620" t="s">
        <v>2174</v>
      </c>
      <c r="C543" s="620">
        <v>645</v>
      </c>
      <c r="D543" s="620">
        <v>6535367</v>
      </c>
      <c r="E543" s="620">
        <v>14243849543</v>
      </c>
      <c r="F543" s="620">
        <v>2286</v>
      </c>
      <c r="G543" s="620">
        <v>2172</v>
      </c>
      <c r="H543" s="620">
        <v>2172</v>
      </c>
      <c r="I543" s="620">
        <v>-114</v>
      </c>
      <c r="J543" s="620">
        <v>-4.99</v>
      </c>
      <c r="K543" s="620">
        <v>2180</v>
      </c>
      <c r="L543" s="620">
        <v>-106</v>
      </c>
      <c r="M543" s="620">
        <v>-4.6399999999999997</v>
      </c>
      <c r="N543" s="620">
        <v>2172</v>
      </c>
      <c r="O543" s="620">
        <v>2260</v>
      </c>
      <c r="P543" s="620" t="s">
        <v>2175</v>
      </c>
      <c r="Q543" s="620" t="s">
        <v>2176</v>
      </c>
      <c r="R543" s="620">
        <v>1</v>
      </c>
      <c r="S543" s="620">
        <v>2800</v>
      </c>
      <c r="T543" s="620">
        <v>1690</v>
      </c>
      <c r="U543" s="620">
        <v>2172</v>
      </c>
      <c r="V543" s="620">
        <v>461942</v>
      </c>
      <c r="W543" s="620">
        <v>25</v>
      </c>
    </row>
    <row r="544" spans="1:23" x14ac:dyDescent="0.25">
      <c r="A544" s="620" t="s">
        <v>2177</v>
      </c>
      <c r="B544" s="620" t="s">
        <v>2178</v>
      </c>
      <c r="C544" s="620">
        <v>2086</v>
      </c>
      <c r="D544" s="620">
        <v>13859124</v>
      </c>
      <c r="E544" s="620">
        <v>96957764456</v>
      </c>
      <c r="F544" s="620">
        <v>6857</v>
      </c>
      <c r="G544" s="620">
        <v>6904</v>
      </c>
      <c r="H544" s="620">
        <v>6940</v>
      </c>
      <c r="I544" s="620">
        <v>83</v>
      </c>
      <c r="J544" s="620">
        <v>1.21</v>
      </c>
      <c r="K544" s="620">
        <v>6996</v>
      </c>
      <c r="L544" s="620">
        <v>139</v>
      </c>
      <c r="M544" s="620">
        <v>2.0299999999999998</v>
      </c>
      <c r="N544" s="620">
        <v>6850</v>
      </c>
      <c r="O544" s="620">
        <v>7188</v>
      </c>
      <c r="P544" s="620" t="s">
        <v>2179</v>
      </c>
      <c r="Q544" s="620" t="s">
        <v>1562</v>
      </c>
      <c r="R544" s="620">
        <v>1</v>
      </c>
      <c r="S544" s="620">
        <v>200</v>
      </c>
      <c r="T544" s="620">
        <v>6925</v>
      </c>
      <c r="U544" s="620">
        <v>6942</v>
      </c>
      <c r="V544" s="620">
        <v>793</v>
      </c>
      <c r="W544" s="620">
        <v>1</v>
      </c>
    </row>
    <row r="545" spans="1:23" x14ac:dyDescent="0.25">
      <c r="A545" s="620" t="s">
        <v>2180</v>
      </c>
      <c r="B545" s="620" t="s">
        <v>2181</v>
      </c>
      <c r="C545" s="620">
        <v>0</v>
      </c>
      <c r="D545" s="620">
        <v>0</v>
      </c>
      <c r="E545" s="620">
        <v>0</v>
      </c>
      <c r="F545" s="620">
        <v>177</v>
      </c>
      <c r="G545" s="620">
        <v>0</v>
      </c>
      <c r="H545" s="620">
        <v>177</v>
      </c>
      <c r="I545" s="620">
        <v>0</v>
      </c>
      <c r="J545" s="620">
        <v>0</v>
      </c>
      <c r="K545" s="620">
        <v>177</v>
      </c>
      <c r="L545" s="620">
        <v>0</v>
      </c>
      <c r="M545" s="620">
        <v>0</v>
      </c>
      <c r="N545" s="620">
        <v>0</v>
      </c>
      <c r="O545" s="620">
        <v>0</v>
      </c>
      <c r="R545" s="620">
        <v>1</v>
      </c>
      <c r="S545" s="620">
        <v>100</v>
      </c>
      <c r="T545" s="620">
        <v>96</v>
      </c>
      <c r="U545" s="620">
        <v>299</v>
      </c>
      <c r="V545" s="620">
        <v>9</v>
      </c>
      <c r="W545" s="620">
        <v>1</v>
      </c>
    </row>
    <row r="546" spans="1:23" x14ac:dyDescent="0.25">
      <c r="A546" s="620" t="s">
        <v>2182</v>
      </c>
      <c r="B546" s="620" t="s">
        <v>2183</v>
      </c>
      <c r="C546" s="620">
        <v>1403</v>
      </c>
      <c r="D546" s="620">
        <v>3742851</v>
      </c>
      <c r="E546" s="620">
        <v>42057881602</v>
      </c>
      <c r="F546" s="620">
        <v>11176</v>
      </c>
      <c r="G546" s="620">
        <v>10850</v>
      </c>
      <c r="H546" s="620">
        <v>10999</v>
      </c>
      <c r="I546" s="620">
        <v>-177</v>
      </c>
      <c r="J546" s="620">
        <v>-1.58</v>
      </c>
      <c r="K546" s="620">
        <v>11237</v>
      </c>
      <c r="L546" s="620">
        <v>61</v>
      </c>
      <c r="M546" s="620">
        <v>0.55000000000000004</v>
      </c>
      <c r="N546" s="620">
        <v>10850</v>
      </c>
      <c r="O546" s="620">
        <v>11560</v>
      </c>
      <c r="P546" s="620" t="s">
        <v>2184</v>
      </c>
      <c r="Q546" s="620" t="s">
        <v>2185</v>
      </c>
      <c r="R546" s="620">
        <v>1</v>
      </c>
      <c r="S546" s="620">
        <v>1000</v>
      </c>
      <c r="T546" s="620">
        <v>10991</v>
      </c>
      <c r="U546" s="620">
        <v>11000</v>
      </c>
      <c r="V546" s="620">
        <v>2100</v>
      </c>
      <c r="W546" s="620">
        <v>2</v>
      </c>
    </row>
    <row r="547" spans="1:23" x14ac:dyDescent="0.25">
      <c r="A547" s="620" t="s">
        <v>2186</v>
      </c>
      <c r="B547" s="620" t="s">
        <v>2187</v>
      </c>
      <c r="C547" s="620">
        <v>0</v>
      </c>
      <c r="D547" s="620">
        <v>0</v>
      </c>
      <c r="E547" s="620">
        <v>0</v>
      </c>
      <c r="F547" s="620">
        <v>1</v>
      </c>
      <c r="G547" s="620">
        <v>0</v>
      </c>
      <c r="H547" s="620">
        <v>1</v>
      </c>
      <c r="I547" s="620">
        <v>0</v>
      </c>
      <c r="J547" s="620">
        <v>0</v>
      </c>
      <c r="K547" s="620">
        <v>1</v>
      </c>
      <c r="L547" s="620">
        <v>0</v>
      </c>
      <c r="M547" s="620">
        <v>0</v>
      </c>
      <c r="N547" s="620">
        <v>0</v>
      </c>
      <c r="O547" s="620">
        <v>0</v>
      </c>
      <c r="R547" s="620">
        <v>1</v>
      </c>
      <c r="S547" s="620">
        <v>100</v>
      </c>
      <c r="T547" s="620">
        <v>60</v>
      </c>
      <c r="U547" s="620">
        <v>0</v>
      </c>
      <c r="V547" s="620">
        <v>0</v>
      </c>
      <c r="W547" s="620">
        <v>0</v>
      </c>
    </row>
    <row r="548" spans="1:23" x14ac:dyDescent="0.25">
      <c r="A548" s="620" t="s">
        <v>2188</v>
      </c>
      <c r="B548" s="620" t="s">
        <v>2189</v>
      </c>
      <c r="C548" s="620">
        <v>1096</v>
      </c>
      <c r="D548" s="620">
        <v>2461078</v>
      </c>
      <c r="E548" s="620">
        <v>40691504004</v>
      </c>
      <c r="F548" s="620">
        <v>16275</v>
      </c>
      <c r="G548" s="620">
        <v>16200</v>
      </c>
      <c r="H548" s="620">
        <v>15884</v>
      </c>
      <c r="I548" s="620">
        <v>-391</v>
      </c>
      <c r="J548" s="620">
        <v>-2.4</v>
      </c>
      <c r="K548" s="620">
        <v>16534</v>
      </c>
      <c r="L548" s="620">
        <v>259</v>
      </c>
      <c r="M548" s="620">
        <v>1.59</v>
      </c>
      <c r="N548" s="620">
        <v>15462</v>
      </c>
      <c r="O548" s="620">
        <v>17088</v>
      </c>
      <c r="P548" s="620" t="s">
        <v>2190</v>
      </c>
      <c r="Q548" s="620" t="s">
        <v>2191</v>
      </c>
      <c r="R548" s="620">
        <v>1</v>
      </c>
      <c r="S548" s="620">
        <v>632</v>
      </c>
      <c r="T548" s="620">
        <v>15883</v>
      </c>
      <c r="U548" s="620">
        <v>15884</v>
      </c>
      <c r="V548" s="620">
        <v>13542</v>
      </c>
      <c r="W548" s="620">
        <v>2</v>
      </c>
    </row>
    <row r="549" spans="1:23" x14ac:dyDescent="0.25">
      <c r="A549" s="620" t="s">
        <v>2192</v>
      </c>
      <c r="B549" s="620" t="s">
        <v>2193</v>
      </c>
      <c r="C549" s="620">
        <v>13</v>
      </c>
      <c r="D549" s="620">
        <v>3972</v>
      </c>
      <c r="E549" s="620">
        <v>3908031560</v>
      </c>
      <c r="F549" s="620">
        <v>982175</v>
      </c>
      <c r="G549" s="620">
        <v>983400</v>
      </c>
      <c r="H549" s="620">
        <v>984005</v>
      </c>
      <c r="I549" s="620">
        <v>1830</v>
      </c>
      <c r="J549" s="620">
        <v>0.19</v>
      </c>
      <c r="K549" s="620">
        <v>983895</v>
      </c>
      <c r="L549" s="620">
        <v>1720</v>
      </c>
      <c r="M549" s="620">
        <v>0.18</v>
      </c>
      <c r="N549" s="620">
        <v>983400</v>
      </c>
      <c r="O549" s="620">
        <v>984600</v>
      </c>
      <c r="R549" s="620">
        <v>1</v>
      </c>
      <c r="S549" s="620">
        <v>2469</v>
      </c>
      <c r="T549" s="620">
        <v>983630</v>
      </c>
      <c r="U549" s="620">
        <v>984600</v>
      </c>
      <c r="V549" s="620">
        <v>298</v>
      </c>
      <c r="W549" s="620">
        <v>1</v>
      </c>
    </row>
    <row r="550" spans="1:23" x14ac:dyDescent="0.25">
      <c r="A550" s="620" t="s">
        <v>2194</v>
      </c>
      <c r="B550" s="620" t="s">
        <v>2195</v>
      </c>
      <c r="C550" s="620">
        <v>0</v>
      </c>
      <c r="D550" s="620">
        <v>0</v>
      </c>
      <c r="E550" s="620">
        <v>0</v>
      </c>
      <c r="F550" s="620">
        <v>1</v>
      </c>
      <c r="G550" s="620">
        <v>0</v>
      </c>
      <c r="H550" s="620">
        <v>1</v>
      </c>
      <c r="I550" s="620">
        <v>0</v>
      </c>
      <c r="J550" s="620">
        <v>0</v>
      </c>
      <c r="K550" s="620">
        <v>1</v>
      </c>
      <c r="L550" s="620">
        <v>0</v>
      </c>
      <c r="M550" s="620">
        <v>0</v>
      </c>
      <c r="N550" s="620">
        <v>0</v>
      </c>
      <c r="O550" s="620">
        <v>0</v>
      </c>
      <c r="R550" s="620">
        <v>1</v>
      </c>
      <c r="S550" s="620">
        <v>100</v>
      </c>
      <c r="T550" s="620">
        <v>3</v>
      </c>
      <c r="U550" s="620">
        <v>0</v>
      </c>
      <c r="V550" s="620">
        <v>0</v>
      </c>
      <c r="W550" s="620">
        <v>0</v>
      </c>
    </row>
    <row r="551" spans="1:23" x14ac:dyDescent="0.25">
      <c r="A551" s="620" t="s">
        <v>2196</v>
      </c>
      <c r="B551" s="620" t="s">
        <v>2197</v>
      </c>
      <c r="C551" s="620">
        <v>15</v>
      </c>
      <c r="D551" s="620">
        <v>10100</v>
      </c>
      <c r="E551" s="620">
        <v>8927326021</v>
      </c>
      <c r="F551" s="620">
        <v>935556</v>
      </c>
      <c r="G551" s="620">
        <v>932000</v>
      </c>
      <c r="H551" s="620">
        <v>881001</v>
      </c>
      <c r="I551" s="620">
        <v>-54555</v>
      </c>
      <c r="J551" s="620">
        <v>-5.83</v>
      </c>
      <c r="K551" s="620">
        <v>883894</v>
      </c>
      <c r="L551" s="620">
        <v>-51662</v>
      </c>
      <c r="M551" s="620">
        <v>-5.52</v>
      </c>
      <c r="N551" s="620">
        <v>881000</v>
      </c>
      <c r="O551" s="620">
        <v>932000</v>
      </c>
      <c r="R551" s="620">
        <v>1</v>
      </c>
      <c r="S551" s="620">
        <v>15</v>
      </c>
      <c r="T551" s="620">
        <v>895106</v>
      </c>
      <c r="U551" s="620">
        <v>939999</v>
      </c>
      <c r="V551" s="620">
        <v>400</v>
      </c>
      <c r="W551" s="620">
        <v>1</v>
      </c>
    </row>
    <row r="552" spans="1:23" x14ac:dyDescent="0.25">
      <c r="A552" s="620" t="s">
        <v>2198</v>
      </c>
      <c r="B552" s="620" t="s">
        <v>2199</v>
      </c>
      <c r="C552" s="620">
        <v>0</v>
      </c>
      <c r="D552" s="620">
        <v>0</v>
      </c>
      <c r="E552" s="620">
        <v>0</v>
      </c>
      <c r="F552" s="620">
        <v>1441204</v>
      </c>
      <c r="G552" s="620">
        <v>0</v>
      </c>
      <c r="H552" s="620">
        <v>1296735</v>
      </c>
      <c r="I552" s="620">
        <v>-144469</v>
      </c>
      <c r="J552" s="620">
        <v>-10.02</v>
      </c>
      <c r="K552" s="620">
        <v>1473786</v>
      </c>
      <c r="L552" s="620">
        <v>32582</v>
      </c>
      <c r="M552" s="620">
        <v>2.2599999999999998</v>
      </c>
      <c r="N552" s="620">
        <v>0</v>
      </c>
      <c r="O552" s="620">
        <v>0</v>
      </c>
      <c r="R552" s="620">
        <v>1</v>
      </c>
      <c r="S552" s="620">
        <v>1</v>
      </c>
      <c r="T552" s="620">
        <v>1369144</v>
      </c>
      <c r="U552" s="620">
        <v>0</v>
      </c>
      <c r="V552" s="620">
        <v>0</v>
      </c>
      <c r="W552" s="620">
        <v>0</v>
      </c>
    </row>
    <row r="553" spans="1:23" x14ac:dyDescent="0.25">
      <c r="A553" s="620" t="s">
        <v>2200</v>
      </c>
      <c r="B553" s="620" t="s">
        <v>2201</v>
      </c>
      <c r="C553" s="620">
        <v>0</v>
      </c>
      <c r="D553" s="620">
        <v>0</v>
      </c>
      <c r="E553" s="620">
        <v>0</v>
      </c>
      <c r="F553" s="620">
        <v>1</v>
      </c>
      <c r="G553" s="620">
        <v>0</v>
      </c>
      <c r="H553" s="620">
        <v>1</v>
      </c>
      <c r="I553" s="620">
        <v>0</v>
      </c>
      <c r="J553" s="620">
        <v>0</v>
      </c>
      <c r="K553" s="620">
        <v>1</v>
      </c>
      <c r="L553" s="620">
        <v>0</v>
      </c>
      <c r="M553" s="620">
        <v>0</v>
      </c>
      <c r="N553" s="620">
        <v>0</v>
      </c>
      <c r="O553" s="620">
        <v>0</v>
      </c>
      <c r="R553" s="620">
        <v>1</v>
      </c>
      <c r="S553" s="620">
        <v>20</v>
      </c>
      <c r="T553" s="620">
        <v>2</v>
      </c>
      <c r="U553" s="620">
        <v>0</v>
      </c>
      <c r="V553" s="620">
        <v>0</v>
      </c>
      <c r="W553" s="620">
        <v>0</v>
      </c>
    </row>
    <row r="554" spans="1:23" x14ac:dyDescent="0.25">
      <c r="A554" s="620" t="s">
        <v>2202</v>
      </c>
      <c r="B554" s="620" t="s">
        <v>2203</v>
      </c>
      <c r="C554" s="620">
        <v>5</v>
      </c>
      <c r="D554" s="620">
        <v>11060</v>
      </c>
      <c r="E554" s="620">
        <v>454897850</v>
      </c>
      <c r="F554" s="620">
        <v>41222</v>
      </c>
      <c r="G554" s="620">
        <v>41055</v>
      </c>
      <c r="H554" s="620">
        <v>41838</v>
      </c>
      <c r="I554" s="620">
        <v>616</v>
      </c>
      <c r="J554" s="620">
        <v>1.49</v>
      </c>
      <c r="K554" s="620">
        <v>41130</v>
      </c>
      <c r="L554" s="620">
        <v>-92</v>
      </c>
      <c r="M554" s="620">
        <v>-0.22</v>
      </c>
      <c r="N554" s="620">
        <v>41055</v>
      </c>
      <c r="O554" s="620">
        <v>41838</v>
      </c>
      <c r="R554" s="620">
        <v>1</v>
      </c>
      <c r="S554" s="620">
        <v>15000</v>
      </c>
      <c r="T554" s="620">
        <v>40931</v>
      </c>
      <c r="U554" s="620">
        <v>41838</v>
      </c>
      <c r="V554" s="620">
        <v>11370</v>
      </c>
      <c r="W554" s="620">
        <v>2</v>
      </c>
    </row>
    <row r="555" spans="1:23" x14ac:dyDescent="0.25">
      <c r="A555" s="620" t="s">
        <v>2204</v>
      </c>
      <c r="B555" s="620" t="s">
        <v>2205</v>
      </c>
      <c r="C555" s="620">
        <v>0</v>
      </c>
      <c r="D555" s="620">
        <v>0</v>
      </c>
      <c r="E555" s="620">
        <v>0</v>
      </c>
      <c r="F555" s="620">
        <v>1000000</v>
      </c>
      <c r="G555" s="620">
        <v>0</v>
      </c>
      <c r="H555" s="620">
        <v>1000000</v>
      </c>
      <c r="I555" s="620">
        <v>0</v>
      </c>
      <c r="J555" s="620">
        <v>0</v>
      </c>
      <c r="K555" s="620">
        <v>1000000</v>
      </c>
      <c r="L555" s="620">
        <v>0</v>
      </c>
      <c r="M555" s="620">
        <v>0</v>
      </c>
      <c r="N555" s="620">
        <v>0</v>
      </c>
      <c r="O555" s="620">
        <v>0</v>
      </c>
      <c r="R555" s="620">
        <v>1</v>
      </c>
      <c r="S555" s="620">
        <v>1875</v>
      </c>
      <c r="T555" s="620">
        <v>1000000</v>
      </c>
      <c r="U555" s="620">
        <v>1020000</v>
      </c>
      <c r="V555" s="620">
        <v>1875</v>
      </c>
      <c r="W555" s="620">
        <v>1</v>
      </c>
    </row>
    <row r="556" spans="1:23" x14ac:dyDescent="0.25">
      <c r="A556" s="620" t="s">
        <v>2206</v>
      </c>
      <c r="B556" s="620" t="s">
        <v>2207</v>
      </c>
      <c r="C556" s="620">
        <v>77</v>
      </c>
      <c r="D556" s="620">
        <v>226754</v>
      </c>
      <c r="E556" s="620">
        <v>2264365444</v>
      </c>
      <c r="F556" s="620">
        <v>10294</v>
      </c>
      <c r="G556" s="620">
        <v>9986</v>
      </c>
      <c r="H556" s="620">
        <v>9986</v>
      </c>
      <c r="I556" s="620">
        <v>-308</v>
      </c>
      <c r="J556" s="620">
        <v>-2.99</v>
      </c>
      <c r="K556" s="620">
        <v>9986</v>
      </c>
      <c r="L556" s="620">
        <v>-308</v>
      </c>
      <c r="M556" s="620">
        <v>-2.99</v>
      </c>
      <c r="N556" s="620">
        <v>9986</v>
      </c>
      <c r="O556" s="620">
        <v>9986</v>
      </c>
      <c r="P556" s="620" t="s">
        <v>2208</v>
      </c>
      <c r="Q556" s="620" t="s">
        <v>2209</v>
      </c>
      <c r="R556" s="620">
        <v>0</v>
      </c>
      <c r="S556" s="620">
        <v>0</v>
      </c>
      <c r="T556" s="620">
        <v>0</v>
      </c>
      <c r="U556" s="620">
        <v>9986</v>
      </c>
      <c r="V556" s="620">
        <v>1289776</v>
      </c>
      <c r="W556" s="620">
        <v>95</v>
      </c>
    </row>
    <row r="557" spans="1:23" x14ac:dyDescent="0.25">
      <c r="A557" s="620" t="s">
        <v>2210</v>
      </c>
      <c r="B557" s="620" t="s">
        <v>2211</v>
      </c>
      <c r="C557" s="620">
        <v>617</v>
      </c>
      <c r="D557" s="620">
        <v>2366463</v>
      </c>
      <c r="E557" s="620">
        <v>9684064768</v>
      </c>
      <c r="F557" s="620">
        <v>4305</v>
      </c>
      <c r="G557" s="620">
        <v>4090</v>
      </c>
      <c r="H557" s="620">
        <v>4090</v>
      </c>
      <c r="I557" s="620">
        <v>-215</v>
      </c>
      <c r="J557" s="620">
        <v>-4.99</v>
      </c>
      <c r="K557" s="620">
        <v>4092</v>
      </c>
      <c r="L557" s="620">
        <v>-213</v>
      </c>
      <c r="M557" s="620">
        <v>-4.95</v>
      </c>
      <c r="N557" s="620">
        <v>4090</v>
      </c>
      <c r="O557" s="620">
        <v>4170</v>
      </c>
      <c r="P557" s="620" t="s">
        <v>2212</v>
      </c>
      <c r="Q557" s="620" t="s">
        <v>2213</v>
      </c>
      <c r="R557" s="620">
        <v>0</v>
      </c>
      <c r="S557" s="620">
        <v>0</v>
      </c>
      <c r="T557" s="620">
        <v>0</v>
      </c>
      <c r="U557" s="620">
        <v>4090</v>
      </c>
      <c r="V557" s="620">
        <v>547145</v>
      </c>
      <c r="W557" s="620">
        <v>28</v>
      </c>
    </row>
    <row r="558" spans="1:23" x14ac:dyDescent="0.25">
      <c r="A558" s="620" t="s">
        <v>2214</v>
      </c>
      <c r="B558" s="620" t="s">
        <v>2215</v>
      </c>
      <c r="C558" s="620">
        <v>436</v>
      </c>
      <c r="D558" s="620">
        <v>1284623</v>
      </c>
      <c r="E558" s="620">
        <v>13448027751</v>
      </c>
      <c r="F558" s="620">
        <v>10940</v>
      </c>
      <c r="G558" s="620">
        <v>10493</v>
      </c>
      <c r="H558" s="620">
        <v>10430</v>
      </c>
      <c r="I558" s="620">
        <v>-510</v>
      </c>
      <c r="J558" s="620">
        <v>-4.66</v>
      </c>
      <c r="K558" s="620">
        <v>10468</v>
      </c>
      <c r="L558" s="620">
        <v>-472</v>
      </c>
      <c r="M558" s="620">
        <v>-4.3099999999999996</v>
      </c>
      <c r="N558" s="620">
        <v>10393</v>
      </c>
      <c r="O558" s="620">
        <v>10895</v>
      </c>
      <c r="P558" s="620" t="s">
        <v>2216</v>
      </c>
      <c r="Q558" s="620" t="s">
        <v>2217</v>
      </c>
      <c r="R558" s="620">
        <v>1</v>
      </c>
      <c r="S558" s="620">
        <v>1000</v>
      </c>
      <c r="T558" s="620">
        <v>10393</v>
      </c>
      <c r="U558" s="620">
        <v>10435</v>
      </c>
      <c r="V558" s="620">
        <v>6109</v>
      </c>
      <c r="W558" s="620">
        <v>1</v>
      </c>
    </row>
    <row r="559" spans="1:23" x14ac:dyDescent="0.25">
      <c r="A559" s="620" t="s">
        <v>2218</v>
      </c>
      <c r="B559" s="620" t="s">
        <v>2219</v>
      </c>
      <c r="C559" s="620">
        <v>0</v>
      </c>
      <c r="D559" s="620">
        <v>0</v>
      </c>
      <c r="E559" s="620">
        <v>0</v>
      </c>
      <c r="F559" s="620">
        <v>3932</v>
      </c>
      <c r="G559" s="620">
        <v>3854</v>
      </c>
      <c r="H559" s="620">
        <v>3932</v>
      </c>
      <c r="I559" s="620">
        <v>0</v>
      </c>
      <c r="J559" s="620">
        <v>0</v>
      </c>
      <c r="K559" s="620">
        <v>3932</v>
      </c>
      <c r="L559" s="620">
        <v>0</v>
      </c>
      <c r="M559" s="620">
        <v>0</v>
      </c>
      <c r="N559" s="620">
        <v>3854</v>
      </c>
      <c r="O559" s="620">
        <v>3854</v>
      </c>
      <c r="P559" s="620" t="s">
        <v>1538</v>
      </c>
      <c r="Q559" s="620" t="s">
        <v>2220</v>
      </c>
      <c r="R559" s="620">
        <v>0</v>
      </c>
      <c r="S559" s="620">
        <v>0</v>
      </c>
      <c r="T559" s="620">
        <v>0</v>
      </c>
      <c r="U559" s="620">
        <v>3854</v>
      </c>
      <c r="V559" s="620">
        <v>4150</v>
      </c>
      <c r="W559" s="620">
        <v>2</v>
      </c>
    </row>
    <row r="560" spans="1:23" x14ac:dyDescent="0.25">
      <c r="A560" s="620" t="s">
        <v>2221</v>
      </c>
      <c r="B560" s="620" t="s">
        <v>2222</v>
      </c>
      <c r="C560" s="620">
        <v>59</v>
      </c>
      <c r="D560" s="620">
        <v>313782</v>
      </c>
      <c r="E560" s="620">
        <v>772475319</v>
      </c>
      <c r="F560" s="620">
        <v>2533</v>
      </c>
      <c r="G560" s="620">
        <v>2458</v>
      </c>
      <c r="H560" s="620">
        <v>2458</v>
      </c>
      <c r="I560" s="620">
        <v>-75</v>
      </c>
      <c r="J560" s="620">
        <v>-2.96</v>
      </c>
      <c r="K560" s="620">
        <v>2462</v>
      </c>
      <c r="L560" s="620">
        <v>-71</v>
      </c>
      <c r="M560" s="620">
        <v>-2.8</v>
      </c>
      <c r="N560" s="620">
        <v>2458</v>
      </c>
      <c r="O560" s="620">
        <v>2589</v>
      </c>
      <c r="P560" s="620" t="s">
        <v>2223</v>
      </c>
      <c r="Q560" s="620" t="s">
        <v>2224</v>
      </c>
      <c r="R560" s="620">
        <v>0</v>
      </c>
      <c r="S560" s="620">
        <v>0</v>
      </c>
      <c r="T560" s="620">
        <v>0</v>
      </c>
      <c r="U560" s="620">
        <v>2484</v>
      </c>
      <c r="V560" s="620">
        <v>20005</v>
      </c>
      <c r="W560" s="620">
        <v>1</v>
      </c>
    </row>
    <row r="561" spans="1:23" x14ac:dyDescent="0.25">
      <c r="A561" s="620" t="s">
        <v>2225</v>
      </c>
      <c r="B561" s="620" t="s">
        <v>2226</v>
      </c>
      <c r="C561" s="620">
        <v>1</v>
      </c>
      <c r="D561" s="620">
        <v>10</v>
      </c>
      <c r="E561" s="620">
        <v>10000000</v>
      </c>
      <c r="F561" s="620">
        <v>1000000</v>
      </c>
      <c r="G561" s="620">
        <v>1000000</v>
      </c>
      <c r="H561" s="620">
        <v>1000000</v>
      </c>
      <c r="I561" s="620">
        <v>0</v>
      </c>
      <c r="J561" s="620">
        <v>0</v>
      </c>
      <c r="K561" s="620">
        <v>1000000</v>
      </c>
      <c r="L561" s="620">
        <v>0</v>
      </c>
      <c r="M561" s="620">
        <v>0</v>
      </c>
      <c r="N561" s="620">
        <v>1000000</v>
      </c>
      <c r="O561" s="620">
        <v>1000000</v>
      </c>
      <c r="R561" s="620">
        <v>1</v>
      </c>
      <c r="S561" s="620">
        <v>1250</v>
      </c>
      <c r="T561" s="620">
        <v>1000000</v>
      </c>
      <c r="U561" s="620">
        <v>1020000</v>
      </c>
      <c r="V561" s="620">
        <v>1250</v>
      </c>
      <c r="W561" s="620">
        <v>1</v>
      </c>
    </row>
    <row r="562" spans="1:23" x14ac:dyDescent="0.25">
      <c r="A562" s="620" t="s">
        <v>2227</v>
      </c>
      <c r="B562" s="620" t="s">
        <v>2228</v>
      </c>
      <c r="C562" s="620">
        <v>12</v>
      </c>
      <c r="D562" s="620">
        <v>1945</v>
      </c>
      <c r="E562" s="620">
        <v>1650774480</v>
      </c>
      <c r="F562" s="620">
        <v>845469</v>
      </c>
      <c r="G562" s="620">
        <v>846500</v>
      </c>
      <c r="H562" s="620">
        <v>848200</v>
      </c>
      <c r="I562" s="620">
        <v>2731</v>
      </c>
      <c r="J562" s="620">
        <v>0.32</v>
      </c>
      <c r="K562" s="620">
        <v>848727</v>
      </c>
      <c r="L562" s="620">
        <v>3258</v>
      </c>
      <c r="M562" s="620">
        <v>0.39</v>
      </c>
      <c r="N562" s="620">
        <v>846500</v>
      </c>
      <c r="O562" s="620">
        <v>849500</v>
      </c>
      <c r="R562" s="620">
        <v>1</v>
      </c>
      <c r="S562" s="620">
        <v>4640</v>
      </c>
      <c r="T562" s="620">
        <v>846001</v>
      </c>
      <c r="U562" s="620">
        <v>853999</v>
      </c>
      <c r="V562" s="620">
        <v>1350</v>
      </c>
      <c r="W562" s="620">
        <v>1</v>
      </c>
    </row>
    <row r="563" spans="1:23" x14ac:dyDescent="0.25">
      <c r="A563" s="620" t="s">
        <v>2229</v>
      </c>
      <c r="B563" s="620" t="s">
        <v>2230</v>
      </c>
      <c r="C563" s="620">
        <v>382</v>
      </c>
      <c r="D563" s="620">
        <v>7197759</v>
      </c>
      <c r="E563" s="620">
        <v>27371651001</v>
      </c>
      <c r="F563" s="620">
        <v>3751</v>
      </c>
      <c r="G563" s="620">
        <v>3694</v>
      </c>
      <c r="H563" s="620">
        <v>3778</v>
      </c>
      <c r="I563" s="620">
        <v>27</v>
      </c>
      <c r="J563" s="620">
        <v>0.72</v>
      </c>
      <c r="K563" s="620">
        <v>3803</v>
      </c>
      <c r="L563" s="620">
        <v>52</v>
      </c>
      <c r="M563" s="620">
        <v>1.39</v>
      </c>
      <c r="N563" s="620">
        <v>3694</v>
      </c>
      <c r="O563" s="620">
        <v>3898</v>
      </c>
      <c r="P563" s="620" t="s">
        <v>2231</v>
      </c>
      <c r="Q563" s="620" t="s">
        <v>2232</v>
      </c>
      <c r="R563" s="620">
        <v>1</v>
      </c>
      <c r="S563" s="620">
        <v>256</v>
      </c>
      <c r="T563" s="620">
        <v>3857</v>
      </c>
      <c r="U563" s="620">
        <v>3857</v>
      </c>
      <c r="V563" s="620">
        <v>3595</v>
      </c>
      <c r="W563" s="620">
        <v>2</v>
      </c>
    </row>
    <row r="564" spans="1:23" x14ac:dyDescent="0.25">
      <c r="A564" s="620" t="s">
        <v>2233</v>
      </c>
      <c r="B564" s="620" t="s">
        <v>2234</v>
      </c>
      <c r="C564" s="620">
        <v>0</v>
      </c>
      <c r="D564" s="620">
        <v>0</v>
      </c>
      <c r="E564" s="620">
        <v>0</v>
      </c>
      <c r="F564" s="620">
        <v>280</v>
      </c>
      <c r="G564" s="620">
        <v>0</v>
      </c>
      <c r="H564" s="620">
        <v>280</v>
      </c>
      <c r="I564" s="620">
        <v>0</v>
      </c>
      <c r="J564" s="620">
        <v>0</v>
      </c>
      <c r="K564" s="620">
        <v>280</v>
      </c>
      <c r="L564" s="620">
        <v>0</v>
      </c>
      <c r="M564" s="620">
        <v>0</v>
      </c>
      <c r="N564" s="620">
        <v>0</v>
      </c>
      <c r="O564" s="620">
        <v>0</v>
      </c>
      <c r="R564" s="620">
        <v>4</v>
      </c>
      <c r="S564" s="620">
        <v>60</v>
      </c>
      <c r="T564" s="620">
        <v>200</v>
      </c>
      <c r="U564" s="620">
        <v>322</v>
      </c>
      <c r="V564" s="620">
        <v>9</v>
      </c>
      <c r="W564" s="620">
        <v>1</v>
      </c>
    </row>
    <row r="565" spans="1:23" x14ac:dyDescent="0.25">
      <c r="A565" s="620" t="s">
        <v>2235</v>
      </c>
      <c r="B565" s="620" t="s">
        <v>2236</v>
      </c>
      <c r="C565" s="620">
        <v>236</v>
      </c>
      <c r="D565" s="620">
        <v>3659110</v>
      </c>
      <c r="E565" s="620">
        <v>10639442900</v>
      </c>
      <c r="F565" s="620">
        <v>3005</v>
      </c>
      <c r="G565" s="620">
        <v>3000</v>
      </c>
      <c r="H565" s="620">
        <v>2855</v>
      </c>
      <c r="I565" s="620">
        <v>-150</v>
      </c>
      <c r="J565" s="620">
        <v>-4.99</v>
      </c>
      <c r="K565" s="620">
        <v>2908</v>
      </c>
      <c r="L565" s="620">
        <v>-97</v>
      </c>
      <c r="M565" s="620">
        <v>-3.23</v>
      </c>
      <c r="N565" s="620">
        <v>2855</v>
      </c>
      <c r="O565" s="620">
        <v>3014</v>
      </c>
      <c r="P565" s="620" t="s">
        <v>2158</v>
      </c>
      <c r="Q565" s="620" t="s">
        <v>1371</v>
      </c>
      <c r="R565" s="620">
        <v>0</v>
      </c>
      <c r="S565" s="620">
        <v>0</v>
      </c>
      <c r="T565" s="620">
        <v>0</v>
      </c>
      <c r="U565" s="620">
        <v>2855</v>
      </c>
      <c r="V565" s="620">
        <v>3500</v>
      </c>
      <c r="W565" s="620">
        <v>2</v>
      </c>
    </row>
    <row r="566" spans="1:23" x14ac:dyDescent="0.25">
      <c r="A566" s="620" t="s">
        <v>2237</v>
      </c>
      <c r="B566" s="620" t="s">
        <v>2238</v>
      </c>
      <c r="C566" s="620">
        <v>0</v>
      </c>
      <c r="D566" s="620">
        <v>0</v>
      </c>
      <c r="E566" s="620">
        <v>0</v>
      </c>
      <c r="F566" s="620">
        <v>1</v>
      </c>
      <c r="G566" s="620">
        <v>0</v>
      </c>
      <c r="H566" s="620">
        <v>1</v>
      </c>
      <c r="I566" s="620">
        <v>0</v>
      </c>
      <c r="J566" s="620">
        <v>0</v>
      </c>
      <c r="K566" s="620">
        <v>1</v>
      </c>
      <c r="L566" s="620">
        <v>0</v>
      </c>
      <c r="M566" s="620">
        <v>0</v>
      </c>
      <c r="N566" s="620">
        <v>0</v>
      </c>
      <c r="O566" s="620">
        <v>0</v>
      </c>
      <c r="R566" s="620">
        <v>2</v>
      </c>
      <c r="S566" s="620">
        <v>150</v>
      </c>
      <c r="T566" s="620">
        <v>56</v>
      </c>
      <c r="U566" s="620">
        <v>0</v>
      </c>
      <c r="V566" s="620">
        <v>0</v>
      </c>
      <c r="W566" s="620">
        <v>0</v>
      </c>
    </row>
    <row r="567" spans="1:23" x14ac:dyDescent="0.25">
      <c r="A567" s="620" t="s">
        <v>2239</v>
      </c>
      <c r="B567" s="620" t="s">
        <v>2240</v>
      </c>
      <c r="C567" s="620">
        <v>0</v>
      </c>
      <c r="D567" s="620">
        <v>0</v>
      </c>
      <c r="E567" s="620">
        <v>0</v>
      </c>
      <c r="F567" s="620">
        <v>11495</v>
      </c>
      <c r="G567" s="620">
        <v>0</v>
      </c>
      <c r="H567" s="620">
        <v>11495</v>
      </c>
      <c r="I567" s="620">
        <v>0</v>
      </c>
      <c r="J567" s="620">
        <v>0</v>
      </c>
      <c r="K567" s="620">
        <v>11495</v>
      </c>
      <c r="L567" s="620">
        <v>0</v>
      </c>
      <c r="M567" s="620">
        <v>0</v>
      </c>
      <c r="N567" s="620">
        <v>0</v>
      </c>
      <c r="O567" s="620">
        <v>0</v>
      </c>
      <c r="P567" s="620" t="s">
        <v>2241</v>
      </c>
      <c r="Q567" s="620" t="s">
        <v>2242</v>
      </c>
      <c r="R567" s="620">
        <v>0</v>
      </c>
      <c r="S567" s="620">
        <v>0</v>
      </c>
      <c r="T567" s="620">
        <v>0</v>
      </c>
      <c r="U567" s="620">
        <v>12776</v>
      </c>
      <c r="V567" s="620">
        <v>42558</v>
      </c>
      <c r="W567" s="620">
        <v>2</v>
      </c>
    </row>
    <row r="568" spans="1:23" x14ac:dyDescent="0.25">
      <c r="A568" s="620" t="s">
        <v>2243</v>
      </c>
      <c r="B568" s="620" t="s">
        <v>2244</v>
      </c>
      <c r="C568" s="620">
        <v>1192</v>
      </c>
      <c r="D568" s="620">
        <v>8158403</v>
      </c>
      <c r="E568" s="620">
        <v>63263543548</v>
      </c>
      <c r="F568" s="620">
        <v>8125</v>
      </c>
      <c r="G568" s="620">
        <v>7731</v>
      </c>
      <c r="H568" s="620">
        <v>7881</v>
      </c>
      <c r="I568" s="620">
        <v>-244</v>
      </c>
      <c r="J568" s="620">
        <v>-3</v>
      </c>
      <c r="K568" s="620">
        <v>7754</v>
      </c>
      <c r="L568" s="620">
        <v>-371</v>
      </c>
      <c r="M568" s="620">
        <v>-4.57</v>
      </c>
      <c r="N568" s="620">
        <v>7719</v>
      </c>
      <c r="O568" s="620">
        <v>8050</v>
      </c>
      <c r="P568" s="620" t="s">
        <v>2082</v>
      </c>
      <c r="Q568" s="620" t="s">
        <v>2245</v>
      </c>
      <c r="R568" s="620">
        <v>1</v>
      </c>
      <c r="S568" s="620">
        <v>28871</v>
      </c>
      <c r="T568" s="620">
        <v>7881</v>
      </c>
      <c r="U568" s="620">
        <v>7888</v>
      </c>
      <c r="V568" s="620">
        <v>2500</v>
      </c>
      <c r="W568" s="620">
        <v>2</v>
      </c>
    </row>
    <row r="569" spans="1:23" x14ac:dyDescent="0.25">
      <c r="A569" s="620" t="s">
        <v>2246</v>
      </c>
      <c r="B569" s="620" t="s">
        <v>2247</v>
      </c>
      <c r="C569" s="620">
        <v>1750</v>
      </c>
      <c r="D569" s="620">
        <v>25544864</v>
      </c>
      <c r="E569" s="620">
        <v>36684053058</v>
      </c>
      <c r="F569" s="620">
        <v>1500</v>
      </c>
      <c r="G569" s="620">
        <v>1426</v>
      </c>
      <c r="H569" s="620">
        <v>1430</v>
      </c>
      <c r="I569" s="620">
        <v>-70</v>
      </c>
      <c r="J569" s="620">
        <v>-4.67</v>
      </c>
      <c r="K569" s="620">
        <v>1436</v>
      </c>
      <c r="L569" s="620">
        <v>-64</v>
      </c>
      <c r="M569" s="620">
        <v>-4.2699999999999996</v>
      </c>
      <c r="N569" s="620">
        <v>1425</v>
      </c>
      <c r="O569" s="620">
        <v>1496</v>
      </c>
      <c r="P569" s="620" t="s">
        <v>2248</v>
      </c>
      <c r="Q569" s="620" t="s">
        <v>2249</v>
      </c>
      <c r="R569" s="620">
        <v>1</v>
      </c>
      <c r="S569" s="620">
        <v>1000</v>
      </c>
      <c r="T569" s="620">
        <v>1426</v>
      </c>
      <c r="U569" s="620">
        <v>1438</v>
      </c>
      <c r="V569" s="620">
        <v>4278</v>
      </c>
      <c r="W569" s="620">
        <v>2</v>
      </c>
    </row>
    <row r="570" spans="1:23" x14ac:dyDescent="0.25">
      <c r="A570" s="620" t="s">
        <v>2250</v>
      </c>
      <c r="B570" s="620" t="s">
        <v>2251</v>
      </c>
      <c r="C570" s="620">
        <v>154</v>
      </c>
      <c r="D570" s="620">
        <v>194134</v>
      </c>
      <c r="E570" s="620">
        <v>2592659570</v>
      </c>
      <c r="F570" s="620">
        <v>14057</v>
      </c>
      <c r="G570" s="620">
        <v>13355</v>
      </c>
      <c r="H570" s="620">
        <v>13355</v>
      </c>
      <c r="I570" s="620">
        <v>-702</v>
      </c>
      <c r="J570" s="620">
        <v>-4.99</v>
      </c>
      <c r="K570" s="620">
        <v>13355</v>
      </c>
      <c r="L570" s="620">
        <v>-702</v>
      </c>
      <c r="M570" s="620">
        <v>-4.99</v>
      </c>
      <c r="N570" s="620">
        <v>13355</v>
      </c>
      <c r="O570" s="620">
        <v>13355</v>
      </c>
      <c r="P570" s="620" t="s">
        <v>2252</v>
      </c>
      <c r="Q570" s="620" t="s">
        <v>2253</v>
      </c>
      <c r="R570" s="620">
        <v>1</v>
      </c>
      <c r="S570" s="620">
        <v>100</v>
      </c>
      <c r="T570" s="620">
        <v>13105</v>
      </c>
      <c r="U570" s="620">
        <v>13355</v>
      </c>
      <c r="V570" s="620">
        <v>581544</v>
      </c>
      <c r="W570" s="620">
        <v>70</v>
      </c>
    </row>
    <row r="571" spans="1:23" x14ac:dyDescent="0.25">
      <c r="A571" s="620" t="s">
        <v>2254</v>
      </c>
      <c r="B571" s="620" t="s">
        <v>2255</v>
      </c>
      <c r="C571" s="620">
        <v>0</v>
      </c>
      <c r="D571" s="620">
        <v>0</v>
      </c>
      <c r="E571" s="620">
        <v>0</v>
      </c>
      <c r="F571" s="620">
        <v>1</v>
      </c>
      <c r="G571" s="620">
        <v>0</v>
      </c>
      <c r="H571" s="620">
        <v>1</v>
      </c>
      <c r="I571" s="620">
        <v>0</v>
      </c>
      <c r="J571" s="620">
        <v>0</v>
      </c>
      <c r="K571" s="620">
        <v>1</v>
      </c>
      <c r="L571" s="620">
        <v>0</v>
      </c>
      <c r="M571" s="620">
        <v>0</v>
      </c>
      <c r="N571" s="620">
        <v>0</v>
      </c>
      <c r="O571" s="620">
        <v>0</v>
      </c>
      <c r="R571" s="620">
        <v>1</v>
      </c>
      <c r="S571" s="620">
        <v>100</v>
      </c>
      <c r="T571" s="620">
        <v>2</v>
      </c>
      <c r="U571" s="620">
        <v>0</v>
      </c>
      <c r="V571" s="620">
        <v>0</v>
      </c>
      <c r="W571" s="620">
        <v>0</v>
      </c>
    </row>
    <row r="572" spans="1:23" x14ac:dyDescent="0.25">
      <c r="A572" s="620" t="s">
        <v>2256</v>
      </c>
      <c r="B572" s="620" t="s">
        <v>2257</v>
      </c>
      <c r="C572" s="620">
        <v>505</v>
      </c>
      <c r="D572" s="620">
        <v>902014</v>
      </c>
      <c r="E572" s="620">
        <v>13589484881</v>
      </c>
      <c r="F572" s="620">
        <v>15828</v>
      </c>
      <c r="G572" s="620">
        <v>15037</v>
      </c>
      <c r="H572" s="620">
        <v>15037</v>
      </c>
      <c r="I572" s="620">
        <v>-791</v>
      </c>
      <c r="J572" s="620">
        <v>-5</v>
      </c>
      <c r="K572" s="620">
        <v>15066</v>
      </c>
      <c r="L572" s="620">
        <v>-762</v>
      </c>
      <c r="M572" s="620">
        <v>-4.8099999999999996</v>
      </c>
      <c r="N572" s="620">
        <v>15037</v>
      </c>
      <c r="O572" s="620">
        <v>15480</v>
      </c>
      <c r="P572" s="620" t="s">
        <v>2258</v>
      </c>
      <c r="Q572" s="620" t="s">
        <v>2259</v>
      </c>
      <c r="R572" s="620">
        <v>0</v>
      </c>
      <c r="S572" s="620">
        <v>0</v>
      </c>
      <c r="T572" s="620">
        <v>0</v>
      </c>
      <c r="U572" s="620">
        <v>15037</v>
      </c>
      <c r="V572" s="620">
        <v>51629</v>
      </c>
      <c r="W572" s="620">
        <v>15</v>
      </c>
    </row>
    <row r="573" spans="1:23" x14ac:dyDescent="0.25">
      <c r="A573" s="620" t="s">
        <v>2260</v>
      </c>
      <c r="B573" s="620" t="s">
        <v>2261</v>
      </c>
      <c r="C573" s="620">
        <v>0</v>
      </c>
      <c r="D573" s="620">
        <v>0</v>
      </c>
      <c r="E573" s="620">
        <v>0</v>
      </c>
      <c r="F573" s="620">
        <v>4</v>
      </c>
      <c r="G573" s="620">
        <v>0</v>
      </c>
      <c r="H573" s="620">
        <v>4</v>
      </c>
      <c r="I573" s="620">
        <v>0</v>
      </c>
      <c r="J573" s="620">
        <v>0</v>
      </c>
      <c r="K573" s="620">
        <v>4</v>
      </c>
      <c r="L573" s="620">
        <v>0</v>
      </c>
      <c r="M573" s="620">
        <v>0</v>
      </c>
      <c r="N573" s="620">
        <v>0</v>
      </c>
      <c r="O573" s="620">
        <v>0</v>
      </c>
      <c r="R573" s="620">
        <v>0</v>
      </c>
      <c r="S573" s="620">
        <v>0</v>
      </c>
      <c r="T573" s="620">
        <v>0</v>
      </c>
      <c r="U573" s="620">
        <v>100</v>
      </c>
      <c r="V573" s="620">
        <v>70</v>
      </c>
      <c r="W573" s="620">
        <v>1</v>
      </c>
    </row>
    <row r="574" spans="1:23" x14ac:dyDescent="0.25">
      <c r="A574" s="620" t="s">
        <v>2262</v>
      </c>
      <c r="B574" s="620" t="s">
        <v>2263</v>
      </c>
      <c r="C574" s="620">
        <v>0</v>
      </c>
      <c r="D574" s="620">
        <v>0</v>
      </c>
      <c r="E574" s="620">
        <v>0</v>
      </c>
      <c r="F574" s="620">
        <v>1000000</v>
      </c>
      <c r="G574" s="620">
        <v>0</v>
      </c>
      <c r="H574" s="620">
        <v>1000000</v>
      </c>
      <c r="I574" s="620">
        <v>0</v>
      </c>
      <c r="J574" s="620">
        <v>0</v>
      </c>
      <c r="K574" s="620">
        <v>1000000</v>
      </c>
      <c r="L574" s="620">
        <v>0</v>
      </c>
      <c r="M574" s="620">
        <v>0</v>
      </c>
      <c r="N574" s="620">
        <v>0</v>
      </c>
      <c r="O574" s="620">
        <v>0</v>
      </c>
      <c r="R574" s="620">
        <v>1</v>
      </c>
      <c r="S574" s="620">
        <v>1250</v>
      </c>
      <c r="T574" s="620">
        <v>1000000</v>
      </c>
      <c r="U574" s="620">
        <v>1020000</v>
      </c>
      <c r="V574" s="620">
        <v>1250</v>
      </c>
      <c r="W574" s="620">
        <v>1</v>
      </c>
    </row>
    <row r="575" spans="1:23" x14ac:dyDescent="0.25">
      <c r="A575" s="620" t="s">
        <v>2264</v>
      </c>
      <c r="B575" s="620" t="s">
        <v>2265</v>
      </c>
      <c r="C575" s="620">
        <v>84</v>
      </c>
      <c r="D575" s="620">
        <v>1173</v>
      </c>
      <c r="E575" s="620">
        <v>474805231</v>
      </c>
      <c r="F575" s="620">
        <v>406188</v>
      </c>
      <c r="G575" s="620">
        <v>386223</v>
      </c>
      <c r="H575" s="620">
        <v>386000</v>
      </c>
      <c r="I575" s="620">
        <v>-20188</v>
      </c>
      <c r="J575" s="620">
        <v>-4.97</v>
      </c>
      <c r="K575" s="620">
        <v>404779</v>
      </c>
      <c r="L575" s="620">
        <v>-1409</v>
      </c>
      <c r="M575" s="620">
        <v>-0.35</v>
      </c>
      <c r="N575" s="620">
        <v>385879</v>
      </c>
      <c r="O575" s="620">
        <v>406188</v>
      </c>
      <c r="R575" s="620">
        <v>0</v>
      </c>
      <c r="S575" s="620">
        <v>0</v>
      </c>
      <c r="T575" s="620">
        <v>0</v>
      </c>
      <c r="U575" s="620">
        <v>420000</v>
      </c>
      <c r="V575" s="620">
        <v>4</v>
      </c>
      <c r="W575" s="620">
        <v>1</v>
      </c>
    </row>
    <row r="576" spans="1:23" x14ac:dyDescent="0.25">
      <c r="A576" s="620" t="s">
        <v>2266</v>
      </c>
      <c r="B576" s="620" t="s">
        <v>2267</v>
      </c>
      <c r="C576" s="620">
        <v>448</v>
      </c>
      <c r="D576" s="620">
        <v>2777357</v>
      </c>
      <c r="E576" s="620">
        <v>18733546734</v>
      </c>
      <c r="F576" s="620">
        <v>7086</v>
      </c>
      <c r="G576" s="620">
        <v>6732</v>
      </c>
      <c r="H576" s="620">
        <v>6732</v>
      </c>
      <c r="I576" s="620">
        <v>-354</v>
      </c>
      <c r="J576" s="620">
        <v>-5</v>
      </c>
      <c r="K576" s="620">
        <v>6745</v>
      </c>
      <c r="L576" s="620">
        <v>-341</v>
      </c>
      <c r="M576" s="620">
        <v>-4.8099999999999996</v>
      </c>
      <c r="N576" s="620">
        <v>6732</v>
      </c>
      <c r="O576" s="620">
        <v>6956</v>
      </c>
      <c r="P576" s="620" t="s">
        <v>2268</v>
      </c>
      <c r="Q576" s="620" t="s">
        <v>2269</v>
      </c>
      <c r="R576" s="620">
        <v>0</v>
      </c>
      <c r="S576" s="620">
        <v>0</v>
      </c>
      <c r="T576" s="620">
        <v>0</v>
      </c>
      <c r="U576" s="620">
        <v>6732</v>
      </c>
      <c r="V576" s="620">
        <v>844499</v>
      </c>
      <c r="W576" s="620">
        <v>54</v>
      </c>
    </row>
    <row r="577" spans="1:23" x14ac:dyDescent="0.25">
      <c r="A577" s="620" t="s">
        <v>2270</v>
      </c>
      <c r="B577" s="620" t="s">
        <v>2271</v>
      </c>
      <c r="C577" s="620">
        <v>119</v>
      </c>
      <c r="D577" s="620">
        <v>1686</v>
      </c>
      <c r="E577" s="620">
        <v>640626008</v>
      </c>
      <c r="F577" s="620">
        <v>379626</v>
      </c>
      <c r="G577" s="620">
        <v>375000</v>
      </c>
      <c r="H577" s="620">
        <v>375000</v>
      </c>
      <c r="I577" s="620">
        <v>-4626</v>
      </c>
      <c r="J577" s="620">
        <v>-1.22</v>
      </c>
      <c r="K577" s="620">
        <v>379968</v>
      </c>
      <c r="L577" s="620">
        <v>342</v>
      </c>
      <c r="M577" s="620">
        <v>0.09</v>
      </c>
      <c r="N577" s="620">
        <v>370010</v>
      </c>
      <c r="O577" s="620">
        <v>389794</v>
      </c>
      <c r="R577" s="620">
        <v>1</v>
      </c>
      <c r="S577" s="620">
        <v>50</v>
      </c>
      <c r="T577" s="620">
        <v>371000</v>
      </c>
      <c r="U577" s="620">
        <v>410000</v>
      </c>
      <c r="V577" s="620">
        <v>120</v>
      </c>
      <c r="W577" s="620">
        <v>1</v>
      </c>
    </row>
    <row r="578" spans="1:23" x14ac:dyDescent="0.25">
      <c r="A578" s="620" t="s">
        <v>2272</v>
      </c>
      <c r="B578" s="620" t="s">
        <v>2273</v>
      </c>
      <c r="C578" s="620">
        <v>739</v>
      </c>
      <c r="D578" s="620">
        <v>10840624</v>
      </c>
      <c r="E578" s="620">
        <v>29713809525</v>
      </c>
      <c r="F578" s="620">
        <v>2817</v>
      </c>
      <c r="G578" s="620">
        <v>2733</v>
      </c>
      <c r="H578" s="620">
        <v>2735</v>
      </c>
      <c r="I578" s="620">
        <v>-82</v>
      </c>
      <c r="J578" s="620">
        <v>-2.91</v>
      </c>
      <c r="K578" s="620">
        <v>2741</v>
      </c>
      <c r="L578" s="620">
        <v>-76</v>
      </c>
      <c r="M578" s="620">
        <v>-2.7</v>
      </c>
      <c r="N578" s="620">
        <v>2733</v>
      </c>
      <c r="O578" s="620">
        <v>2814</v>
      </c>
      <c r="P578" s="620" t="s">
        <v>2274</v>
      </c>
      <c r="Q578" s="620" t="s">
        <v>2275</v>
      </c>
      <c r="R578" s="620">
        <v>1</v>
      </c>
      <c r="S578" s="620">
        <v>638</v>
      </c>
      <c r="T578" s="620">
        <v>2735</v>
      </c>
      <c r="U578" s="620">
        <v>2765</v>
      </c>
      <c r="V578" s="620">
        <v>840</v>
      </c>
      <c r="W578" s="620">
        <v>1</v>
      </c>
    </row>
    <row r="579" spans="1:23" x14ac:dyDescent="0.25">
      <c r="A579" s="620" t="s">
        <v>2276</v>
      </c>
      <c r="B579" s="620" t="s">
        <v>2277</v>
      </c>
      <c r="C579" s="620">
        <v>26</v>
      </c>
      <c r="D579" s="620">
        <v>789833</v>
      </c>
      <c r="E579" s="620">
        <v>4014608106</v>
      </c>
      <c r="F579" s="620">
        <v>5646</v>
      </c>
      <c r="G579" s="620">
        <v>5646</v>
      </c>
      <c r="H579" s="620">
        <v>5082</v>
      </c>
      <c r="I579" s="620">
        <v>-564</v>
      </c>
      <c r="J579" s="620">
        <v>-9.99</v>
      </c>
      <c r="K579" s="620">
        <v>5083</v>
      </c>
      <c r="L579" s="620">
        <v>-563</v>
      </c>
      <c r="M579" s="620">
        <v>-9.9700000000000006</v>
      </c>
      <c r="N579" s="620">
        <v>5082</v>
      </c>
      <c r="O579" s="620">
        <v>5646</v>
      </c>
      <c r="R579" s="620">
        <v>1</v>
      </c>
      <c r="S579" s="620">
        <v>33372</v>
      </c>
      <c r="T579" s="620">
        <v>5082</v>
      </c>
      <c r="U579" s="620">
        <v>0</v>
      </c>
      <c r="V579" s="620">
        <v>0</v>
      </c>
      <c r="W579" s="620">
        <v>0</v>
      </c>
    </row>
    <row r="580" spans="1:23" x14ac:dyDescent="0.25">
      <c r="A580" s="620" t="s">
        <v>2278</v>
      </c>
      <c r="B580" s="620" t="s">
        <v>2279</v>
      </c>
      <c r="C580" s="620">
        <v>334</v>
      </c>
      <c r="D580" s="620">
        <v>972511</v>
      </c>
      <c r="E580" s="620">
        <v>9850011541</v>
      </c>
      <c r="F580" s="620">
        <v>10040</v>
      </c>
      <c r="G580" s="620">
        <v>10040</v>
      </c>
      <c r="H580" s="620">
        <v>10298</v>
      </c>
      <c r="I580" s="620">
        <v>258</v>
      </c>
      <c r="J580" s="620">
        <v>2.57</v>
      </c>
      <c r="K580" s="620">
        <v>10125</v>
      </c>
      <c r="L580" s="620">
        <v>85</v>
      </c>
      <c r="M580" s="620">
        <v>0.85</v>
      </c>
      <c r="N580" s="620">
        <v>9839</v>
      </c>
      <c r="O580" s="620">
        <v>10450</v>
      </c>
      <c r="P580" s="620" t="s">
        <v>2280</v>
      </c>
      <c r="Q580" s="620" t="s">
        <v>2281</v>
      </c>
      <c r="R580" s="620">
        <v>1</v>
      </c>
      <c r="S580" s="620">
        <v>9720</v>
      </c>
      <c r="T580" s="620">
        <v>10296</v>
      </c>
      <c r="U580" s="620">
        <v>10296</v>
      </c>
      <c r="V580" s="620">
        <v>1500</v>
      </c>
      <c r="W580" s="620">
        <v>1</v>
      </c>
    </row>
    <row r="581" spans="1:23" x14ac:dyDescent="0.25">
      <c r="A581" s="620" t="s">
        <v>2282</v>
      </c>
      <c r="B581" s="620" t="s">
        <v>2283</v>
      </c>
      <c r="C581" s="620">
        <v>1098</v>
      </c>
      <c r="D581" s="620">
        <v>11071794</v>
      </c>
      <c r="E581" s="620">
        <v>47675544712</v>
      </c>
      <c r="F581" s="620">
        <v>4521</v>
      </c>
      <c r="G581" s="620">
        <v>4298</v>
      </c>
      <c r="H581" s="620">
        <v>4310</v>
      </c>
      <c r="I581" s="620">
        <v>-211</v>
      </c>
      <c r="J581" s="620">
        <v>-4.67</v>
      </c>
      <c r="K581" s="620">
        <v>4306</v>
      </c>
      <c r="L581" s="620">
        <v>-215</v>
      </c>
      <c r="M581" s="620">
        <v>-4.76</v>
      </c>
      <c r="N581" s="620">
        <v>4295</v>
      </c>
      <c r="O581" s="620">
        <v>4450</v>
      </c>
      <c r="P581" s="620" t="s">
        <v>875</v>
      </c>
      <c r="Q581" s="620" t="s">
        <v>2284</v>
      </c>
      <c r="R581" s="620">
        <v>1</v>
      </c>
      <c r="S581" s="620">
        <v>1376</v>
      </c>
      <c r="T581" s="620">
        <v>4296</v>
      </c>
      <c r="U581" s="620">
        <v>4310</v>
      </c>
      <c r="V581" s="620">
        <v>3584</v>
      </c>
      <c r="W581" s="620">
        <v>1</v>
      </c>
    </row>
    <row r="582" spans="1:23" x14ac:dyDescent="0.25">
      <c r="A582" s="620" t="s">
        <v>2285</v>
      </c>
      <c r="B582" s="620" t="s">
        <v>2286</v>
      </c>
      <c r="C582" s="620">
        <v>973</v>
      </c>
      <c r="D582" s="620">
        <v>1045029</v>
      </c>
      <c r="E582" s="620">
        <v>33609888063</v>
      </c>
      <c r="F582" s="620">
        <v>30772</v>
      </c>
      <c r="G582" s="620">
        <v>31000</v>
      </c>
      <c r="H582" s="620">
        <v>32310</v>
      </c>
      <c r="I582" s="620">
        <v>1538</v>
      </c>
      <c r="J582" s="620">
        <v>5</v>
      </c>
      <c r="K582" s="620">
        <v>32162</v>
      </c>
      <c r="L582" s="620">
        <v>1390</v>
      </c>
      <c r="M582" s="620">
        <v>4.5199999999999996</v>
      </c>
      <c r="N582" s="620">
        <v>30870</v>
      </c>
      <c r="O582" s="620">
        <v>32310</v>
      </c>
      <c r="P582" s="620" t="s">
        <v>2287</v>
      </c>
      <c r="Q582" s="620" t="s">
        <v>2288</v>
      </c>
      <c r="R582" s="620">
        <v>6</v>
      </c>
      <c r="S582" s="620">
        <v>5680</v>
      </c>
      <c r="T582" s="620">
        <v>32310</v>
      </c>
      <c r="U582" s="620">
        <v>0</v>
      </c>
      <c r="V582" s="620">
        <v>0</v>
      </c>
      <c r="W582" s="620">
        <v>0</v>
      </c>
    </row>
    <row r="583" spans="1:23" x14ac:dyDescent="0.25">
      <c r="A583" s="620" t="s">
        <v>2289</v>
      </c>
      <c r="B583" s="620" t="s">
        <v>2290</v>
      </c>
      <c r="C583" s="620">
        <v>645</v>
      </c>
      <c r="D583" s="620">
        <v>3230357</v>
      </c>
      <c r="E583" s="620">
        <v>32392943374</v>
      </c>
      <c r="F583" s="620">
        <v>10279</v>
      </c>
      <c r="G583" s="620">
        <v>10001</v>
      </c>
      <c r="H583" s="620">
        <v>9980</v>
      </c>
      <c r="I583" s="620">
        <v>-299</v>
      </c>
      <c r="J583" s="620">
        <v>-2.91</v>
      </c>
      <c r="K583" s="620">
        <v>10028</v>
      </c>
      <c r="L583" s="620">
        <v>-251</v>
      </c>
      <c r="M583" s="620">
        <v>-2.44</v>
      </c>
      <c r="N583" s="620">
        <v>9860</v>
      </c>
      <c r="O583" s="620">
        <v>10399</v>
      </c>
      <c r="P583" s="620" t="s">
        <v>2291</v>
      </c>
      <c r="Q583" s="620" t="s">
        <v>2292</v>
      </c>
      <c r="R583" s="620">
        <v>3</v>
      </c>
      <c r="S583" s="620">
        <v>2620</v>
      </c>
      <c r="T583" s="620">
        <v>9980</v>
      </c>
      <c r="U583" s="620">
        <v>9998</v>
      </c>
      <c r="V583" s="620">
        <v>200</v>
      </c>
      <c r="W583" s="620">
        <v>1</v>
      </c>
    </row>
    <row r="584" spans="1:23" x14ac:dyDescent="0.25">
      <c r="A584" s="620" t="s">
        <v>2293</v>
      </c>
      <c r="B584" s="620" t="s">
        <v>2294</v>
      </c>
      <c r="C584" s="620">
        <v>27</v>
      </c>
      <c r="D584" s="620">
        <v>87487</v>
      </c>
      <c r="E584" s="620">
        <v>1163927048</v>
      </c>
      <c r="F584" s="620">
        <v>14004</v>
      </c>
      <c r="G584" s="620">
        <v>13304</v>
      </c>
      <c r="H584" s="620">
        <v>13304</v>
      </c>
      <c r="I584" s="620">
        <v>-700</v>
      </c>
      <c r="J584" s="620">
        <v>-5</v>
      </c>
      <c r="K584" s="620">
        <v>13304</v>
      </c>
      <c r="L584" s="620">
        <v>-700</v>
      </c>
      <c r="M584" s="620">
        <v>-5</v>
      </c>
      <c r="N584" s="620">
        <v>13304</v>
      </c>
      <c r="O584" s="620">
        <v>13304</v>
      </c>
      <c r="P584" s="620" t="s">
        <v>2295</v>
      </c>
      <c r="Q584" s="620" t="s">
        <v>2296</v>
      </c>
      <c r="R584" s="620">
        <v>0</v>
      </c>
      <c r="S584" s="620">
        <v>0</v>
      </c>
      <c r="T584" s="620">
        <v>0</v>
      </c>
      <c r="U584" s="620">
        <v>13304</v>
      </c>
      <c r="V584" s="620">
        <v>1150520</v>
      </c>
      <c r="W584" s="620">
        <v>149</v>
      </c>
    </row>
    <row r="585" spans="1:23" x14ac:dyDescent="0.25">
      <c r="A585" s="620" t="s">
        <v>2297</v>
      </c>
      <c r="B585" s="620" t="s">
        <v>2298</v>
      </c>
      <c r="C585" s="620">
        <v>275</v>
      </c>
      <c r="D585" s="620">
        <v>107314</v>
      </c>
      <c r="E585" s="620">
        <v>5444683104</v>
      </c>
      <c r="F585" s="620">
        <v>52305</v>
      </c>
      <c r="G585" s="620">
        <v>50736</v>
      </c>
      <c r="H585" s="620">
        <v>50736</v>
      </c>
      <c r="I585" s="620">
        <v>-1569</v>
      </c>
      <c r="J585" s="620">
        <v>-3</v>
      </c>
      <c r="K585" s="620">
        <v>50736</v>
      </c>
      <c r="L585" s="620">
        <v>-1569</v>
      </c>
      <c r="M585" s="620">
        <v>-3</v>
      </c>
      <c r="N585" s="620">
        <v>50736</v>
      </c>
      <c r="O585" s="620">
        <v>50736</v>
      </c>
      <c r="P585" s="620" t="s">
        <v>736</v>
      </c>
      <c r="Q585" s="620" t="s">
        <v>2299</v>
      </c>
      <c r="R585" s="620">
        <v>0</v>
      </c>
      <c r="S585" s="620">
        <v>0</v>
      </c>
      <c r="T585" s="620">
        <v>0</v>
      </c>
      <c r="U585" s="620">
        <v>50736</v>
      </c>
      <c r="V585" s="620">
        <v>565367</v>
      </c>
      <c r="W585" s="620">
        <v>161</v>
      </c>
    </row>
    <row r="586" spans="1:23" x14ac:dyDescent="0.25">
      <c r="A586" s="620" t="s">
        <v>2300</v>
      </c>
      <c r="B586" s="620" t="s">
        <v>2301</v>
      </c>
      <c r="C586" s="620">
        <v>490</v>
      </c>
      <c r="D586" s="620">
        <v>6472651</v>
      </c>
      <c r="E586" s="620">
        <v>6813007469</v>
      </c>
      <c r="F586" s="620">
        <v>1081</v>
      </c>
      <c r="G586" s="620">
        <v>1090</v>
      </c>
      <c r="H586" s="620">
        <v>1021</v>
      </c>
      <c r="I586" s="620">
        <v>-60</v>
      </c>
      <c r="J586" s="620">
        <v>-5.55</v>
      </c>
      <c r="K586" s="620">
        <v>1053</v>
      </c>
      <c r="L586" s="620">
        <v>-28</v>
      </c>
      <c r="M586" s="620">
        <v>-2.59</v>
      </c>
      <c r="N586" s="620">
        <v>1016</v>
      </c>
      <c r="O586" s="620">
        <v>1114</v>
      </c>
      <c r="R586" s="620">
        <v>1</v>
      </c>
      <c r="S586" s="620">
        <v>30000</v>
      </c>
      <c r="T586" s="620">
        <v>1025</v>
      </c>
      <c r="U586" s="620">
        <v>1026</v>
      </c>
      <c r="V586" s="620">
        <v>678</v>
      </c>
      <c r="W586" s="620">
        <v>1</v>
      </c>
    </row>
    <row r="587" spans="1:23" x14ac:dyDescent="0.25">
      <c r="A587" s="620" t="s">
        <v>2302</v>
      </c>
      <c r="B587" s="620" t="s">
        <v>2303</v>
      </c>
      <c r="C587" s="620">
        <v>359</v>
      </c>
      <c r="D587" s="620">
        <v>1943862</v>
      </c>
      <c r="E587" s="620">
        <v>10584610609</v>
      </c>
      <c r="F587" s="620">
        <v>5718</v>
      </c>
      <c r="G587" s="620">
        <v>5433</v>
      </c>
      <c r="H587" s="620">
        <v>5433</v>
      </c>
      <c r="I587" s="620">
        <v>-285</v>
      </c>
      <c r="J587" s="620">
        <v>-4.9800000000000004</v>
      </c>
      <c r="K587" s="620">
        <v>5445</v>
      </c>
      <c r="L587" s="620">
        <v>-273</v>
      </c>
      <c r="M587" s="620">
        <v>-4.7699999999999996</v>
      </c>
      <c r="N587" s="620">
        <v>5433</v>
      </c>
      <c r="O587" s="620">
        <v>5599</v>
      </c>
      <c r="P587" s="620" t="s">
        <v>2304</v>
      </c>
      <c r="Q587" s="620" t="s">
        <v>2305</v>
      </c>
      <c r="R587" s="620">
        <v>0</v>
      </c>
      <c r="S587" s="620">
        <v>0</v>
      </c>
      <c r="T587" s="620">
        <v>0</v>
      </c>
      <c r="U587" s="620">
        <v>5433</v>
      </c>
      <c r="V587" s="620">
        <v>728335</v>
      </c>
      <c r="W587" s="620">
        <v>26</v>
      </c>
    </row>
    <row r="588" spans="1:23" x14ac:dyDescent="0.25">
      <c r="A588" s="620" t="s">
        <v>2306</v>
      </c>
      <c r="B588" s="620" t="s">
        <v>2307</v>
      </c>
      <c r="C588" s="620">
        <v>16</v>
      </c>
      <c r="D588" s="620">
        <v>82352</v>
      </c>
      <c r="E588" s="620">
        <v>827941230</v>
      </c>
      <c r="F588" s="620">
        <v>10049</v>
      </c>
      <c r="G588" s="620">
        <v>10053</v>
      </c>
      <c r="H588" s="620">
        <v>10058</v>
      </c>
      <c r="I588" s="620">
        <v>9</v>
      </c>
      <c r="J588" s="620">
        <v>0.09</v>
      </c>
      <c r="K588" s="620">
        <v>10054</v>
      </c>
      <c r="L588" s="620">
        <v>5</v>
      </c>
      <c r="M588" s="620">
        <v>0.05</v>
      </c>
      <c r="N588" s="620">
        <v>10052</v>
      </c>
      <c r="O588" s="620">
        <v>10100</v>
      </c>
      <c r="R588" s="620">
        <v>1</v>
      </c>
      <c r="S588" s="620">
        <v>584</v>
      </c>
      <c r="T588" s="620">
        <v>10058</v>
      </c>
      <c r="U588" s="620">
        <v>10097</v>
      </c>
      <c r="V588" s="620">
        <v>16695</v>
      </c>
      <c r="W588" s="620">
        <v>2</v>
      </c>
    </row>
    <row r="589" spans="1:23" x14ac:dyDescent="0.25">
      <c r="A589" s="620" t="s">
        <v>2308</v>
      </c>
      <c r="B589" s="620" t="s">
        <v>2309</v>
      </c>
      <c r="C589" s="620">
        <v>16</v>
      </c>
      <c r="D589" s="620">
        <v>11746</v>
      </c>
      <c r="E589" s="620">
        <v>136911376</v>
      </c>
      <c r="F589" s="620">
        <v>12016</v>
      </c>
      <c r="G589" s="620">
        <v>11656</v>
      </c>
      <c r="H589" s="620">
        <v>11656</v>
      </c>
      <c r="I589" s="620">
        <v>-360</v>
      </c>
      <c r="J589" s="620">
        <v>-3</v>
      </c>
      <c r="K589" s="620">
        <v>11656</v>
      </c>
      <c r="L589" s="620">
        <v>-360</v>
      </c>
      <c r="M589" s="620">
        <v>-3</v>
      </c>
      <c r="N589" s="620">
        <v>11656</v>
      </c>
      <c r="O589" s="620">
        <v>11656</v>
      </c>
      <c r="P589" s="620" t="s">
        <v>2310</v>
      </c>
      <c r="Q589" s="620" t="s">
        <v>2311</v>
      </c>
      <c r="R589" s="620">
        <v>0</v>
      </c>
      <c r="S589" s="620">
        <v>0</v>
      </c>
      <c r="T589" s="620">
        <v>0</v>
      </c>
      <c r="U589" s="620">
        <v>11656</v>
      </c>
      <c r="V589" s="620">
        <v>148748</v>
      </c>
      <c r="W589" s="620">
        <v>11</v>
      </c>
    </row>
    <row r="590" spans="1:23" x14ac:dyDescent="0.25">
      <c r="A590" s="620" t="s">
        <v>2312</v>
      </c>
      <c r="B590" s="620" t="s">
        <v>2313</v>
      </c>
      <c r="C590" s="620">
        <v>95</v>
      </c>
      <c r="D590" s="620">
        <v>948</v>
      </c>
      <c r="E590" s="620">
        <v>360993747</v>
      </c>
      <c r="F590" s="620">
        <v>380127</v>
      </c>
      <c r="G590" s="620">
        <v>372520</v>
      </c>
      <c r="H590" s="620">
        <v>372002</v>
      </c>
      <c r="I590" s="620">
        <v>-8125</v>
      </c>
      <c r="J590" s="620">
        <v>-2.14</v>
      </c>
      <c r="K590" s="620">
        <v>380795</v>
      </c>
      <c r="L590" s="620">
        <v>668</v>
      </c>
      <c r="M590" s="620">
        <v>0.18</v>
      </c>
      <c r="N590" s="620">
        <v>370000</v>
      </c>
      <c r="O590" s="620">
        <v>399000</v>
      </c>
      <c r="R590" s="620">
        <v>1</v>
      </c>
      <c r="S590" s="620">
        <v>70</v>
      </c>
      <c r="T590" s="620">
        <v>372002</v>
      </c>
      <c r="U590" s="620">
        <v>399997</v>
      </c>
      <c r="V590" s="620">
        <v>47</v>
      </c>
      <c r="W590" s="620">
        <v>1</v>
      </c>
    </row>
    <row r="591" spans="1:23" x14ac:dyDescent="0.25">
      <c r="A591" s="620" t="s">
        <v>2314</v>
      </c>
      <c r="B591" s="620" t="s">
        <v>846</v>
      </c>
      <c r="C591" s="620">
        <v>1</v>
      </c>
      <c r="D591" s="620">
        <v>1000</v>
      </c>
      <c r="E591" s="620">
        <v>920000000</v>
      </c>
      <c r="F591" s="620">
        <v>920000</v>
      </c>
      <c r="G591" s="620">
        <v>920000</v>
      </c>
      <c r="H591" s="620">
        <v>920000</v>
      </c>
      <c r="I591" s="620">
        <v>0</v>
      </c>
      <c r="J591" s="620">
        <v>0</v>
      </c>
      <c r="K591" s="620">
        <v>920000</v>
      </c>
      <c r="L591" s="620">
        <v>0</v>
      </c>
      <c r="M591" s="620">
        <v>0</v>
      </c>
      <c r="N591" s="620">
        <v>920000</v>
      </c>
      <c r="O591" s="620">
        <v>920000</v>
      </c>
      <c r="R591" s="620">
        <v>1</v>
      </c>
      <c r="S591" s="620">
        <v>1000</v>
      </c>
      <c r="T591" s="620">
        <v>920000</v>
      </c>
      <c r="U591" s="620">
        <v>0</v>
      </c>
      <c r="V591" s="620">
        <v>0</v>
      </c>
      <c r="W591" s="620">
        <v>0</v>
      </c>
    </row>
    <row r="592" spans="1:23" x14ac:dyDescent="0.25">
      <c r="A592" s="620" t="s">
        <v>2315</v>
      </c>
      <c r="B592" s="620" t="s">
        <v>2316</v>
      </c>
      <c r="C592" s="620">
        <v>0</v>
      </c>
      <c r="D592" s="620">
        <v>0</v>
      </c>
      <c r="E592" s="620">
        <v>0</v>
      </c>
      <c r="F592" s="620">
        <v>500</v>
      </c>
      <c r="G592" s="620">
        <v>0</v>
      </c>
      <c r="H592" s="620">
        <v>500</v>
      </c>
      <c r="I592" s="620">
        <v>0</v>
      </c>
      <c r="J592" s="620">
        <v>0</v>
      </c>
      <c r="K592" s="620">
        <v>500</v>
      </c>
      <c r="L592" s="620">
        <v>0</v>
      </c>
      <c r="M592" s="620">
        <v>0</v>
      </c>
      <c r="N592" s="620">
        <v>0</v>
      </c>
      <c r="O592" s="620">
        <v>0</v>
      </c>
      <c r="R592" s="620">
        <v>1</v>
      </c>
      <c r="S592" s="620">
        <v>5</v>
      </c>
      <c r="T592" s="620">
        <v>30</v>
      </c>
      <c r="U592" s="620">
        <v>0</v>
      </c>
      <c r="V592" s="620">
        <v>0</v>
      </c>
      <c r="W592" s="620">
        <v>0</v>
      </c>
    </row>
    <row r="593" spans="1:23" x14ac:dyDescent="0.25">
      <c r="A593" s="620" t="s">
        <v>2317</v>
      </c>
      <c r="B593" s="620" t="s">
        <v>2318</v>
      </c>
      <c r="C593" s="620">
        <v>185</v>
      </c>
      <c r="D593" s="620">
        <v>935942</v>
      </c>
      <c r="E593" s="620">
        <v>2485615670</v>
      </c>
      <c r="F593" s="620">
        <v>2644</v>
      </c>
      <c r="G593" s="620">
        <v>2700</v>
      </c>
      <c r="H593" s="620">
        <v>2650</v>
      </c>
      <c r="I593" s="620">
        <v>6</v>
      </c>
      <c r="J593" s="620">
        <v>0.23</v>
      </c>
      <c r="K593" s="620">
        <v>2656</v>
      </c>
      <c r="L593" s="620">
        <v>12</v>
      </c>
      <c r="M593" s="620">
        <v>0.45</v>
      </c>
      <c r="N593" s="620">
        <v>2620</v>
      </c>
      <c r="O593" s="620">
        <v>2702</v>
      </c>
      <c r="P593" s="620" t="s">
        <v>2319</v>
      </c>
      <c r="Q593" s="620" t="s">
        <v>2320</v>
      </c>
      <c r="R593" s="620">
        <v>1</v>
      </c>
      <c r="S593" s="620">
        <v>3000</v>
      </c>
      <c r="T593" s="620">
        <v>2641</v>
      </c>
      <c r="U593" s="620">
        <v>2656</v>
      </c>
      <c r="V593" s="620">
        <v>5000</v>
      </c>
      <c r="W593" s="620">
        <v>1</v>
      </c>
    </row>
    <row r="594" spans="1:23" x14ac:dyDescent="0.25">
      <c r="A594" s="620" t="s">
        <v>2321</v>
      </c>
      <c r="B594" s="620" t="s">
        <v>2322</v>
      </c>
      <c r="C594" s="620">
        <v>0</v>
      </c>
      <c r="D594" s="620">
        <v>0</v>
      </c>
      <c r="E594" s="620">
        <v>0</v>
      </c>
      <c r="F594" s="620">
        <v>1002500</v>
      </c>
      <c r="G594" s="620">
        <v>0</v>
      </c>
      <c r="H594" s="620">
        <v>1002500</v>
      </c>
      <c r="I594" s="620">
        <v>0</v>
      </c>
      <c r="J594" s="620">
        <v>0</v>
      </c>
      <c r="K594" s="620">
        <v>1002500</v>
      </c>
      <c r="L594" s="620">
        <v>0</v>
      </c>
      <c r="M594" s="620">
        <v>0</v>
      </c>
      <c r="N594" s="620">
        <v>0</v>
      </c>
      <c r="O594" s="620">
        <v>0</v>
      </c>
      <c r="R594" s="620">
        <v>1</v>
      </c>
      <c r="S594" s="620">
        <v>400</v>
      </c>
      <c r="T594" s="620">
        <v>1003002</v>
      </c>
      <c r="U594" s="620">
        <v>1019899</v>
      </c>
      <c r="V594" s="620">
        <v>1070</v>
      </c>
      <c r="W594" s="620">
        <v>3</v>
      </c>
    </row>
    <row r="595" spans="1:23" x14ac:dyDescent="0.25">
      <c r="A595" s="620" t="s">
        <v>2323</v>
      </c>
      <c r="B595" s="620" t="s">
        <v>2324</v>
      </c>
      <c r="C595" s="620">
        <v>161</v>
      </c>
      <c r="D595" s="620">
        <v>217914</v>
      </c>
      <c r="E595" s="620">
        <v>9044649261</v>
      </c>
      <c r="F595" s="620">
        <v>40987</v>
      </c>
      <c r="G595" s="620">
        <v>41500</v>
      </c>
      <c r="H595" s="620">
        <v>40504</v>
      </c>
      <c r="I595" s="620">
        <v>-483</v>
      </c>
      <c r="J595" s="620">
        <v>-1.18</v>
      </c>
      <c r="K595" s="620">
        <v>41506</v>
      </c>
      <c r="L595" s="620">
        <v>519</v>
      </c>
      <c r="M595" s="620">
        <v>1.27</v>
      </c>
      <c r="N595" s="620">
        <v>40500</v>
      </c>
      <c r="O595" s="620">
        <v>42494</v>
      </c>
      <c r="P595" s="620" t="s">
        <v>2325</v>
      </c>
      <c r="Q595" s="620" t="s">
        <v>2326</v>
      </c>
      <c r="R595" s="620">
        <v>1</v>
      </c>
      <c r="S595" s="620">
        <v>25</v>
      </c>
      <c r="T595" s="620">
        <v>40505</v>
      </c>
      <c r="U595" s="620">
        <v>41000</v>
      </c>
      <c r="V595" s="620">
        <v>2698</v>
      </c>
      <c r="W595" s="620">
        <v>1</v>
      </c>
    </row>
    <row r="596" spans="1:23" x14ac:dyDescent="0.25">
      <c r="A596" s="620" t="s">
        <v>2327</v>
      </c>
      <c r="B596" s="620" t="s">
        <v>2328</v>
      </c>
      <c r="C596" s="620">
        <v>206</v>
      </c>
      <c r="D596" s="620">
        <v>146575</v>
      </c>
      <c r="E596" s="620">
        <v>15146143920</v>
      </c>
      <c r="F596" s="620">
        <v>102991</v>
      </c>
      <c r="G596" s="620">
        <v>99902</v>
      </c>
      <c r="H596" s="620">
        <v>106080</v>
      </c>
      <c r="I596" s="620">
        <v>3089</v>
      </c>
      <c r="J596" s="620">
        <v>3</v>
      </c>
      <c r="K596" s="620">
        <v>103334</v>
      </c>
      <c r="L596" s="620">
        <v>343</v>
      </c>
      <c r="M596" s="620">
        <v>0.33</v>
      </c>
      <c r="N596" s="620">
        <v>99902</v>
      </c>
      <c r="O596" s="620">
        <v>106080</v>
      </c>
      <c r="P596" s="620" t="s">
        <v>2329</v>
      </c>
      <c r="Q596" s="620" t="s">
        <v>2330</v>
      </c>
      <c r="R596" s="620">
        <v>1</v>
      </c>
      <c r="S596" s="620">
        <v>300</v>
      </c>
      <c r="T596" s="620">
        <v>100560</v>
      </c>
      <c r="U596" s="620">
        <v>0</v>
      </c>
      <c r="V596" s="620">
        <v>0</v>
      </c>
      <c r="W596" s="620">
        <v>0</v>
      </c>
    </row>
    <row r="597" spans="1:23" x14ac:dyDescent="0.25">
      <c r="A597" s="620" t="s">
        <v>2331</v>
      </c>
      <c r="B597" s="620" t="s">
        <v>2332</v>
      </c>
      <c r="C597" s="620">
        <v>91</v>
      </c>
      <c r="D597" s="620">
        <v>240223</v>
      </c>
      <c r="E597" s="620">
        <v>3412904609</v>
      </c>
      <c r="F597" s="620">
        <v>13886</v>
      </c>
      <c r="G597" s="620">
        <v>13470</v>
      </c>
      <c r="H597" s="620">
        <v>14302</v>
      </c>
      <c r="I597" s="620">
        <v>416</v>
      </c>
      <c r="J597" s="620">
        <v>3</v>
      </c>
      <c r="K597" s="620">
        <v>14207</v>
      </c>
      <c r="L597" s="620">
        <v>321</v>
      </c>
      <c r="M597" s="620">
        <v>2.31</v>
      </c>
      <c r="N597" s="620">
        <v>13470</v>
      </c>
      <c r="O597" s="620">
        <v>14302</v>
      </c>
      <c r="P597" s="620" t="s">
        <v>1555</v>
      </c>
      <c r="Q597" s="620" t="s">
        <v>2333</v>
      </c>
      <c r="R597" s="620">
        <v>10</v>
      </c>
      <c r="S597" s="620">
        <v>58584</v>
      </c>
      <c r="T597" s="620">
        <v>14302</v>
      </c>
      <c r="U597" s="620">
        <v>0</v>
      </c>
      <c r="V597" s="620">
        <v>0</v>
      </c>
      <c r="W597" s="620">
        <v>0</v>
      </c>
    </row>
    <row r="598" spans="1:23" x14ac:dyDescent="0.25">
      <c r="A598" s="620" t="s">
        <v>2334</v>
      </c>
      <c r="B598" s="620" t="s">
        <v>2335</v>
      </c>
      <c r="C598" s="620">
        <v>18</v>
      </c>
      <c r="D598" s="620">
        <v>18211</v>
      </c>
      <c r="E598" s="620">
        <v>15663300559</v>
      </c>
      <c r="F598" s="620">
        <v>857909</v>
      </c>
      <c r="G598" s="620">
        <v>857201</v>
      </c>
      <c r="H598" s="620">
        <v>860001</v>
      </c>
      <c r="I598" s="620">
        <v>2092</v>
      </c>
      <c r="J598" s="620">
        <v>0.24</v>
      </c>
      <c r="K598" s="620">
        <v>860101</v>
      </c>
      <c r="L598" s="620">
        <v>2192</v>
      </c>
      <c r="M598" s="620">
        <v>0.26</v>
      </c>
      <c r="N598" s="620">
        <v>856503</v>
      </c>
      <c r="O598" s="620">
        <v>862499</v>
      </c>
      <c r="R598" s="620">
        <v>0</v>
      </c>
      <c r="S598" s="620">
        <v>0</v>
      </c>
      <c r="T598" s="620">
        <v>0</v>
      </c>
      <c r="U598" s="620">
        <v>861489</v>
      </c>
      <c r="V598" s="620">
        <v>199</v>
      </c>
      <c r="W598" s="620">
        <v>1</v>
      </c>
    </row>
    <row r="599" spans="1:23" x14ac:dyDescent="0.25">
      <c r="A599" s="620" t="s">
        <v>2336</v>
      </c>
      <c r="B599" s="620" t="s">
        <v>2337</v>
      </c>
      <c r="C599" s="620">
        <v>44</v>
      </c>
      <c r="D599" s="620">
        <v>231032</v>
      </c>
      <c r="E599" s="620">
        <v>1832083760</v>
      </c>
      <c r="F599" s="620">
        <v>8347</v>
      </c>
      <c r="G599" s="620">
        <v>7930</v>
      </c>
      <c r="H599" s="620">
        <v>7930</v>
      </c>
      <c r="I599" s="620">
        <v>-417</v>
      </c>
      <c r="J599" s="620">
        <v>-5</v>
      </c>
      <c r="K599" s="620">
        <v>8003</v>
      </c>
      <c r="L599" s="620">
        <v>-344</v>
      </c>
      <c r="M599" s="620">
        <v>-4.12</v>
      </c>
      <c r="N599" s="620">
        <v>7930</v>
      </c>
      <c r="O599" s="620">
        <v>7930</v>
      </c>
      <c r="P599" s="620" t="s">
        <v>1387</v>
      </c>
      <c r="Q599" s="620" t="s">
        <v>2338</v>
      </c>
      <c r="R599" s="620">
        <v>0</v>
      </c>
      <c r="S599" s="620">
        <v>0</v>
      </c>
      <c r="T599" s="620">
        <v>0</v>
      </c>
      <c r="U599" s="620">
        <v>7930</v>
      </c>
      <c r="V599" s="620">
        <v>293289</v>
      </c>
      <c r="W599" s="620">
        <v>51</v>
      </c>
    </row>
    <row r="600" spans="1:23" x14ac:dyDescent="0.25">
      <c r="A600" s="620" t="s">
        <v>2339</v>
      </c>
      <c r="B600" s="620" t="s">
        <v>2340</v>
      </c>
      <c r="C600" s="620">
        <v>0</v>
      </c>
      <c r="D600" s="620">
        <v>0</v>
      </c>
      <c r="E600" s="620">
        <v>0</v>
      </c>
      <c r="F600" s="620">
        <v>1</v>
      </c>
      <c r="G600" s="620">
        <v>0</v>
      </c>
      <c r="H600" s="620">
        <v>1</v>
      </c>
      <c r="I600" s="620">
        <v>0</v>
      </c>
      <c r="J600" s="620">
        <v>0</v>
      </c>
      <c r="K600" s="620">
        <v>1</v>
      </c>
      <c r="L600" s="620">
        <v>0</v>
      </c>
      <c r="M600" s="620">
        <v>0</v>
      </c>
      <c r="N600" s="620">
        <v>0</v>
      </c>
      <c r="O600" s="620">
        <v>0</v>
      </c>
      <c r="R600" s="620">
        <v>5</v>
      </c>
      <c r="S600" s="620">
        <v>500</v>
      </c>
      <c r="T600" s="620">
        <v>1</v>
      </c>
      <c r="U600" s="620">
        <v>0</v>
      </c>
      <c r="V600" s="620">
        <v>0</v>
      </c>
      <c r="W600" s="620">
        <v>0</v>
      </c>
    </row>
    <row r="601" spans="1:23" x14ac:dyDescent="0.25">
      <c r="A601" s="620" t="s">
        <v>2341</v>
      </c>
      <c r="B601" s="620" t="s">
        <v>2342</v>
      </c>
      <c r="C601" s="620">
        <v>0</v>
      </c>
      <c r="D601" s="620">
        <v>0</v>
      </c>
      <c r="E601" s="620">
        <v>0</v>
      </c>
      <c r="F601" s="620">
        <v>1000</v>
      </c>
      <c r="G601" s="620">
        <v>0</v>
      </c>
      <c r="H601" s="620">
        <v>1000</v>
      </c>
      <c r="I601" s="620">
        <v>0</v>
      </c>
      <c r="J601" s="620">
        <v>0</v>
      </c>
      <c r="K601" s="620">
        <v>1000</v>
      </c>
      <c r="L601" s="620">
        <v>0</v>
      </c>
      <c r="M601" s="620">
        <v>0</v>
      </c>
      <c r="N601" s="620">
        <v>0</v>
      </c>
      <c r="O601" s="620">
        <v>0</v>
      </c>
      <c r="R601" s="620">
        <v>1</v>
      </c>
      <c r="S601" s="620">
        <v>100</v>
      </c>
      <c r="T601" s="620">
        <v>2</v>
      </c>
      <c r="U601" s="620">
        <v>0</v>
      </c>
      <c r="V601" s="620">
        <v>0</v>
      </c>
      <c r="W601" s="620">
        <v>0</v>
      </c>
    </row>
    <row r="602" spans="1:23" x14ac:dyDescent="0.25">
      <c r="A602" s="620" t="s">
        <v>2343</v>
      </c>
      <c r="B602" s="620" t="s">
        <v>2344</v>
      </c>
      <c r="C602" s="620">
        <v>180</v>
      </c>
      <c r="D602" s="620">
        <v>172350</v>
      </c>
      <c r="E602" s="620">
        <v>5075465713</v>
      </c>
      <c r="F602" s="620">
        <v>30848</v>
      </c>
      <c r="G602" s="620">
        <v>31350</v>
      </c>
      <c r="H602" s="620">
        <v>29306</v>
      </c>
      <c r="I602" s="620">
        <v>-1542</v>
      </c>
      <c r="J602" s="620">
        <v>-5</v>
      </c>
      <c r="K602" s="620">
        <v>29449</v>
      </c>
      <c r="L602" s="620">
        <v>-1399</v>
      </c>
      <c r="M602" s="620">
        <v>-4.54</v>
      </c>
      <c r="N602" s="620">
        <v>29306</v>
      </c>
      <c r="O602" s="620">
        <v>31350</v>
      </c>
      <c r="P602" s="620" t="s">
        <v>2345</v>
      </c>
      <c r="Q602" s="620" t="s">
        <v>2346</v>
      </c>
      <c r="R602" s="620">
        <v>1</v>
      </c>
      <c r="S602" s="620">
        <v>200</v>
      </c>
      <c r="T602" s="620">
        <v>28792</v>
      </c>
      <c r="U602" s="620">
        <v>29306</v>
      </c>
      <c r="V602" s="620">
        <v>220649</v>
      </c>
      <c r="W602" s="620">
        <v>16</v>
      </c>
    </row>
    <row r="603" spans="1:23" x14ac:dyDescent="0.25">
      <c r="A603" s="620" t="s">
        <v>2347</v>
      </c>
      <c r="B603" s="620" t="s">
        <v>2348</v>
      </c>
      <c r="C603" s="620">
        <v>0</v>
      </c>
      <c r="D603" s="620">
        <v>0</v>
      </c>
      <c r="E603" s="620">
        <v>0</v>
      </c>
      <c r="F603" s="620">
        <v>330</v>
      </c>
      <c r="G603" s="620">
        <v>0</v>
      </c>
      <c r="H603" s="620">
        <v>330</v>
      </c>
      <c r="I603" s="620">
        <v>0</v>
      </c>
      <c r="J603" s="620">
        <v>0</v>
      </c>
      <c r="K603" s="620">
        <v>330</v>
      </c>
      <c r="L603" s="620">
        <v>0</v>
      </c>
      <c r="M603" s="620">
        <v>0</v>
      </c>
      <c r="N603" s="620">
        <v>0</v>
      </c>
      <c r="O603" s="620">
        <v>0</v>
      </c>
      <c r="R603" s="620">
        <v>0</v>
      </c>
      <c r="S603" s="620">
        <v>0</v>
      </c>
      <c r="T603" s="620">
        <v>0</v>
      </c>
      <c r="U603" s="620">
        <v>60</v>
      </c>
      <c r="V603" s="620">
        <v>20</v>
      </c>
      <c r="W603" s="620">
        <v>1</v>
      </c>
    </row>
    <row r="604" spans="1:23" x14ac:dyDescent="0.25">
      <c r="A604" s="620" t="s">
        <v>2349</v>
      </c>
      <c r="B604" s="620" t="s">
        <v>2350</v>
      </c>
      <c r="C604" s="620">
        <v>483</v>
      </c>
      <c r="D604" s="620">
        <v>998472</v>
      </c>
      <c r="E604" s="620">
        <v>15415156638</v>
      </c>
      <c r="F604" s="620">
        <v>15606</v>
      </c>
      <c r="G604" s="620">
        <v>15111</v>
      </c>
      <c r="H604" s="620">
        <v>15899</v>
      </c>
      <c r="I604" s="620">
        <v>293</v>
      </c>
      <c r="J604" s="620">
        <v>1.88</v>
      </c>
      <c r="K604" s="620">
        <v>15439</v>
      </c>
      <c r="L604" s="620">
        <v>-167</v>
      </c>
      <c r="M604" s="620">
        <v>-1.07</v>
      </c>
      <c r="N604" s="620">
        <v>14906</v>
      </c>
      <c r="O604" s="620">
        <v>16199</v>
      </c>
      <c r="P604" s="620" t="s">
        <v>2351</v>
      </c>
      <c r="Q604" s="620" t="s">
        <v>2352</v>
      </c>
      <c r="R604" s="620">
        <v>1</v>
      </c>
      <c r="S604" s="620">
        <v>80</v>
      </c>
      <c r="T604" s="620">
        <v>15700</v>
      </c>
      <c r="U604" s="620">
        <v>15899</v>
      </c>
      <c r="V604" s="620">
        <v>3137</v>
      </c>
      <c r="W604" s="620">
        <v>1</v>
      </c>
    </row>
    <row r="605" spans="1:23" x14ac:dyDescent="0.25">
      <c r="A605" s="620" t="s">
        <v>2353</v>
      </c>
      <c r="B605" s="620" t="s">
        <v>2138</v>
      </c>
      <c r="C605" s="620">
        <v>1</v>
      </c>
      <c r="D605" s="620">
        <v>3</v>
      </c>
      <c r="E605" s="620">
        <v>30</v>
      </c>
      <c r="F605" s="620">
        <v>379890</v>
      </c>
      <c r="G605" s="620">
        <v>10</v>
      </c>
      <c r="H605" s="620">
        <v>10</v>
      </c>
      <c r="I605" s="620">
        <v>-379880</v>
      </c>
      <c r="J605" s="620">
        <v>-100</v>
      </c>
      <c r="K605" s="620">
        <v>10</v>
      </c>
      <c r="L605" s="620">
        <v>-379880</v>
      </c>
      <c r="M605" s="620">
        <v>-100</v>
      </c>
      <c r="N605" s="620">
        <v>10</v>
      </c>
      <c r="O605" s="620">
        <v>10</v>
      </c>
      <c r="R605" s="620">
        <v>0</v>
      </c>
      <c r="S605" s="620">
        <v>0</v>
      </c>
      <c r="T605" s="620">
        <v>0</v>
      </c>
      <c r="U605" s="620">
        <v>0</v>
      </c>
      <c r="V605" s="620">
        <v>0</v>
      </c>
      <c r="W605" s="620">
        <v>0</v>
      </c>
    </row>
    <row r="606" spans="1:23" x14ac:dyDescent="0.25">
      <c r="A606" s="620" t="s">
        <v>2354</v>
      </c>
      <c r="B606" s="620" t="s">
        <v>2355</v>
      </c>
      <c r="C606" s="620">
        <v>17</v>
      </c>
      <c r="D606" s="620">
        <v>3139</v>
      </c>
      <c r="E606" s="620">
        <v>2614952908</v>
      </c>
      <c r="F606" s="620">
        <v>860647</v>
      </c>
      <c r="G606" s="620">
        <v>860000</v>
      </c>
      <c r="H606" s="620">
        <v>864443</v>
      </c>
      <c r="I606" s="620">
        <v>3796</v>
      </c>
      <c r="J606" s="620">
        <v>0.44</v>
      </c>
      <c r="K606" s="620">
        <v>833053</v>
      </c>
      <c r="L606" s="620">
        <v>-27594</v>
      </c>
      <c r="M606" s="620">
        <v>-3.21</v>
      </c>
      <c r="N606" s="620">
        <v>825000</v>
      </c>
      <c r="O606" s="620">
        <v>888887</v>
      </c>
      <c r="R606" s="620">
        <v>1</v>
      </c>
      <c r="S606" s="620">
        <v>33</v>
      </c>
      <c r="T606" s="620">
        <v>850100</v>
      </c>
      <c r="U606" s="620">
        <v>864443</v>
      </c>
      <c r="V606" s="620">
        <v>25</v>
      </c>
      <c r="W606" s="620">
        <v>1</v>
      </c>
    </row>
    <row r="607" spans="1:23" x14ac:dyDescent="0.25">
      <c r="A607" s="620" t="s">
        <v>2356</v>
      </c>
      <c r="B607" s="620" t="s">
        <v>2357</v>
      </c>
      <c r="C607" s="620">
        <v>62</v>
      </c>
      <c r="D607" s="620">
        <v>137099</v>
      </c>
      <c r="E607" s="620">
        <v>1290512887</v>
      </c>
      <c r="F607" s="620">
        <v>9908</v>
      </c>
      <c r="G607" s="620">
        <v>9413</v>
      </c>
      <c r="H607" s="620">
        <v>9413</v>
      </c>
      <c r="I607" s="620">
        <v>-495</v>
      </c>
      <c r="J607" s="620">
        <v>-5</v>
      </c>
      <c r="K607" s="620">
        <v>9550</v>
      </c>
      <c r="L607" s="620">
        <v>-358</v>
      </c>
      <c r="M607" s="620">
        <v>-3.61</v>
      </c>
      <c r="N607" s="620">
        <v>9413</v>
      </c>
      <c r="O607" s="620">
        <v>9413</v>
      </c>
      <c r="P607" s="620" t="s">
        <v>2358</v>
      </c>
      <c r="Q607" s="620" t="s">
        <v>2359</v>
      </c>
      <c r="R607" s="620">
        <v>1</v>
      </c>
      <c r="S607" s="620">
        <v>300</v>
      </c>
      <c r="T607" s="620">
        <v>4720</v>
      </c>
      <c r="U607" s="620">
        <v>9413</v>
      </c>
      <c r="V607" s="620">
        <v>1564985</v>
      </c>
      <c r="W607" s="620">
        <v>159</v>
      </c>
    </row>
    <row r="608" spans="1:23" x14ac:dyDescent="0.25">
      <c r="A608" s="620" t="s">
        <v>2360</v>
      </c>
      <c r="B608" s="620" t="s">
        <v>2361</v>
      </c>
      <c r="C608" s="620">
        <v>2</v>
      </c>
      <c r="D608" s="620">
        <v>128</v>
      </c>
      <c r="E608" s="620">
        <v>377900000</v>
      </c>
      <c r="F608" s="620">
        <v>2508</v>
      </c>
      <c r="G608" s="620">
        <v>2950</v>
      </c>
      <c r="H608" s="620">
        <v>2960</v>
      </c>
      <c r="I608" s="620">
        <v>452</v>
      </c>
      <c r="J608" s="620">
        <v>18.02</v>
      </c>
      <c r="K608" s="620">
        <v>2952</v>
      </c>
      <c r="L608" s="620">
        <v>444</v>
      </c>
      <c r="M608" s="620">
        <v>17.7</v>
      </c>
      <c r="N608" s="620">
        <v>2950</v>
      </c>
      <c r="O608" s="620">
        <v>2960</v>
      </c>
      <c r="R608" s="620">
        <v>1</v>
      </c>
      <c r="S608" s="620">
        <v>10</v>
      </c>
      <c r="T608" s="620">
        <v>1000</v>
      </c>
      <c r="U608" s="620">
        <v>3359</v>
      </c>
      <c r="V608" s="620">
        <v>5</v>
      </c>
      <c r="W608" s="620">
        <v>2</v>
      </c>
    </row>
    <row r="609" spans="1:23" x14ac:dyDescent="0.25">
      <c r="A609" s="620" t="s">
        <v>2362</v>
      </c>
      <c r="B609" s="620" t="s">
        <v>2363</v>
      </c>
      <c r="C609" s="620">
        <v>15</v>
      </c>
      <c r="D609" s="620">
        <v>69753</v>
      </c>
      <c r="E609" s="620">
        <v>239950320</v>
      </c>
      <c r="F609" s="620">
        <v>3510</v>
      </c>
      <c r="G609" s="620">
        <v>3440</v>
      </c>
      <c r="H609" s="620">
        <v>3440</v>
      </c>
      <c r="I609" s="620">
        <v>-70</v>
      </c>
      <c r="J609" s="620">
        <v>-1.99</v>
      </c>
      <c r="K609" s="620">
        <v>3440</v>
      </c>
      <c r="L609" s="620">
        <v>-70</v>
      </c>
      <c r="M609" s="620">
        <v>-1.99</v>
      </c>
      <c r="N609" s="620">
        <v>3440</v>
      </c>
      <c r="O609" s="620">
        <v>3440</v>
      </c>
      <c r="R609" s="620">
        <v>0</v>
      </c>
      <c r="S609" s="620">
        <v>0</v>
      </c>
      <c r="T609" s="620">
        <v>0</v>
      </c>
      <c r="U609" s="620">
        <v>3440</v>
      </c>
      <c r="V609" s="620">
        <v>929828</v>
      </c>
      <c r="W609" s="620">
        <v>41</v>
      </c>
    </row>
    <row r="610" spans="1:23" x14ac:dyDescent="0.25">
      <c r="A610" s="620" t="s">
        <v>2364</v>
      </c>
      <c r="B610" s="620" t="s">
        <v>2365</v>
      </c>
      <c r="C610" s="620">
        <v>0</v>
      </c>
      <c r="D610" s="620">
        <v>0</v>
      </c>
      <c r="E610" s="620">
        <v>0</v>
      </c>
      <c r="F610" s="620">
        <v>1</v>
      </c>
      <c r="G610" s="620">
        <v>0</v>
      </c>
      <c r="H610" s="620">
        <v>1</v>
      </c>
      <c r="I610" s="620">
        <v>0</v>
      </c>
      <c r="J610" s="620">
        <v>0</v>
      </c>
      <c r="K610" s="620">
        <v>1</v>
      </c>
      <c r="L610" s="620">
        <v>0</v>
      </c>
      <c r="M610" s="620">
        <v>0</v>
      </c>
      <c r="N610" s="620">
        <v>0</v>
      </c>
      <c r="O610" s="620">
        <v>0</v>
      </c>
      <c r="R610" s="620">
        <v>1</v>
      </c>
      <c r="S610" s="620">
        <v>100</v>
      </c>
      <c r="T610" s="620">
        <v>352</v>
      </c>
      <c r="U610" s="620">
        <v>0</v>
      </c>
      <c r="V610" s="620">
        <v>0</v>
      </c>
      <c r="W610" s="620">
        <v>0</v>
      </c>
    </row>
    <row r="611" spans="1:23" x14ac:dyDescent="0.25">
      <c r="A611" s="620" t="s">
        <v>2366</v>
      </c>
      <c r="B611" s="620" t="s">
        <v>2367</v>
      </c>
      <c r="C611" s="620">
        <v>38</v>
      </c>
      <c r="D611" s="620">
        <v>2329</v>
      </c>
      <c r="E611" s="620">
        <v>54422000</v>
      </c>
      <c r="F611" s="620">
        <v>56</v>
      </c>
      <c r="G611" s="620">
        <v>40</v>
      </c>
      <c r="H611" s="620">
        <v>1</v>
      </c>
      <c r="I611" s="620">
        <v>-55</v>
      </c>
      <c r="J611" s="620">
        <v>-98.21</v>
      </c>
      <c r="K611" s="620">
        <v>23</v>
      </c>
      <c r="L611" s="620">
        <v>-33</v>
      </c>
      <c r="M611" s="620">
        <v>-58.93</v>
      </c>
      <c r="N611" s="620">
        <v>1</v>
      </c>
      <c r="O611" s="620">
        <v>100</v>
      </c>
      <c r="R611" s="620">
        <v>6</v>
      </c>
      <c r="S611" s="620">
        <v>578</v>
      </c>
      <c r="T611" s="620">
        <v>1</v>
      </c>
      <c r="U611" s="620">
        <v>1</v>
      </c>
      <c r="V611" s="620">
        <v>100</v>
      </c>
      <c r="W611" s="620">
        <v>1</v>
      </c>
    </row>
    <row r="612" spans="1:23" x14ac:dyDescent="0.25">
      <c r="A612" s="620" t="s">
        <v>341</v>
      </c>
      <c r="B612" s="620" t="s">
        <v>2368</v>
      </c>
      <c r="C612" s="620">
        <v>386</v>
      </c>
      <c r="D612" s="620">
        <v>1367408</v>
      </c>
      <c r="E612" s="620">
        <v>8975524618</v>
      </c>
      <c r="F612" s="620">
        <v>6495</v>
      </c>
      <c r="G612" s="620">
        <v>6664</v>
      </c>
      <c r="H612" s="620">
        <v>6637</v>
      </c>
      <c r="I612" s="620">
        <v>142</v>
      </c>
      <c r="J612" s="620">
        <v>2.19</v>
      </c>
      <c r="K612" s="620">
        <v>6556</v>
      </c>
      <c r="L612" s="620">
        <v>61</v>
      </c>
      <c r="M612" s="620">
        <v>0.94</v>
      </c>
      <c r="N612" s="620">
        <v>6210</v>
      </c>
      <c r="O612" s="620">
        <v>6680</v>
      </c>
      <c r="P612" s="620" t="s">
        <v>2369</v>
      </c>
      <c r="Q612" s="620" t="s">
        <v>2370</v>
      </c>
      <c r="R612" s="620">
        <v>1</v>
      </c>
      <c r="S612" s="620">
        <v>340</v>
      </c>
      <c r="T612" s="620">
        <v>6614</v>
      </c>
      <c r="U612" s="620">
        <v>6640</v>
      </c>
      <c r="V612" s="620">
        <v>3000</v>
      </c>
      <c r="W612" s="620">
        <v>1</v>
      </c>
    </row>
    <row r="613" spans="1:23" x14ac:dyDescent="0.25">
      <c r="A613" s="620" t="s">
        <v>2371</v>
      </c>
      <c r="B613" s="620" t="s">
        <v>2372</v>
      </c>
      <c r="C613" s="620">
        <v>0</v>
      </c>
      <c r="D613" s="620">
        <v>0</v>
      </c>
      <c r="E613" s="620">
        <v>0</v>
      </c>
      <c r="F613" s="620">
        <v>861033</v>
      </c>
      <c r="G613" s="620">
        <v>0</v>
      </c>
      <c r="H613" s="620">
        <v>860700</v>
      </c>
      <c r="I613" s="620">
        <v>-333</v>
      </c>
      <c r="J613" s="620">
        <v>-0.04</v>
      </c>
      <c r="K613" s="620">
        <v>861033</v>
      </c>
      <c r="L613" s="620">
        <v>0</v>
      </c>
      <c r="M613" s="620">
        <v>0</v>
      </c>
      <c r="N613" s="620">
        <v>0</v>
      </c>
      <c r="O613" s="620">
        <v>0</v>
      </c>
      <c r="R613" s="620">
        <v>1</v>
      </c>
      <c r="S613" s="620">
        <v>10</v>
      </c>
      <c r="T613" s="620">
        <v>880001</v>
      </c>
      <c r="U613" s="620">
        <v>888800</v>
      </c>
      <c r="V613" s="620">
        <v>9750</v>
      </c>
      <c r="W613" s="620">
        <v>1</v>
      </c>
    </row>
    <row r="614" spans="1:23" x14ac:dyDescent="0.25">
      <c r="A614" s="620" t="s">
        <v>2373</v>
      </c>
      <c r="B614" s="620" t="s">
        <v>2374</v>
      </c>
      <c r="C614" s="620">
        <v>3</v>
      </c>
      <c r="D614" s="620">
        <v>116</v>
      </c>
      <c r="E614" s="620">
        <v>264944000</v>
      </c>
      <c r="F614" s="620">
        <v>2100</v>
      </c>
      <c r="G614" s="620">
        <v>2300</v>
      </c>
      <c r="H614" s="620">
        <v>2250</v>
      </c>
      <c r="I614" s="620">
        <v>150</v>
      </c>
      <c r="J614" s="620">
        <v>7.14</v>
      </c>
      <c r="K614" s="620">
        <v>2284</v>
      </c>
      <c r="L614" s="620">
        <v>184</v>
      </c>
      <c r="M614" s="620">
        <v>8.76</v>
      </c>
      <c r="N614" s="620">
        <v>2011</v>
      </c>
      <c r="O614" s="620">
        <v>2300</v>
      </c>
      <c r="R614" s="620">
        <v>1</v>
      </c>
      <c r="S614" s="620">
        <v>45</v>
      </c>
      <c r="T614" s="620">
        <v>2011</v>
      </c>
      <c r="U614" s="620">
        <v>2480</v>
      </c>
      <c r="V614" s="620">
        <v>2</v>
      </c>
      <c r="W614" s="620">
        <v>1</v>
      </c>
    </row>
    <row r="615" spans="1:23" x14ac:dyDescent="0.25">
      <c r="A615" s="620" t="s">
        <v>2375</v>
      </c>
      <c r="B615" s="620" t="s">
        <v>2376</v>
      </c>
      <c r="C615" s="620">
        <v>942</v>
      </c>
      <c r="D615" s="620">
        <v>7620914</v>
      </c>
      <c r="E615" s="620">
        <v>30156135534</v>
      </c>
      <c r="F615" s="620">
        <v>4027</v>
      </c>
      <c r="G615" s="620">
        <v>3901</v>
      </c>
      <c r="H615" s="620">
        <v>3900</v>
      </c>
      <c r="I615" s="620">
        <v>-127</v>
      </c>
      <c r="J615" s="620">
        <v>-3.15</v>
      </c>
      <c r="K615" s="620">
        <v>3957</v>
      </c>
      <c r="L615" s="620">
        <v>-70</v>
      </c>
      <c r="M615" s="620">
        <v>-1.74</v>
      </c>
      <c r="N615" s="620">
        <v>3850</v>
      </c>
      <c r="O615" s="620">
        <v>4130</v>
      </c>
      <c r="P615" s="620" t="s">
        <v>2377</v>
      </c>
      <c r="Q615" s="620" t="s">
        <v>2378</v>
      </c>
      <c r="R615" s="620">
        <v>1</v>
      </c>
      <c r="S615" s="620">
        <v>6000</v>
      </c>
      <c r="T615" s="620">
        <v>3900</v>
      </c>
      <c r="U615" s="620">
        <v>3900</v>
      </c>
      <c r="V615" s="620">
        <v>136797</v>
      </c>
      <c r="W615" s="620">
        <v>6</v>
      </c>
    </row>
    <row r="616" spans="1:23" x14ac:dyDescent="0.25">
      <c r="A616" s="620" t="s">
        <v>2379</v>
      </c>
      <c r="B616" s="620" t="s">
        <v>2380</v>
      </c>
      <c r="C616" s="620">
        <v>0</v>
      </c>
      <c r="D616" s="620">
        <v>0</v>
      </c>
      <c r="E616" s="620">
        <v>0</v>
      </c>
      <c r="F616" s="620">
        <v>21218</v>
      </c>
      <c r="G616" s="620">
        <v>22278</v>
      </c>
      <c r="H616" s="620">
        <v>21218</v>
      </c>
      <c r="I616" s="620">
        <v>0</v>
      </c>
      <c r="J616" s="620">
        <v>0</v>
      </c>
      <c r="K616" s="620">
        <v>21218</v>
      </c>
      <c r="L616" s="620">
        <v>0</v>
      </c>
      <c r="M616" s="620">
        <v>0</v>
      </c>
      <c r="N616" s="620">
        <v>22278</v>
      </c>
      <c r="O616" s="620">
        <v>22278</v>
      </c>
      <c r="P616" s="620" t="s">
        <v>2381</v>
      </c>
      <c r="Q616" s="620" t="s">
        <v>1714</v>
      </c>
      <c r="R616" s="620">
        <v>29</v>
      </c>
      <c r="S616" s="620">
        <v>96644</v>
      </c>
      <c r="T616" s="620">
        <v>22278</v>
      </c>
      <c r="U616" s="620">
        <v>0</v>
      </c>
      <c r="V616" s="620">
        <v>0</v>
      </c>
      <c r="W616" s="620">
        <v>0</v>
      </c>
    </row>
    <row r="617" spans="1:23" x14ac:dyDescent="0.25">
      <c r="A617" s="620" t="s">
        <v>2382</v>
      </c>
      <c r="B617" s="620" t="s">
        <v>2383</v>
      </c>
      <c r="C617" s="620">
        <v>131</v>
      </c>
      <c r="D617" s="620">
        <v>207472</v>
      </c>
      <c r="E617" s="620">
        <v>1569982886</v>
      </c>
      <c r="F617" s="620">
        <v>7662</v>
      </c>
      <c r="G617" s="620">
        <v>7300</v>
      </c>
      <c r="H617" s="620">
        <v>7700</v>
      </c>
      <c r="I617" s="620">
        <v>38</v>
      </c>
      <c r="J617" s="620">
        <v>0.5</v>
      </c>
      <c r="K617" s="620">
        <v>7567</v>
      </c>
      <c r="L617" s="620">
        <v>-95</v>
      </c>
      <c r="M617" s="620">
        <v>-1.24</v>
      </c>
      <c r="N617" s="620">
        <v>7300</v>
      </c>
      <c r="O617" s="620">
        <v>7950</v>
      </c>
      <c r="P617" s="620" t="s">
        <v>1868</v>
      </c>
      <c r="Q617" s="620" t="s">
        <v>2384</v>
      </c>
      <c r="R617" s="620">
        <v>1</v>
      </c>
      <c r="S617" s="620">
        <v>1000</v>
      </c>
      <c r="T617" s="620">
        <v>7502</v>
      </c>
      <c r="U617" s="620">
        <v>7723</v>
      </c>
      <c r="V617" s="620">
        <v>3000</v>
      </c>
      <c r="W617" s="620">
        <v>1</v>
      </c>
    </row>
    <row r="618" spans="1:23" x14ac:dyDescent="0.25">
      <c r="A618" s="620" t="s">
        <v>348</v>
      </c>
      <c r="B618" s="620" t="s">
        <v>2385</v>
      </c>
      <c r="C618" s="620">
        <v>131</v>
      </c>
      <c r="D618" s="620">
        <v>331425</v>
      </c>
      <c r="E618" s="620">
        <v>4575439597</v>
      </c>
      <c r="F618" s="620">
        <v>13794</v>
      </c>
      <c r="G618" s="620">
        <v>13800</v>
      </c>
      <c r="H618" s="620">
        <v>13120</v>
      </c>
      <c r="I618" s="620">
        <v>-674</v>
      </c>
      <c r="J618" s="620">
        <v>-4.8899999999999997</v>
      </c>
      <c r="K618" s="620">
        <v>13805</v>
      </c>
      <c r="L618" s="620">
        <v>11</v>
      </c>
      <c r="M618" s="620">
        <v>0.08</v>
      </c>
      <c r="N618" s="620">
        <v>13120</v>
      </c>
      <c r="O618" s="620">
        <v>14070</v>
      </c>
      <c r="P618" s="620" t="s">
        <v>2386</v>
      </c>
      <c r="Q618" s="620" t="s">
        <v>2387</v>
      </c>
      <c r="R618" s="620">
        <v>1</v>
      </c>
      <c r="S618" s="620">
        <v>3000</v>
      </c>
      <c r="T618" s="620">
        <v>13121</v>
      </c>
      <c r="U618" s="620">
        <v>13501</v>
      </c>
      <c r="V618" s="620">
        <v>32583</v>
      </c>
      <c r="W618" s="620">
        <v>1</v>
      </c>
    </row>
    <row r="619" spans="1:23" x14ac:dyDescent="0.25">
      <c r="A619" s="620" t="s">
        <v>2388</v>
      </c>
      <c r="B619" s="620" t="s">
        <v>2389</v>
      </c>
      <c r="C619" s="620">
        <v>0</v>
      </c>
      <c r="D619" s="620">
        <v>0</v>
      </c>
      <c r="E619" s="620">
        <v>0</v>
      </c>
      <c r="F619" s="620">
        <v>1022300</v>
      </c>
      <c r="G619" s="620">
        <v>0</v>
      </c>
      <c r="H619" s="620">
        <v>1022600</v>
      </c>
      <c r="I619" s="620">
        <v>300</v>
      </c>
      <c r="J619" s="620">
        <v>0.03</v>
      </c>
      <c r="K619" s="620">
        <v>1022300</v>
      </c>
      <c r="L619" s="620">
        <v>0</v>
      </c>
      <c r="M619" s="620">
        <v>0</v>
      </c>
      <c r="N619" s="620">
        <v>0</v>
      </c>
      <c r="O619" s="620">
        <v>0</v>
      </c>
      <c r="R619" s="620">
        <v>2</v>
      </c>
      <c r="S619" s="620">
        <v>12500</v>
      </c>
      <c r="T619" s="620">
        <v>1022300</v>
      </c>
      <c r="U619" s="620">
        <v>1042746</v>
      </c>
      <c r="V619" s="620">
        <v>12500</v>
      </c>
      <c r="W619" s="620">
        <v>2</v>
      </c>
    </row>
    <row r="620" spans="1:23" x14ac:dyDescent="0.25">
      <c r="A620" s="620" t="s">
        <v>2390</v>
      </c>
      <c r="B620" s="620" t="s">
        <v>2391</v>
      </c>
      <c r="C620" s="620">
        <v>0</v>
      </c>
      <c r="D620" s="620">
        <v>0</v>
      </c>
      <c r="E620" s="620">
        <v>0</v>
      </c>
      <c r="F620" s="620">
        <v>125</v>
      </c>
      <c r="G620" s="620">
        <v>0</v>
      </c>
      <c r="H620" s="620">
        <v>100</v>
      </c>
      <c r="I620" s="620">
        <v>-25</v>
      </c>
      <c r="J620" s="620">
        <v>-20</v>
      </c>
      <c r="K620" s="620">
        <v>125</v>
      </c>
      <c r="L620" s="620">
        <v>0</v>
      </c>
      <c r="M620" s="620">
        <v>0</v>
      </c>
      <c r="N620" s="620">
        <v>0</v>
      </c>
      <c r="O620" s="620">
        <v>0</v>
      </c>
      <c r="R620" s="620">
        <v>1</v>
      </c>
      <c r="S620" s="620">
        <v>1</v>
      </c>
      <c r="T620" s="620">
        <v>1</v>
      </c>
      <c r="U620" s="620">
        <v>300</v>
      </c>
      <c r="V620" s="620">
        <v>50</v>
      </c>
      <c r="W620" s="620">
        <v>1</v>
      </c>
    </row>
    <row r="621" spans="1:23" x14ac:dyDescent="0.25">
      <c r="A621" s="620" t="s">
        <v>2392</v>
      </c>
      <c r="B621" s="620" t="s">
        <v>2393</v>
      </c>
      <c r="C621" s="620">
        <v>6521</v>
      </c>
      <c r="D621" s="620">
        <v>114398216</v>
      </c>
      <c r="E621" s="620">
        <v>132160024809</v>
      </c>
      <c r="F621" s="620">
        <v>1171</v>
      </c>
      <c r="G621" s="620">
        <v>1189</v>
      </c>
      <c r="H621" s="620">
        <v>1150</v>
      </c>
      <c r="I621" s="620">
        <v>-21</v>
      </c>
      <c r="J621" s="620">
        <v>-1.79</v>
      </c>
      <c r="K621" s="620">
        <v>1155</v>
      </c>
      <c r="L621" s="620">
        <v>-16</v>
      </c>
      <c r="M621" s="620">
        <v>-1.37</v>
      </c>
      <c r="N621" s="620">
        <v>1148</v>
      </c>
      <c r="O621" s="620">
        <v>1189</v>
      </c>
      <c r="P621" s="620" t="s">
        <v>2394</v>
      </c>
      <c r="Q621" s="620" t="s">
        <v>2395</v>
      </c>
      <c r="R621" s="620">
        <v>2</v>
      </c>
      <c r="S621" s="620">
        <v>1753</v>
      </c>
      <c r="T621" s="620">
        <v>1149</v>
      </c>
      <c r="U621" s="620">
        <v>1150</v>
      </c>
      <c r="V621" s="620">
        <v>226575</v>
      </c>
      <c r="W621" s="620">
        <v>5</v>
      </c>
    </row>
    <row r="622" spans="1:23" x14ac:dyDescent="0.25">
      <c r="A622" s="620" t="s">
        <v>2396</v>
      </c>
      <c r="B622" s="620" t="s">
        <v>2397</v>
      </c>
      <c r="C622" s="620">
        <v>562</v>
      </c>
      <c r="D622" s="620">
        <v>3731427</v>
      </c>
      <c r="E622" s="620">
        <v>19007352631</v>
      </c>
      <c r="F622" s="620">
        <v>5355</v>
      </c>
      <c r="G622" s="620">
        <v>5089</v>
      </c>
      <c r="H622" s="620">
        <v>5100</v>
      </c>
      <c r="I622" s="620">
        <v>-255</v>
      </c>
      <c r="J622" s="620">
        <v>-4.76</v>
      </c>
      <c r="K622" s="620">
        <v>5094</v>
      </c>
      <c r="L622" s="620">
        <v>-261</v>
      </c>
      <c r="M622" s="620">
        <v>-4.87</v>
      </c>
      <c r="N622" s="620">
        <v>5088</v>
      </c>
      <c r="O622" s="620">
        <v>5310</v>
      </c>
      <c r="P622" s="620" t="s">
        <v>2398</v>
      </c>
      <c r="Q622" s="620" t="s">
        <v>2399</v>
      </c>
      <c r="R622" s="620">
        <v>1</v>
      </c>
      <c r="S622" s="620">
        <v>500</v>
      </c>
      <c r="T622" s="620">
        <v>5090</v>
      </c>
      <c r="U622" s="620">
        <v>5090</v>
      </c>
      <c r="V622" s="620">
        <v>2250</v>
      </c>
      <c r="W622" s="620">
        <v>1</v>
      </c>
    </row>
    <row r="623" spans="1:23" x14ac:dyDescent="0.25">
      <c r="A623" s="620" t="s">
        <v>2400</v>
      </c>
      <c r="B623" s="620" t="s">
        <v>2401</v>
      </c>
      <c r="C623" s="620">
        <v>491</v>
      </c>
      <c r="D623" s="620">
        <v>7585053</v>
      </c>
      <c r="E623" s="620">
        <v>21011969436</v>
      </c>
      <c r="F623" s="620">
        <v>2817</v>
      </c>
      <c r="G623" s="620">
        <v>2761</v>
      </c>
      <c r="H623" s="620">
        <v>2850</v>
      </c>
      <c r="I623" s="620">
        <v>33</v>
      </c>
      <c r="J623" s="620">
        <v>1.17</v>
      </c>
      <c r="K623" s="620">
        <v>2770</v>
      </c>
      <c r="L623" s="620">
        <v>-47</v>
      </c>
      <c r="M623" s="620">
        <v>-1.67</v>
      </c>
      <c r="N623" s="620">
        <v>2761</v>
      </c>
      <c r="O623" s="620">
        <v>2857</v>
      </c>
      <c r="P623" s="620" t="s">
        <v>2402</v>
      </c>
      <c r="Q623" s="620" t="s">
        <v>2403</v>
      </c>
      <c r="R623" s="620">
        <v>13</v>
      </c>
      <c r="S623" s="620">
        <v>518955</v>
      </c>
      <c r="T623" s="620">
        <v>2761</v>
      </c>
      <c r="U623" s="620">
        <v>2761</v>
      </c>
      <c r="V623" s="620">
        <v>100000</v>
      </c>
      <c r="W623" s="620">
        <v>2</v>
      </c>
    </row>
    <row r="624" spans="1:23" x14ac:dyDescent="0.25">
      <c r="A624" s="620" t="s">
        <v>2404</v>
      </c>
      <c r="B624" s="620" t="s">
        <v>2405</v>
      </c>
      <c r="C624" s="620">
        <v>81</v>
      </c>
      <c r="D624" s="620">
        <v>35504</v>
      </c>
      <c r="E624" s="620">
        <v>756625744</v>
      </c>
      <c r="F624" s="620">
        <v>22432</v>
      </c>
      <c r="G624" s="620">
        <v>21311</v>
      </c>
      <c r="H624" s="620">
        <v>21311</v>
      </c>
      <c r="I624" s="620">
        <v>-1121</v>
      </c>
      <c r="J624" s="620">
        <v>-5</v>
      </c>
      <c r="K624" s="620">
        <v>21311</v>
      </c>
      <c r="L624" s="620">
        <v>-1121</v>
      </c>
      <c r="M624" s="620">
        <v>-5</v>
      </c>
      <c r="N624" s="620">
        <v>21311</v>
      </c>
      <c r="O624" s="620">
        <v>21311</v>
      </c>
      <c r="P624" s="620" t="s">
        <v>2406</v>
      </c>
      <c r="Q624" s="620" t="s">
        <v>2407</v>
      </c>
      <c r="R624" s="620">
        <v>0</v>
      </c>
      <c r="S624" s="620">
        <v>0</v>
      </c>
      <c r="T624" s="620">
        <v>0</v>
      </c>
      <c r="U624" s="620">
        <v>21311</v>
      </c>
      <c r="V624" s="620">
        <v>2698307</v>
      </c>
      <c r="W624" s="620">
        <v>301</v>
      </c>
    </row>
    <row r="625" spans="1:23" x14ac:dyDescent="0.25">
      <c r="A625" s="620" t="s">
        <v>2408</v>
      </c>
      <c r="B625" s="620" t="s">
        <v>2409</v>
      </c>
      <c r="C625" s="620">
        <v>56</v>
      </c>
      <c r="D625" s="620">
        <v>16575</v>
      </c>
      <c r="E625" s="620">
        <v>1086935085</v>
      </c>
      <c r="F625" s="620">
        <v>66508</v>
      </c>
      <c r="G625" s="620">
        <v>66500</v>
      </c>
      <c r="H625" s="620">
        <v>65001</v>
      </c>
      <c r="I625" s="620">
        <v>-1507</v>
      </c>
      <c r="J625" s="620">
        <v>-2.27</v>
      </c>
      <c r="K625" s="620">
        <v>66352</v>
      </c>
      <c r="L625" s="620">
        <v>-156</v>
      </c>
      <c r="M625" s="620">
        <v>-0.23</v>
      </c>
      <c r="N625" s="620">
        <v>65000</v>
      </c>
      <c r="O625" s="620">
        <v>68355</v>
      </c>
      <c r="P625" s="620" t="s">
        <v>2410</v>
      </c>
      <c r="Q625" s="620" t="s">
        <v>2411</v>
      </c>
      <c r="R625" s="620">
        <v>1</v>
      </c>
      <c r="S625" s="620">
        <v>344</v>
      </c>
      <c r="T625" s="620">
        <v>65001</v>
      </c>
      <c r="U625" s="620">
        <v>66987</v>
      </c>
      <c r="V625" s="620">
        <v>3490</v>
      </c>
      <c r="W625" s="620">
        <v>1</v>
      </c>
    </row>
    <row r="626" spans="1:23" x14ac:dyDescent="0.25">
      <c r="A626" s="620" t="s">
        <v>2412</v>
      </c>
      <c r="B626" s="620" t="s">
        <v>2413</v>
      </c>
      <c r="C626" s="620">
        <v>449</v>
      </c>
      <c r="D626" s="620">
        <v>1072455</v>
      </c>
      <c r="E626" s="620">
        <v>19001189001</v>
      </c>
      <c r="F626" s="620">
        <v>18431</v>
      </c>
      <c r="G626" s="620">
        <v>17560</v>
      </c>
      <c r="H626" s="620">
        <v>17510</v>
      </c>
      <c r="I626" s="620">
        <v>-921</v>
      </c>
      <c r="J626" s="620">
        <v>-5</v>
      </c>
      <c r="K626" s="620">
        <v>17717</v>
      </c>
      <c r="L626" s="620">
        <v>-714</v>
      </c>
      <c r="M626" s="620">
        <v>-3.87</v>
      </c>
      <c r="N626" s="620">
        <v>17510</v>
      </c>
      <c r="O626" s="620">
        <v>18300</v>
      </c>
      <c r="P626" s="620" t="s">
        <v>2414</v>
      </c>
      <c r="Q626" s="620" t="s">
        <v>2415</v>
      </c>
      <c r="R626" s="620">
        <v>0</v>
      </c>
      <c r="S626" s="620">
        <v>0</v>
      </c>
      <c r="T626" s="620">
        <v>0</v>
      </c>
      <c r="U626" s="620">
        <v>17510</v>
      </c>
      <c r="V626" s="620">
        <v>169234</v>
      </c>
      <c r="W626" s="620">
        <v>17</v>
      </c>
    </row>
    <row r="627" spans="1:23" x14ac:dyDescent="0.25">
      <c r="A627" s="620" t="s">
        <v>2416</v>
      </c>
      <c r="B627" s="620" t="s">
        <v>2417</v>
      </c>
      <c r="C627" s="620">
        <v>537</v>
      </c>
      <c r="D627" s="620">
        <v>2259048</v>
      </c>
      <c r="E627" s="620">
        <v>10653016055</v>
      </c>
      <c r="F627" s="620">
        <v>4928</v>
      </c>
      <c r="G627" s="620">
        <v>4692</v>
      </c>
      <c r="H627" s="620">
        <v>4682</v>
      </c>
      <c r="I627" s="620">
        <v>-246</v>
      </c>
      <c r="J627" s="620">
        <v>-4.99</v>
      </c>
      <c r="K627" s="620">
        <v>4716</v>
      </c>
      <c r="L627" s="620">
        <v>-212</v>
      </c>
      <c r="M627" s="620">
        <v>-4.3</v>
      </c>
      <c r="N627" s="620">
        <v>4682</v>
      </c>
      <c r="O627" s="620">
        <v>4890</v>
      </c>
      <c r="P627" s="620" t="s">
        <v>634</v>
      </c>
      <c r="Q627" s="620" t="s">
        <v>2418</v>
      </c>
      <c r="R627" s="620">
        <v>1</v>
      </c>
      <c r="S627" s="620">
        <v>219</v>
      </c>
      <c r="T627" s="620">
        <v>4510</v>
      </c>
      <c r="U627" s="620">
        <v>4682</v>
      </c>
      <c r="V627" s="620">
        <v>189500</v>
      </c>
      <c r="W627" s="620">
        <v>6</v>
      </c>
    </row>
    <row r="628" spans="1:23" x14ac:dyDescent="0.25">
      <c r="A628" s="620" t="s">
        <v>2419</v>
      </c>
      <c r="B628" s="620" t="s">
        <v>2420</v>
      </c>
      <c r="C628" s="620">
        <v>0</v>
      </c>
      <c r="D628" s="620">
        <v>0</v>
      </c>
      <c r="E628" s="620">
        <v>0</v>
      </c>
      <c r="F628" s="620">
        <v>953684</v>
      </c>
      <c r="G628" s="620">
        <v>0</v>
      </c>
      <c r="H628" s="620">
        <v>945000</v>
      </c>
      <c r="I628" s="620">
        <v>-8684</v>
      </c>
      <c r="J628" s="620">
        <v>-0.91</v>
      </c>
      <c r="K628" s="620">
        <v>953684</v>
      </c>
      <c r="L628" s="620">
        <v>0</v>
      </c>
      <c r="M628" s="620">
        <v>0</v>
      </c>
      <c r="N628" s="620">
        <v>0</v>
      </c>
      <c r="O628" s="620">
        <v>0</v>
      </c>
      <c r="R628" s="620">
        <v>1</v>
      </c>
      <c r="S628" s="620">
        <v>3000</v>
      </c>
      <c r="T628" s="620">
        <v>970001</v>
      </c>
      <c r="U628" s="620">
        <v>979700</v>
      </c>
      <c r="V628" s="620">
        <v>750</v>
      </c>
      <c r="W628" s="620">
        <v>1</v>
      </c>
    </row>
    <row r="629" spans="1:23" x14ac:dyDescent="0.25">
      <c r="A629" s="620" t="s">
        <v>2421</v>
      </c>
      <c r="B629" s="620" t="s">
        <v>2422</v>
      </c>
      <c r="C629" s="620">
        <v>103</v>
      </c>
      <c r="D629" s="620">
        <v>97246</v>
      </c>
      <c r="E629" s="620">
        <v>65626559197</v>
      </c>
      <c r="F629" s="620">
        <v>672660</v>
      </c>
      <c r="G629" s="620">
        <v>672000</v>
      </c>
      <c r="H629" s="620">
        <v>676500</v>
      </c>
      <c r="I629" s="620">
        <v>3840</v>
      </c>
      <c r="J629" s="620">
        <v>0.56999999999999995</v>
      </c>
      <c r="K629" s="620">
        <v>674851</v>
      </c>
      <c r="L629" s="620">
        <v>2191</v>
      </c>
      <c r="M629" s="620">
        <v>0.33</v>
      </c>
      <c r="N629" s="620">
        <v>672000</v>
      </c>
      <c r="O629" s="620">
        <v>677000</v>
      </c>
      <c r="R629" s="620">
        <v>1</v>
      </c>
      <c r="S629" s="620">
        <v>1000</v>
      </c>
      <c r="T629" s="620">
        <v>674200</v>
      </c>
      <c r="U629" s="620">
        <v>676999</v>
      </c>
      <c r="V629" s="620">
        <v>147</v>
      </c>
      <c r="W629" s="620">
        <v>1</v>
      </c>
    </row>
    <row r="630" spans="1:23" x14ac:dyDescent="0.25">
      <c r="A630" s="620" t="s">
        <v>2423</v>
      </c>
      <c r="B630" s="620" t="s">
        <v>2424</v>
      </c>
      <c r="C630" s="620">
        <v>1569</v>
      </c>
      <c r="D630" s="620">
        <v>14047111</v>
      </c>
      <c r="E630" s="620">
        <v>34603535041</v>
      </c>
      <c r="F630" s="620">
        <v>2583</v>
      </c>
      <c r="G630" s="620">
        <v>2454</v>
      </c>
      <c r="H630" s="620">
        <v>2454</v>
      </c>
      <c r="I630" s="620">
        <v>-129</v>
      </c>
      <c r="J630" s="620">
        <v>-4.99</v>
      </c>
      <c r="K630" s="620">
        <v>2463</v>
      </c>
      <c r="L630" s="620">
        <v>-120</v>
      </c>
      <c r="M630" s="620">
        <v>-4.6500000000000004</v>
      </c>
      <c r="N630" s="620">
        <v>2454</v>
      </c>
      <c r="O630" s="620">
        <v>2557</v>
      </c>
      <c r="P630" s="620" t="s">
        <v>2425</v>
      </c>
      <c r="Q630" s="620" t="s">
        <v>2426</v>
      </c>
      <c r="R630" s="620">
        <v>1</v>
      </c>
      <c r="S630" s="620">
        <v>500</v>
      </c>
      <c r="T630" s="620">
        <v>2396</v>
      </c>
      <c r="U630" s="620">
        <v>2454</v>
      </c>
      <c r="V630" s="620">
        <v>1541423</v>
      </c>
      <c r="W630" s="620">
        <v>58</v>
      </c>
    </row>
    <row r="631" spans="1:23" x14ac:dyDescent="0.25">
      <c r="A631" s="620" t="s">
        <v>2427</v>
      </c>
      <c r="B631" s="620" t="s">
        <v>2428</v>
      </c>
      <c r="C631" s="620">
        <v>0</v>
      </c>
      <c r="D631" s="620">
        <v>0</v>
      </c>
      <c r="E631" s="620">
        <v>0</v>
      </c>
      <c r="F631" s="620">
        <v>64251</v>
      </c>
      <c r="G631" s="620">
        <v>0</v>
      </c>
      <c r="H631" s="620">
        <v>68000</v>
      </c>
      <c r="I631" s="620">
        <v>3749</v>
      </c>
      <c r="J631" s="620">
        <v>5.83</v>
      </c>
      <c r="K631" s="620">
        <v>61200</v>
      </c>
      <c r="L631" s="620">
        <v>-3051</v>
      </c>
      <c r="M631" s="620">
        <v>-4.75</v>
      </c>
      <c r="N631" s="620">
        <v>0</v>
      </c>
      <c r="O631" s="620">
        <v>0</v>
      </c>
      <c r="R631" s="620">
        <v>1</v>
      </c>
      <c r="S631" s="620">
        <v>1</v>
      </c>
      <c r="T631" s="620">
        <v>61200</v>
      </c>
      <c r="U631" s="620">
        <v>0</v>
      </c>
      <c r="V631" s="620">
        <v>0</v>
      </c>
      <c r="W631" s="620">
        <v>0</v>
      </c>
    </row>
    <row r="632" spans="1:23" x14ac:dyDescent="0.25">
      <c r="A632" s="620" t="s">
        <v>2429</v>
      </c>
      <c r="B632" s="620" t="s">
        <v>2430</v>
      </c>
      <c r="C632" s="620">
        <v>4353</v>
      </c>
      <c r="D632" s="620">
        <v>83673717</v>
      </c>
      <c r="E632" s="620">
        <v>106543003340</v>
      </c>
      <c r="F632" s="620">
        <v>1285</v>
      </c>
      <c r="G632" s="620">
        <v>1250</v>
      </c>
      <c r="H632" s="620">
        <v>1294</v>
      </c>
      <c r="I632" s="620">
        <v>9</v>
      </c>
      <c r="J632" s="620">
        <v>0.7</v>
      </c>
      <c r="K632" s="620">
        <v>1273</v>
      </c>
      <c r="L632" s="620">
        <v>-12</v>
      </c>
      <c r="M632" s="620">
        <v>-0.93</v>
      </c>
      <c r="N632" s="620">
        <v>1231</v>
      </c>
      <c r="O632" s="620">
        <v>1319</v>
      </c>
      <c r="P632" s="620" t="s">
        <v>2431</v>
      </c>
      <c r="Q632" s="620" t="s">
        <v>2432</v>
      </c>
      <c r="R632" s="620">
        <v>1</v>
      </c>
      <c r="S632" s="620">
        <v>1550</v>
      </c>
      <c r="T632" s="620">
        <v>1286</v>
      </c>
      <c r="U632" s="620">
        <v>1294</v>
      </c>
      <c r="V632" s="620">
        <v>7145</v>
      </c>
      <c r="W632" s="620">
        <v>1</v>
      </c>
    </row>
    <row r="633" spans="1:23" x14ac:dyDescent="0.25">
      <c r="A633" s="620" t="s">
        <v>2433</v>
      </c>
      <c r="B633" s="620" t="s">
        <v>2434</v>
      </c>
      <c r="C633" s="620">
        <v>908</v>
      </c>
      <c r="D633" s="620">
        <v>5017034</v>
      </c>
      <c r="E633" s="620">
        <v>35045691765</v>
      </c>
      <c r="F633" s="620">
        <v>7349</v>
      </c>
      <c r="G633" s="620">
        <v>6982</v>
      </c>
      <c r="H633" s="620">
        <v>6982</v>
      </c>
      <c r="I633" s="620">
        <v>-367</v>
      </c>
      <c r="J633" s="620">
        <v>-4.99</v>
      </c>
      <c r="K633" s="620">
        <v>6985</v>
      </c>
      <c r="L633" s="620">
        <v>-364</v>
      </c>
      <c r="M633" s="620">
        <v>-4.95</v>
      </c>
      <c r="N633" s="620">
        <v>6982</v>
      </c>
      <c r="O633" s="620">
        <v>7300</v>
      </c>
      <c r="P633" s="620" t="s">
        <v>2435</v>
      </c>
      <c r="Q633" s="620" t="s">
        <v>2436</v>
      </c>
      <c r="R633" s="620">
        <v>1</v>
      </c>
      <c r="S633" s="620">
        <v>250</v>
      </c>
      <c r="T633" s="620">
        <v>5425</v>
      </c>
      <c r="U633" s="620">
        <v>6982</v>
      </c>
      <c r="V633" s="620">
        <v>263465</v>
      </c>
      <c r="W633" s="620">
        <v>23</v>
      </c>
    </row>
    <row r="634" spans="1:23" x14ac:dyDescent="0.25">
      <c r="A634" s="620" t="s">
        <v>2437</v>
      </c>
      <c r="B634" s="620" t="s">
        <v>2438</v>
      </c>
      <c r="C634" s="620">
        <v>15</v>
      </c>
      <c r="D634" s="620">
        <v>4960</v>
      </c>
      <c r="E634" s="620">
        <v>3621235537</v>
      </c>
      <c r="F634" s="620">
        <v>727928</v>
      </c>
      <c r="G634" s="620">
        <v>728100</v>
      </c>
      <c r="H634" s="620">
        <v>734999</v>
      </c>
      <c r="I634" s="620">
        <v>7071</v>
      </c>
      <c r="J634" s="620">
        <v>0.97</v>
      </c>
      <c r="K634" s="620">
        <v>730088</v>
      </c>
      <c r="L634" s="620">
        <v>2160</v>
      </c>
      <c r="M634" s="620">
        <v>0.3</v>
      </c>
      <c r="N634" s="620">
        <v>728100</v>
      </c>
      <c r="O634" s="620">
        <v>734999</v>
      </c>
      <c r="R634" s="620">
        <v>1</v>
      </c>
      <c r="S634" s="620">
        <v>21</v>
      </c>
      <c r="T634" s="620">
        <v>731800</v>
      </c>
      <c r="U634" s="620">
        <v>735185</v>
      </c>
      <c r="V634" s="620">
        <v>44</v>
      </c>
      <c r="W634" s="620">
        <v>1</v>
      </c>
    </row>
    <row r="635" spans="1:23" x14ac:dyDescent="0.25">
      <c r="A635" s="620" t="s">
        <v>2439</v>
      </c>
      <c r="B635" s="620" t="s">
        <v>2440</v>
      </c>
      <c r="C635" s="620">
        <v>256</v>
      </c>
      <c r="D635" s="620">
        <v>176538</v>
      </c>
      <c r="E635" s="620">
        <v>4964013880</v>
      </c>
      <c r="F635" s="620">
        <v>29476</v>
      </c>
      <c r="G635" s="620">
        <v>28700</v>
      </c>
      <c r="H635" s="620">
        <v>28003</v>
      </c>
      <c r="I635" s="620">
        <v>-1473</v>
      </c>
      <c r="J635" s="620">
        <v>-5</v>
      </c>
      <c r="K635" s="620">
        <v>28119</v>
      </c>
      <c r="L635" s="620">
        <v>-1357</v>
      </c>
      <c r="M635" s="620">
        <v>-4.5999999999999996</v>
      </c>
      <c r="N635" s="620">
        <v>28003</v>
      </c>
      <c r="O635" s="620">
        <v>29500</v>
      </c>
      <c r="P635" s="620" t="s">
        <v>2441</v>
      </c>
      <c r="Q635" s="620" t="s">
        <v>2442</v>
      </c>
      <c r="R635" s="620">
        <v>0</v>
      </c>
      <c r="S635" s="620">
        <v>0</v>
      </c>
      <c r="T635" s="620">
        <v>0</v>
      </c>
      <c r="U635" s="620">
        <v>28003</v>
      </c>
      <c r="V635" s="620">
        <v>65527</v>
      </c>
      <c r="W635" s="620">
        <v>12</v>
      </c>
    </row>
    <row r="636" spans="1:23" x14ac:dyDescent="0.25">
      <c r="A636" s="620" t="s">
        <v>2443</v>
      </c>
      <c r="B636" s="620" t="s">
        <v>2444</v>
      </c>
      <c r="C636" s="620">
        <v>22</v>
      </c>
      <c r="D636" s="620">
        <v>53492</v>
      </c>
      <c r="E636" s="620">
        <v>230636069</v>
      </c>
      <c r="F636" s="620">
        <v>4292</v>
      </c>
      <c r="G636" s="620">
        <v>4240</v>
      </c>
      <c r="H636" s="620">
        <v>4257</v>
      </c>
      <c r="I636" s="620">
        <v>-35</v>
      </c>
      <c r="J636" s="620">
        <v>-0.82</v>
      </c>
      <c r="K636" s="620">
        <v>4312</v>
      </c>
      <c r="L636" s="620">
        <v>20</v>
      </c>
      <c r="M636" s="620">
        <v>0.47</v>
      </c>
      <c r="N636" s="620">
        <v>4240</v>
      </c>
      <c r="O636" s="620">
        <v>4377</v>
      </c>
      <c r="P636" s="620" t="s">
        <v>585</v>
      </c>
      <c r="Q636" s="620" t="s">
        <v>2445</v>
      </c>
      <c r="R636" s="620">
        <v>1</v>
      </c>
      <c r="S636" s="620">
        <v>3000</v>
      </c>
      <c r="T636" s="620">
        <v>4261</v>
      </c>
      <c r="U636" s="620">
        <v>4376</v>
      </c>
      <c r="V636" s="620">
        <v>3000</v>
      </c>
      <c r="W636" s="620">
        <v>1</v>
      </c>
    </row>
    <row r="637" spans="1:23" x14ac:dyDescent="0.25">
      <c r="A637" s="620" t="s">
        <v>2446</v>
      </c>
      <c r="B637" s="620" t="s">
        <v>2447</v>
      </c>
      <c r="C637" s="620">
        <v>92</v>
      </c>
      <c r="D637" s="620">
        <v>9200000</v>
      </c>
      <c r="E637" s="620">
        <v>9200000</v>
      </c>
      <c r="F637" s="620">
        <v>13118</v>
      </c>
      <c r="G637" s="620">
        <v>1</v>
      </c>
      <c r="H637" s="620">
        <v>1</v>
      </c>
      <c r="I637" s="620">
        <v>-13117</v>
      </c>
      <c r="J637" s="620">
        <v>-99.99</v>
      </c>
      <c r="K637" s="620">
        <v>1</v>
      </c>
      <c r="L637" s="620">
        <v>-13117</v>
      </c>
      <c r="M637" s="620">
        <v>-99.99</v>
      </c>
      <c r="N637" s="620">
        <v>1</v>
      </c>
      <c r="O637" s="620">
        <v>1</v>
      </c>
      <c r="R637" s="620">
        <v>0</v>
      </c>
      <c r="S637" s="620">
        <v>0</v>
      </c>
      <c r="T637" s="620">
        <v>0</v>
      </c>
      <c r="U637" s="620">
        <v>0</v>
      </c>
      <c r="V637" s="620">
        <v>0</v>
      </c>
      <c r="W637" s="620">
        <v>0</v>
      </c>
    </row>
    <row r="638" spans="1:23" x14ac:dyDescent="0.25">
      <c r="A638" s="620" t="s">
        <v>2448</v>
      </c>
      <c r="B638" s="620" t="s">
        <v>2449</v>
      </c>
      <c r="C638" s="620">
        <v>0</v>
      </c>
      <c r="D638" s="620">
        <v>0</v>
      </c>
      <c r="E638" s="620">
        <v>0</v>
      </c>
      <c r="F638" s="620">
        <v>69</v>
      </c>
      <c r="G638" s="620">
        <v>0</v>
      </c>
      <c r="H638" s="620">
        <v>75</v>
      </c>
      <c r="I638" s="620">
        <v>6</v>
      </c>
      <c r="J638" s="620">
        <v>8.6999999999999993</v>
      </c>
      <c r="K638" s="620">
        <v>69</v>
      </c>
      <c r="L638" s="620">
        <v>0</v>
      </c>
      <c r="M638" s="620">
        <v>0</v>
      </c>
      <c r="N638" s="620">
        <v>0</v>
      </c>
      <c r="O638" s="620">
        <v>0</v>
      </c>
      <c r="P638" s="620" t="s">
        <v>2450</v>
      </c>
      <c r="Q638" s="620" t="s">
        <v>2451</v>
      </c>
      <c r="R638" s="620">
        <v>2</v>
      </c>
      <c r="S638" s="620">
        <v>54500</v>
      </c>
      <c r="T638" s="620">
        <v>71</v>
      </c>
      <c r="U638" s="620">
        <v>0</v>
      </c>
      <c r="V638" s="620">
        <v>0</v>
      </c>
      <c r="W638" s="620">
        <v>0</v>
      </c>
    </row>
    <row r="639" spans="1:23" x14ac:dyDescent="0.25">
      <c r="A639" s="620" t="s">
        <v>2452</v>
      </c>
      <c r="B639" s="620" t="s">
        <v>2453</v>
      </c>
      <c r="C639" s="620">
        <v>23</v>
      </c>
      <c r="D639" s="620">
        <v>11675</v>
      </c>
      <c r="E639" s="620">
        <v>171669200</v>
      </c>
      <c r="F639" s="620">
        <v>14276</v>
      </c>
      <c r="G639" s="620">
        <v>14704</v>
      </c>
      <c r="H639" s="620">
        <v>14704</v>
      </c>
      <c r="I639" s="620">
        <v>428</v>
      </c>
      <c r="J639" s="620">
        <v>3</v>
      </c>
      <c r="K639" s="620">
        <v>14704</v>
      </c>
      <c r="L639" s="620">
        <v>428</v>
      </c>
      <c r="M639" s="620">
        <v>3</v>
      </c>
      <c r="N639" s="620">
        <v>14704</v>
      </c>
      <c r="O639" s="620">
        <v>14704</v>
      </c>
      <c r="P639" s="620" t="s">
        <v>2454</v>
      </c>
      <c r="Q639" s="620" t="s">
        <v>2455</v>
      </c>
      <c r="R639" s="620">
        <v>70</v>
      </c>
      <c r="S639" s="620">
        <v>142476</v>
      </c>
      <c r="T639" s="620">
        <v>14704</v>
      </c>
      <c r="U639" s="620">
        <v>0</v>
      </c>
      <c r="V639" s="620">
        <v>0</v>
      </c>
      <c r="W639" s="620">
        <v>0</v>
      </c>
    </row>
    <row r="640" spans="1:23" x14ac:dyDescent="0.25">
      <c r="A640" s="620" t="s">
        <v>2456</v>
      </c>
      <c r="B640" s="620" t="s">
        <v>2457</v>
      </c>
      <c r="C640" s="620">
        <v>0</v>
      </c>
      <c r="D640" s="620">
        <v>0</v>
      </c>
      <c r="E640" s="620">
        <v>0</v>
      </c>
      <c r="F640" s="620">
        <v>968100</v>
      </c>
      <c r="G640" s="620">
        <v>0</v>
      </c>
      <c r="H640" s="620">
        <v>968100</v>
      </c>
      <c r="I640" s="620">
        <v>0</v>
      </c>
      <c r="J640" s="620">
        <v>0</v>
      </c>
      <c r="K640" s="620">
        <v>968100</v>
      </c>
      <c r="L640" s="620">
        <v>0</v>
      </c>
      <c r="M640" s="620">
        <v>0</v>
      </c>
      <c r="N640" s="620">
        <v>0</v>
      </c>
      <c r="O640" s="620">
        <v>0</v>
      </c>
      <c r="R640" s="620">
        <v>1</v>
      </c>
      <c r="S640" s="620">
        <v>133</v>
      </c>
      <c r="T640" s="620">
        <v>943897</v>
      </c>
      <c r="U640" s="620">
        <v>968100</v>
      </c>
      <c r="V640" s="620">
        <v>130</v>
      </c>
      <c r="W640" s="620">
        <v>1</v>
      </c>
    </row>
    <row r="641" spans="1:23" x14ac:dyDescent="0.25">
      <c r="A641" s="620" t="s">
        <v>2458</v>
      </c>
      <c r="B641" s="620" t="s">
        <v>2459</v>
      </c>
      <c r="C641" s="620">
        <v>309</v>
      </c>
      <c r="D641" s="620">
        <v>1356232</v>
      </c>
      <c r="E641" s="620">
        <v>14919942235</v>
      </c>
      <c r="F641" s="620">
        <v>11468</v>
      </c>
      <c r="G641" s="620">
        <v>10895</v>
      </c>
      <c r="H641" s="620">
        <v>10895</v>
      </c>
      <c r="I641" s="620">
        <v>-573</v>
      </c>
      <c r="J641" s="620">
        <v>-5</v>
      </c>
      <c r="K641" s="620">
        <v>11001</v>
      </c>
      <c r="L641" s="620">
        <v>-467</v>
      </c>
      <c r="M641" s="620">
        <v>-4.07</v>
      </c>
      <c r="N641" s="620">
        <v>10895</v>
      </c>
      <c r="O641" s="620">
        <v>11900</v>
      </c>
      <c r="P641" s="620" t="s">
        <v>2460</v>
      </c>
      <c r="Q641" s="620" t="s">
        <v>2461</v>
      </c>
      <c r="R641" s="620">
        <v>0</v>
      </c>
      <c r="S641" s="620">
        <v>0</v>
      </c>
      <c r="T641" s="620">
        <v>0</v>
      </c>
      <c r="U641" s="620">
        <v>10895</v>
      </c>
      <c r="V641" s="620">
        <v>459920</v>
      </c>
      <c r="W641" s="620">
        <v>21</v>
      </c>
    </row>
    <row r="642" spans="1:23" x14ac:dyDescent="0.25">
      <c r="A642" s="620" t="s">
        <v>2462</v>
      </c>
      <c r="B642" s="620" t="s">
        <v>2463</v>
      </c>
      <c r="C642" s="620">
        <v>0</v>
      </c>
      <c r="D642" s="620">
        <v>0</v>
      </c>
      <c r="E642" s="620">
        <v>0</v>
      </c>
      <c r="F642" s="620">
        <v>151</v>
      </c>
      <c r="G642" s="620">
        <v>0</v>
      </c>
      <c r="H642" s="620">
        <v>151</v>
      </c>
      <c r="I642" s="620">
        <v>0</v>
      </c>
      <c r="J642" s="620">
        <v>0</v>
      </c>
      <c r="K642" s="620">
        <v>151</v>
      </c>
      <c r="L642" s="620">
        <v>0</v>
      </c>
      <c r="M642" s="620">
        <v>0</v>
      </c>
      <c r="N642" s="620">
        <v>0</v>
      </c>
      <c r="O642" s="620">
        <v>0</v>
      </c>
      <c r="R642" s="620">
        <v>0</v>
      </c>
      <c r="S642" s="620">
        <v>0</v>
      </c>
      <c r="T642" s="620">
        <v>0</v>
      </c>
      <c r="U642" s="620">
        <v>799</v>
      </c>
      <c r="V642" s="620">
        <v>20</v>
      </c>
      <c r="W642" s="620">
        <v>1</v>
      </c>
    </row>
    <row r="643" spans="1:23" x14ac:dyDescent="0.25">
      <c r="A643" s="620" t="s">
        <v>2464</v>
      </c>
      <c r="B643" s="620" t="s">
        <v>2465</v>
      </c>
      <c r="C643" s="620">
        <v>0</v>
      </c>
      <c r="D643" s="620">
        <v>0</v>
      </c>
      <c r="E643" s="620">
        <v>0</v>
      </c>
      <c r="F643" s="620">
        <v>1</v>
      </c>
      <c r="G643" s="620">
        <v>0</v>
      </c>
      <c r="H643" s="620">
        <v>1</v>
      </c>
      <c r="I643" s="620">
        <v>0</v>
      </c>
      <c r="J643" s="620">
        <v>0</v>
      </c>
      <c r="K643" s="620">
        <v>1</v>
      </c>
      <c r="L643" s="620">
        <v>0</v>
      </c>
      <c r="M643" s="620">
        <v>0</v>
      </c>
      <c r="N643" s="620">
        <v>0</v>
      </c>
      <c r="O643" s="620">
        <v>0</v>
      </c>
      <c r="R643" s="620">
        <v>1</v>
      </c>
      <c r="S643" s="620">
        <v>60</v>
      </c>
      <c r="T643" s="620">
        <v>200</v>
      </c>
      <c r="U643" s="620">
        <v>0</v>
      </c>
      <c r="V643" s="620">
        <v>0</v>
      </c>
      <c r="W643" s="620">
        <v>0</v>
      </c>
    </row>
    <row r="644" spans="1:23" x14ac:dyDescent="0.25">
      <c r="A644" s="620" t="s">
        <v>2466</v>
      </c>
      <c r="B644" s="620" t="s">
        <v>2467</v>
      </c>
      <c r="C644" s="620">
        <v>734</v>
      </c>
      <c r="D644" s="620">
        <v>315573</v>
      </c>
      <c r="E644" s="620">
        <v>24169984972</v>
      </c>
      <c r="F644" s="620">
        <v>76628</v>
      </c>
      <c r="G644" s="620">
        <v>73100</v>
      </c>
      <c r="H644" s="620">
        <v>76000</v>
      </c>
      <c r="I644" s="620">
        <v>-628</v>
      </c>
      <c r="J644" s="620">
        <v>-0.82</v>
      </c>
      <c r="K644" s="620">
        <v>76591</v>
      </c>
      <c r="L644" s="620">
        <v>-37</v>
      </c>
      <c r="M644" s="620">
        <v>-0.05</v>
      </c>
      <c r="N644" s="620">
        <v>73100</v>
      </c>
      <c r="O644" s="620">
        <v>78950</v>
      </c>
      <c r="P644" s="620" t="s">
        <v>2468</v>
      </c>
      <c r="Q644" s="620" t="s">
        <v>2469</v>
      </c>
      <c r="R644" s="620">
        <v>2</v>
      </c>
      <c r="S644" s="620">
        <v>120</v>
      </c>
      <c r="T644" s="620">
        <v>74730</v>
      </c>
      <c r="U644" s="620">
        <v>76000</v>
      </c>
      <c r="V644" s="620">
        <v>2944</v>
      </c>
      <c r="W644" s="620">
        <v>3</v>
      </c>
    </row>
    <row r="645" spans="1:23" x14ac:dyDescent="0.25">
      <c r="A645" s="620" t="s">
        <v>2470</v>
      </c>
      <c r="B645" s="620" t="s">
        <v>2471</v>
      </c>
      <c r="C645" s="620">
        <v>376</v>
      </c>
      <c r="D645" s="620">
        <v>2250301</v>
      </c>
      <c r="E645" s="620">
        <v>6328905364</v>
      </c>
      <c r="F645" s="620">
        <v>2799</v>
      </c>
      <c r="G645" s="620">
        <v>2867</v>
      </c>
      <c r="H645" s="620">
        <v>2840</v>
      </c>
      <c r="I645" s="620">
        <v>41</v>
      </c>
      <c r="J645" s="620">
        <v>1.46</v>
      </c>
      <c r="K645" s="620">
        <v>2812</v>
      </c>
      <c r="L645" s="620">
        <v>13</v>
      </c>
      <c r="M645" s="620">
        <v>0.46</v>
      </c>
      <c r="N645" s="620">
        <v>2781</v>
      </c>
      <c r="O645" s="620">
        <v>2869</v>
      </c>
      <c r="P645" s="620" t="s">
        <v>2472</v>
      </c>
      <c r="Q645" s="620" t="s">
        <v>2473</v>
      </c>
      <c r="R645" s="620">
        <v>1</v>
      </c>
      <c r="S645" s="620">
        <v>2087</v>
      </c>
      <c r="T645" s="620">
        <v>2814</v>
      </c>
      <c r="U645" s="620">
        <v>2847</v>
      </c>
      <c r="V645" s="620">
        <v>400</v>
      </c>
      <c r="W645" s="620">
        <v>1</v>
      </c>
    </row>
    <row r="646" spans="1:23" x14ac:dyDescent="0.25">
      <c r="A646" s="620" t="s">
        <v>2474</v>
      </c>
      <c r="B646" s="620" t="s">
        <v>2475</v>
      </c>
      <c r="C646" s="620">
        <v>460</v>
      </c>
      <c r="D646" s="620">
        <v>1470080</v>
      </c>
      <c r="E646" s="620">
        <v>5124789337</v>
      </c>
      <c r="F646" s="620">
        <v>3524</v>
      </c>
      <c r="G646" s="620">
        <v>3441</v>
      </c>
      <c r="H646" s="620">
        <v>3419</v>
      </c>
      <c r="I646" s="620">
        <v>-105</v>
      </c>
      <c r="J646" s="620">
        <v>-2.98</v>
      </c>
      <c r="K646" s="620">
        <v>3486</v>
      </c>
      <c r="L646" s="620">
        <v>-38</v>
      </c>
      <c r="M646" s="620">
        <v>-1.08</v>
      </c>
      <c r="N646" s="620">
        <v>3419</v>
      </c>
      <c r="O646" s="620">
        <v>3589</v>
      </c>
      <c r="P646" s="620" t="s">
        <v>2476</v>
      </c>
      <c r="Q646" s="620" t="s">
        <v>2477</v>
      </c>
      <c r="R646" s="620">
        <v>0</v>
      </c>
      <c r="S646" s="620">
        <v>0</v>
      </c>
      <c r="T646" s="620">
        <v>0</v>
      </c>
      <c r="U646" s="620">
        <v>3419</v>
      </c>
      <c r="V646" s="620">
        <v>2370</v>
      </c>
      <c r="W646" s="620">
        <v>2</v>
      </c>
    </row>
    <row r="647" spans="1:23" x14ac:dyDescent="0.25">
      <c r="A647" s="620" t="s">
        <v>2478</v>
      </c>
      <c r="B647" s="620" t="s">
        <v>2479</v>
      </c>
      <c r="C647" s="620">
        <v>0</v>
      </c>
      <c r="D647" s="620">
        <v>0</v>
      </c>
      <c r="E647" s="620">
        <v>0</v>
      </c>
      <c r="F647" s="620">
        <v>1</v>
      </c>
      <c r="G647" s="620">
        <v>0</v>
      </c>
      <c r="H647" s="620">
        <v>1</v>
      </c>
      <c r="I647" s="620">
        <v>0</v>
      </c>
      <c r="J647" s="620">
        <v>0</v>
      </c>
      <c r="K647" s="620">
        <v>1</v>
      </c>
      <c r="L647" s="620">
        <v>0</v>
      </c>
      <c r="M647" s="620">
        <v>0</v>
      </c>
      <c r="N647" s="620">
        <v>0</v>
      </c>
      <c r="O647" s="620">
        <v>0</v>
      </c>
      <c r="R647" s="620">
        <v>1</v>
      </c>
      <c r="S647" s="620">
        <v>100</v>
      </c>
      <c r="T647" s="620">
        <v>66</v>
      </c>
      <c r="U647" s="620">
        <v>0</v>
      </c>
      <c r="V647" s="620">
        <v>0</v>
      </c>
      <c r="W647" s="620">
        <v>0</v>
      </c>
    </row>
    <row r="648" spans="1:23" x14ac:dyDescent="0.25">
      <c r="A648" s="620" t="s">
        <v>2480</v>
      </c>
      <c r="B648" s="620" t="s">
        <v>2481</v>
      </c>
      <c r="C648" s="620">
        <v>178</v>
      </c>
      <c r="D648" s="620">
        <v>136688</v>
      </c>
      <c r="E648" s="620">
        <v>2394788797</v>
      </c>
      <c r="F648" s="620">
        <v>17726</v>
      </c>
      <c r="G648" s="620">
        <v>17200</v>
      </c>
      <c r="H648" s="620">
        <v>16850</v>
      </c>
      <c r="I648" s="620">
        <v>-876</v>
      </c>
      <c r="J648" s="620">
        <v>-4.9400000000000004</v>
      </c>
      <c r="K648" s="620">
        <v>17520</v>
      </c>
      <c r="L648" s="620">
        <v>-206</v>
      </c>
      <c r="M648" s="620">
        <v>-1.1599999999999999</v>
      </c>
      <c r="N648" s="620">
        <v>16840</v>
      </c>
      <c r="O648" s="620">
        <v>18440</v>
      </c>
      <c r="P648" s="620" t="s">
        <v>2482</v>
      </c>
      <c r="Q648" s="620" t="s">
        <v>2483</v>
      </c>
      <c r="R648" s="620">
        <v>1</v>
      </c>
      <c r="S648" s="620">
        <v>500</v>
      </c>
      <c r="T648" s="620">
        <v>16843</v>
      </c>
      <c r="U648" s="620">
        <v>17198</v>
      </c>
      <c r="V648" s="620">
        <v>4000</v>
      </c>
      <c r="W648" s="620">
        <v>1</v>
      </c>
    </row>
    <row r="649" spans="1:23" x14ac:dyDescent="0.25">
      <c r="A649" s="620" t="s">
        <v>2484</v>
      </c>
      <c r="B649" s="620" t="s">
        <v>2485</v>
      </c>
      <c r="C649" s="620">
        <v>4065</v>
      </c>
      <c r="D649" s="620">
        <v>26154346</v>
      </c>
      <c r="E649" s="620">
        <v>200034725463</v>
      </c>
      <c r="F649" s="620">
        <v>7970</v>
      </c>
      <c r="G649" s="620">
        <v>7730</v>
      </c>
      <c r="H649" s="620">
        <v>7572</v>
      </c>
      <c r="I649" s="620">
        <v>-398</v>
      </c>
      <c r="J649" s="620">
        <v>-4.99</v>
      </c>
      <c r="K649" s="620">
        <v>7648</v>
      </c>
      <c r="L649" s="620">
        <v>-322</v>
      </c>
      <c r="M649" s="620">
        <v>-4.04</v>
      </c>
      <c r="N649" s="620">
        <v>7572</v>
      </c>
      <c r="O649" s="620">
        <v>8048</v>
      </c>
      <c r="P649" s="620" t="s">
        <v>2486</v>
      </c>
      <c r="Q649" s="620" t="s">
        <v>2487</v>
      </c>
      <c r="R649" s="620">
        <v>2</v>
      </c>
      <c r="S649" s="620">
        <v>10500</v>
      </c>
      <c r="T649" s="620">
        <v>7572</v>
      </c>
      <c r="U649" s="620">
        <v>7572</v>
      </c>
      <c r="V649" s="620">
        <v>833240</v>
      </c>
      <c r="W649" s="620">
        <v>35</v>
      </c>
    </row>
    <row r="650" spans="1:23" x14ac:dyDescent="0.25">
      <c r="A650" s="620" t="s">
        <v>2488</v>
      </c>
      <c r="B650" s="620" t="s">
        <v>2489</v>
      </c>
      <c r="C650" s="620">
        <v>8</v>
      </c>
      <c r="D650" s="620">
        <v>2801</v>
      </c>
      <c r="E650" s="620">
        <v>27819532</v>
      </c>
      <c r="F650" s="620">
        <v>10134</v>
      </c>
      <c r="G650" s="620">
        <v>9932</v>
      </c>
      <c r="H650" s="620">
        <v>9932</v>
      </c>
      <c r="I650" s="620">
        <v>-202</v>
      </c>
      <c r="J650" s="620">
        <v>-1.99</v>
      </c>
      <c r="K650" s="620">
        <v>9932</v>
      </c>
      <c r="L650" s="620">
        <v>-202</v>
      </c>
      <c r="M650" s="620">
        <v>-1.99</v>
      </c>
      <c r="N650" s="620">
        <v>9932</v>
      </c>
      <c r="O650" s="620">
        <v>9932</v>
      </c>
      <c r="P650" s="620" t="s">
        <v>2490</v>
      </c>
      <c r="Q650" s="620" t="s">
        <v>2491</v>
      </c>
      <c r="R650" s="620">
        <v>0</v>
      </c>
      <c r="S650" s="620">
        <v>0</v>
      </c>
      <c r="T650" s="620">
        <v>0</v>
      </c>
      <c r="U650" s="620">
        <v>9932</v>
      </c>
      <c r="V650" s="620">
        <v>2965232</v>
      </c>
      <c r="W650" s="620">
        <v>94</v>
      </c>
    </row>
    <row r="651" spans="1:23" x14ac:dyDescent="0.25">
      <c r="A651" s="620" t="s">
        <v>2492</v>
      </c>
      <c r="B651" s="620" t="s">
        <v>2493</v>
      </c>
      <c r="C651" s="620">
        <v>9</v>
      </c>
      <c r="D651" s="620">
        <v>475</v>
      </c>
      <c r="E651" s="620">
        <v>961448000</v>
      </c>
      <c r="F651" s="620">
        <v>1727</v>
      </c>
      <c r="G651" s="620">
        <v>2150</v>
      </c>
      <c r="H651" s="620">
        <v>1800</v>
      </c>
      <c r="I651" s="620">
        <v>73</v>
      </c>
      <c r="J651" s="620">
        <v>4.2300000000000004</v>
      </c>
      <c r="K651" s="620">
        <v>2024</v>
      </c>
      <c r="L651" s="620">
        <v>297</v>
      </c>
      <c r="M651" s="620">
        <v>17.2</v>
      </c>
      <c r="N651" s="620">
        <v>1800</v>
      </c>
      <c r="O651" s="620">
        <v>2160</v>
      </c>
      <c r="R651" s="620">
        <v>1</v>
      </c>
      <c r="S651" s="620">
        <v>100</v>
      </c>
      <c r="T651" s="620">
        <v>1800</v>
      </c>
      <c r="U651" s="620">
        <v>2039</v>
      </c>
      <c r="V651" s="620">
        <v>10</v>
      </c>
      <c r="W651" s="620">
        <v>1</v>
      </c>
    </row>
    <row r="652" spans="1:23" x14ac:dyDescent="0.25">
      <c r="A652" s="620" t="s">
        <v>2494</v>
      </c>
      <c r="B652" s="620" t="s">
        <v>2495</v>
      </c>
      <c r="C652" s="620">
        <v>203</v>
      </c>
      <c r="D652" s="620">
        <v>1590635</v>
      </c>
      <c r="E652" s="620">
        <v>3160597993</v>
      </c>
      <c r="F652" s="620">
        <v>2037</v>
      </c>
      <c r="G652" s="620">
        <v>1922</v>
      </c>
      <c r="H652" s="620">
        <v>1999</v>
      </c>
      <c r="I652" s="620">
        <v>-38</v>
      </c>
      <c r="J652" s="620">
        <v>-1.87</v>
      </c>
      <c r="K652" s="620">
        <v>1987</v>
      </c>
      <c r="L652" s="620">
        <v>-50</v>
      </c>
      <c r="M652" s="620">
        <v>-2.4500000000000002</v>
      </c>
      <c r="N652" s="620">
        <v>1922</v>
      </c>
      <c r="O652" s="620">
        <v>2089</v>
      </c>
      <c r="R652" s="620">
        <v>1</v>
      </c>
      <c r="S652" s="620">
        <v>600</v>
      </c>
      <c r="T652" s="620">
        <v>1936</v>
      </c>
      <c r="U652" s="620">
        <v>2019</v>
      </c>
      <c r="V652" s="620">
        <v>30</v>
      </c>
      <c r="W652" s="620">
        <v>1</v>
      </c>
    </row>
    <row r="653" spans="1:23" x14ac:dyDescent="0.25">
      <c r="A653" s="620" t="s">
        <v>2496</v>
      </c>
      <c r="B653" s="620" t="s">
        <v>2497</v>
      </c>
      <c r="C653" s="620">
        <v>2581</v>
      </c>
      <c r="D653" s="620">
        <v>658526</v>
      </c>
      <c r="E653" s="620">
        <v>4670924918</v>
      </c>
      <c r="F653" s="620">
        <v>6756</v>
      </c>
      <c r="G653" s="620">
        <v>7093</v>
      </c>
      <c r="H653" s="620">
        <v>7093</v>
      </c>
      <c r="I653" s="620">
        <v>337</v>
      </c>
      <c r="J653" s="620">
        <v>4.99</v>
      </c>
      <c r="K653" s="620">
        <v>6987</v>
      </c>
      <c r="L653" s="620">
        <v>231</v>
      </c>
      <c r="M653" s="620">
        <v>3.42</v>
      </c>
      <c r="N653" s="620">
        <v>7093</v>
      </c>
      <c r="O653" s="620">
        <v>7093</v>
      </c>
      <c r="P653" s="620" t="s">
        <v>2498</v>
      </c>
      <c r="Q653" s="620" t="s">
        <v>2499</v>
      </c>
      <c r="R653" s="620">
        <v>3629</v>
      </c>
      <c r="S653" s="620">
        <v>53965421</v>
      </c>
      <c r="T653" s="620">
        <v>7093</v>
      </c>
      <c r="U653" s="620">
        <v>7093</v>
      </c>
      <c r="V653" s="620">
        <v>550</v>
      </c>
      <c r="W653" s="620">
        <v>2</v>
      </c>
    </row>
    <row r="654" spans="1:23" x14ac:dyDescent="0.25">
      <c r="A654" s="620" t="s">
        <v>2500</v>
      </c>
      <c r="B654" s="620" t="s">
        <v>2501</v>
      </c>
      <c r="C654" s="620">
        <v>149</v>
      </c>
      <c r="D654" s="620">
        <v>307350</v>
      </c>
      <c r="E654" s="620">
        <v>5946549897</v>
      </c>
      <c r="F654" s="620">
        <v>18990</v>
      </c>
      <c r="G654" s="620">
        <v>18919</v>
      </c>
      <c r="H654" s="620">
        <v>19399</v>
      </c>
      <c r="I654" s="620">
        <v>409</v>
      </c>
      <c r="J654" s="620">
        <v>2.15</v>
      </c>
      <c r="K654" s="620">
        <v>19193</v>
      </c>
      <c r="L654" s="620">
        <v>203</v>
      </c>
      <c r="M654" s="620">
        <v>1.07</v>
      </c>
      <c r="N654" s="620">
        <v>18919</v>
      </c>
      <c r="O654" s="620">
        <v>19589</v>
      </c>
      <c r="P654" s="620" t="s">
        <v>2502</v>
      </c>
      <c r="Q654" s="620" t="s">
        <v>1325</v>
      </c>
      <c r="R654" s="620">
        <v>1</v>
      </c>
      <c r="S654" s="620">
        <v>100</v>
      </c>
      <c r="T654" s="620">
        <v>19160</v>
      </c>
      <c r="U654" s="620">
        <v>19400</v>
      </c>
      <c r="V654" s="620">
        <v>5300</v>
      </c>
      <c r="W654" s="620">
        <v>2</v>
      </c>
    </row>
    <row r="655" spans="1:23" x14ac:dyDescent="0.25">
      <c r="A655" s="620" t="s">
        <v>2503</v>
      </c>
      <c r="B655" s="620" t="s">
        <v>2504</v>
      </c>
      <c r="C655" s="620">
        <v>636</v>
      </c>
      <c r="D655" s="620">
        <v>3021239</v>
      </c>
      <c r="E655" s="620">
        <v>19839739207</v>
      </c>
      <c r="F655" s="620">
        <v>6909</v>
      </c>
      <c r="G655" s="620">
        <v>6564</v>
      </c>
      <c r="H655" s="620">
        <v>6564</v>
      </c>
      <c r="I655" s="620">
        <v>-345</v>
      </c>
      <c r="J655" s="620">
        <v>-4.99</v>
      </c>
      <c r="K655" s="620">
        <v>6567</v>
      </c>
      <c r="L655" s="620">
        <v>-342</v>
      </c>
      <c r="M655" s="620">
        <v>-4.95</v>
      </c>
      <c r="N655" s="620">
        <v>6564</v>
      </c>
      <c r="O655" s="620">
        <v>6780</v>
      </c>
      <c r="P655" s="620" t="s">
        <v>2505</v>
      </c>
      <c r="Q655" s="620" t="s">
        <v>2506</v>
      </c>
      <c r="R655" s="620">
        <v>1</v>
      </c>
      <c r="S655" s="620">
        <v>230</v>
      </c>
      <c r="T655" s="620">
        <v>6514</v>
      </c>
      <c r="U655" s="620">
        <v>6564</v>
      </c>
      <c r="V655" s="620">
        <v>951817</v>
      </c>
      <c r="W655" s="620">
        <v>77</v>
      </c>
    </row>
    <row r="656" spans="1:23" x14ac:dyDescent="0.25">
      <c r="A656" s="620" t="s">
        <v>2507</v>
      </c>
      <c r="B656" s="620" t="s">
        <v>2508</v>
      </c>
      <c r="C656" s="620">
        <v>83</v>
      </c>
      <c r="D656" s="620">
        <v>292354</v>
      </c>
      <c r="E656" s="620">
        <v>3406216454</v>
      </c>
      <c r="F656" s="620">
        <v>12264</v>
      </c>
      <c r="G656" s="620">
        <v>11651</v>
      </c>
      <c r="H656" s="620">
        <v>11651</v>
      </c>
      <c r="I656" s="620">
        <v>-613</v>
      </c>
      <c r="J656" s="620">
        <v>-5</v>
      </c>
      <c r="K656" s="620">
        <v>11651</v>
      </c>
      <c r="L656" s="620">
        <v>-613</v>
      </c>
      <c r="M656" s="620">
        <v>-5</v>
      </c>
      <c r="N656" s="620">
        <v>11651</v>
      </c>
      <c r="O656" s="620">
        <v>11651</v>
      </c>
      <c r="P656" s="620" t="s">
        <v>2509</v>
      </c>
      <c r="Q656" s="620" t="s">
        <v>2510</v>
      </c>
      <c r="R656" s="620">
        <v>0</v>
      </c>
      <c r="S656" s="620">
        <v>0</v>
      </c>
      <c r="T656" s="620">
        <v>0</v>
      </c>
      <c r="U656" s="620">
        <v>11651</v>
      </c>
      <c r="V656" s="620">
        <v>3053525</v>
      </c>
      <c r="W656" s="620">
        <v>326</v>
      </c>
    </row>
    <row r="657" spans="1:23" x14ac:dyDescent="0.25">
      <c r="A657" s="620" t="s">
        <v>2511</v>
      </c>
      <c r="B657" s="620" t="s">
        <v>2512</v>
      </c>
      <c r="C657" s="620">
        <v>0</v>
      </c>
      <c r="D657" s="620">
        <v>0</v>
      </c>
      <c r="E657" s="620">
        <v>0</v>
      </c>
      <c r="F657" s="620">
        <v>1</v>
      </c>
      <c r="G657" s="620">
        <v>0</v>
      </c>
      <c r="H657" s="620">
        <v>1</v>
      </c>
      <c r="I657" s="620">
        <v>0</v>
      </c>
      <c r="J657" s="620">
        <v>0</v>
      </c>
      <c r="K657" s="620">
        <v>1</v>
      </c>
      <c r="L657" s="620">
        <v>0</v>
      </c>
      <c r="M657" s="620">
        <v>0</v>
      </c>
      <c r="N657" s="620">
        <v>0</v>
      </c>
      <c r="O657" s="620">
        <v>0</v>
      </c>
      <c r="R657" s="620">
        <v>1</v>
      </c>
      <c r="S657" s="620">
        <v>100</v>
      </c>
      <c r="T657" s="620">
        <v>5</v>
      </c>
      <c r="U657" s="620">
        <v>0</v>
      </c>
      <c r="V657" s="620">
        <v>0</v>
      </c>
      <c r="W657" s="620">
        <v>0</v>
      </c>
    </row>
    <row r="658" spans="1:23" x14ac:dyDescent="0.25">
      <c r="A658" s="620" t="s">
        <v>2513</v>
      </c>
      <c r="B658" s="620" t="s">
        <v>2514</v>
      </c>
      <c r="C658" s="620">
        <v>1</v>
      </c>
      <c r="D658" s="620">
        <v>50</v>
      </c>
      <c r="E658" s="620">
        <v>49776850</v>
      </c>
      <c r="F658" s="620">
        <v>991046</v>
      </c>
      <c r="G658" s="620">
        <v>995537</v>
      </c>
      <c r="H658" s="620">
        <v>995537</v>
      </c>
      <c r="I658" s="620">
        <v>4491</v>
      </c>
      <c r="J658" s="620">
        <v>0.45</v>
      </c>
      <c r="K658" s="620">
        <v>995537</v>
      </c>
      <c r="L658" s="620">
        <v>4491</v>
      </c>
      <c r="M658" s="620">
        <v>0.45</v>
      </c>
      <c r="N658" s="620">
        <v>995537</v>
      </c>
      <c r="O658" s="620">
        <v>995537</v>
      </c>
      <c r="R658" s="620">
        <v>1</v>
      </c>
      <c r="S658" s="620">
        <v>1400</v>
      </c>
      <c r="T658" s="620">
        <v>985680</v>
      </c>
      <c r="U658" s="620">
        <v>995538</v>
      </c>
      <c r="V658" s="620">
        <v>1400</v>
      </c>
      <c r="W658" s="620">
        <v>1</v>
      </c>
    </row>
    <row r="659" spans="1:23" x14ac:dyDescent="0.25">
      <c r="A659" s="620" t="s">
        <v>2515</v>
      </c>
      <c r="B659" s="620" t="s">
        <v>2516</v>
      </c>
      <c r="C659" s="620">
        <v>608</v>
      </c>
      <c r="D659" s="620">
        <v>4510469</v>
      </c>
      <c r="E659" s="620">
        <v>28977442423</v>
      </c>
      <c r="F659" s="620">
        <v>6543</v>
      </c>
      <c r="G659" s="620">
        <v>6216</v>
      </c>
      <c r="H659" s="620">
        <v>6369</v>
      </c>
      <c r="I659" s="620">
        <v>-174</v>
      </c>
      <c r="J659" s="620">
        <v>-2.66</v>
      </c>
      <c r="K659" s="620">
        <v>6424</v>
      </c>
      <c r="L659" s="620">
        <v>-119</v>
      </c>
      <c r="M659" s="620">
        <v>-1.82</v>
      </c>
      <c r="N659" s="620">
        <v>6216</v>
      </c>
      <c r="O659" s="620">
        <v>6750</v>
      </c>
      <c r="P659" s="620" t="s">
        <v>1481</v>
      </c>
      <c r="Q659" s="620" t="s">
        <v>2517</v>
      </c>
      <c r="R659" s="620">
        <v>2</v>
      </c>
      <c r="S659" s="620">
        <v>15000</v>
      </c>
      <c r="T659" s="620">
        <v>6305</v>
      </c>
      <c r="U659" s="620">
        <v>6305</v>
      </c>
      <c r="V659" s="620">
        <v>100</v>
      </c>
      <c r="W659" s="620">
        <v>1</v>
      </c>
    </row>
    <row r="660" spans="1:23" x14ac:dyDescent="0.25">
      <c r="A660" s="620" t="s">
        <v>2518</v>
      </c>
      <c r="B660" s="620" t="s">
        <v>2519</v>
      </c>
      <c r="C660" s="620">
        <v>0</v>
      </c>
      <c r="D660" s="620">
        <v>0</v>
      </c>
      <c r="E660" s="620">
        <v>0</v>
      </c>
      <c r="F660" s="620">
        <v>1000000</v>
      </c>
      <c r="G660" s="620">
        <v>0</v>
      </c>
      <c r="H660" s="620">
        <v>1000000</v>
      </c>
      <c r="I660" s="620">
        <v>0</v>
      </c>
      <c r="J660" s="620">
        <v>0</v>
      </c>
      <c r="K660" s="620">
        <v>1000000</v>
      </c>
      <c r="L660" s="620">
        <v>0</v>
      </c>
      <c r="M660" s="620">
        <v>0</v>
      </c>
      <c r="N660" s="620">
        <v>0</v>
      </c>
      <c r="O660" s="620">
        <v>0</v>
      </c>
      <c r="R660" s="620">
        <v>1</v>
      </c>
      <c r="S660" s="620">
        <v>1248</v>
      </c>
      <c r="T660" s="620">
        <v>1000000</v>
      </c>
      <c r="U660" s="620">
        <v>1010000</v>
      </c>
      <c r="V660" s="620">
        <v>1250</v>
      </c>
      <c r="W660" s="620">
        <v>1</v>
      </c>
    </row>
    <row r="661" spans="1:23" x14ac:dyDescent="0.25">
      <c r="A661" s="620" t="s">
        <v>2520</v>
      </c>
      <c r="B661" s="620" t="s">
        <v>2521</v>
      </c>
      <c r="C661" s="620">
        <v>223</v>
      </c>
      <c r="D661" s="620">
        <v>2403086</v>
      </c>
      <c r="E661" s="620">
        <v>2954360806</v>
      </c>
      <c r="F661" s="620">
        <v>1267</v>
      </c>
      <c r="G661" s="620">
        <v>1229</v>
      </c>
      <c r="H661" s="620">
        <v>1229</v>
      </c>
      <c r="I661" s="620">
        <v>-38</v>
      </c>
      <c r="J661" s="620">
        <v>-3</v>
      </c>
      <c r="K661" s="620">
        <v>1229</v>
      </c>
      <c r="L661" s="620">
        <v>-38</v>
      </c>
      <c r="M661" s="620">
        <v>-3</v>
      </c>
      <c r="N661" s="620">
        <v>1229</v>
      </c>
      <c r="O661" s="620">
        <v>1239</v>
      </c>
      <c r="P661" s="620" t="s">
        <v>2522</v>
      </c>
      <c r="Q661" s="620" t="s">
        <v>2523</v>
      </c>
      <c r="R661" s="620">
        <v>0</v>
      </c>
      <c r="S661" s="620">
        <v>0</v>
      </c>
      <c r="T661" s="620">
        <v>0</v>
      </c>
      <c r="U661" s="620">
        <v>1229</v>
      </c>
      <c r="V661" s="620">
        <v>112804</v>
      </c>
      <c r="W661" s="620">
        <v>3</v>
      </c>
    </row>
    <row r="662" spans="1:23" x14ac:dyDescent="0.25">
      <c r="A662" s="620" t="s">
        <v>2524</v>
      </c>
      <c r="B662" s="620" t="s">
        <v>2525</v>
      </c>
      <c r="C662" s="620">
        <v>961</v>
      </c>
      <c r="D662" s="620">
        <v>6148002</v>
      </c>
      <c r="E662" s="620">
        <v>21566383559</v>
      </c>
      <c r="F662" s="620">
        <v>3408</v>
      </c>
      <c r="G662" s="620">
        <v>3240</v>
      </c>
      <c r="H662" s="620">
        <v>3455</v>
      </c>
      <c r="I662" s="620">
        <v>47</v>
      </c>
      <c r="J662" s="620">
        <v>1.38</v>
      </c>
      <c r="K662" s="620">
        <v>3508</v>
      </c>
      <c r="L662" s="620">
        <v>100</v>
      </c>
      <c r="M662" s="620">
        <v>2.93</v>
      </c>
      <c r="N662" s="620">
        <v>3240</v>
      </c>
      <c r="O662" s="620">
        <v>3578</v>
      </c>
      <c r="P662" s="620" t="s">
        <v>1356</v>
      </c>
      <c r="Q662" s="620" t="s">
        <v>2526</v>
      </c>
      <c r="R662" s="620">
        <v>4</v>
      </c>
      <c r="S662" s="620">
        <v>151000</v>
      </c>
      <c r="T662" s="620">
        <v>3507</v>
      </c>
      <c r="U662" s="620">
        <v>3507</v>
      </c>
      <c r="V662" s="620">
        <v>999</v>
      </c>
      <c r="W662" s="620">
        <v>1</v>
      </c>
    </row>
    <row r="663" spans="1:23" x14ac:dyDescent="0.25">
      <c r="A663" s="620" t="s">
        <v>2527</v>
      </c>
      <c r="B663" s="620" t="s">
        <v>2528</v>
      </c>
      <c r="C663" s="620">
        <v>530</v>
      </c>
      <c r="D663" s="620">
        <v>5317856</v>
      </c>
      <c r="E663" s="620">
        <v>12988008208</v>
      </c>
      <c r="F663" s="620">
        <v>2569</v>
      </c>
      <c r="G663" s="620">
        <v>2441</v>
      </c>
      <c r="H663" s="620">
        <v>2441</v>
      </c>
      <c r="I663" s="620">
        <v>-128</v>
      </c>
      <c r="J663" s="620">
        <v>-4.9800000000000004</v>
      </c>
      <c r="K663" s="620">
        <v>2442</v>
      </c>
      <c r="L663" s="620">
        <v>-127</v>
      </c>
      <c r="M663" s="620">
        <v>-4.9400000000000004</v>
      </c>
      <c r="N663" s="620">
        <v>2441</v>
      </c>
      <c r="O663" s="620">
        <v>2500</v>
      </c>
      <c r="P663" s="620" t="s">
        <v>2529</v>
      </c>
      <c r="Q663" s="620" t="s">
        <v>2530</v>
      </c>
      <c r="R663" s="620">
        <v>0</v>
      </c>
      <c r="S663" s="620">
        <v>0</v>
      </c>
      <c r="T663" s="620">
        <v>0</v>
      </c>
      <c r="U663" s="620">
        <v>2441</v>
      </c>
      <c r="V663" s="620">
        <v>2309316</v>
      </c>
      <c r="W663" s="620">
        <v>114</v>
      </c>
    </row>
    <row r="664" spans="1:23" x14ac:dyDescent="0.25">
      <c r="A664" s="620" t="s">
        <v>2531</v>
      </c>
      <c r="B664" s="620" t="s">
        <v>2532</v>
      </c>
      <c r="C664" s="620">
        <v>0</v>
      </c>
      <c r="D664" s="620">
        <v>0</v>
      </c>
      <c r="E664" s="620">
        <v>0</v>
      </c>
      <c r="F664" s="620">
        <v>1</v>
      </c>
      <c r="G664" s="620">
        <v>0</v>
      </c>
      <c r="H664" s="620">
        <v>1</v>
      </c>
      <c r="I664" s="620">
        <v>0</v>
      </c>
      <c r="J664" s="620">
        <v>0</v>
      </c>
      <c r="K664" s="620">
        <v>1</v>
      </c>
      <c r="L664" s="620">
        <v>0</v>
      </c>
      <c r="M664" s="620">
        <v>0</v>
      </c>
      <c r="N664" s="620">
        <v>0</v>
      </c>
      <c r="O664" s="620">
        <v>0</v>
      </c>
      <c r="R664" s="620">
        <v>6</v>
      </c>
      <c r="S664" s="620">
        <v>600</v>
      </c>
      <c r="T664" s="620">
        <v>6</v>
      </c>
      <c r="U664" s="620">
        <v>0</v>
      </c>
      <c r="V664" s="620">
        <v>0</v>
      </c>
      <c r="W664" s="620">
        <v>0</v>
      </c>
    </row>
    <row r="665" spans="1:23" x14ac:dyDescent="0.25">
      <c r="A665" s="620" t="s">
        <v>2533</v>
      </c>
      <c r="B665" s="620" t="s">
        <v>2534</v>
      </c>
      <c r="C665" s="620">
        <v>313</v>
      </c>
      <c r="D665" s="620">
        <v>1604229</v>
      </c>
      <c r="E665" s="620">
        <v>20095931221</v>
      </c>
      <c r="F665" s="620">
        <v>12604</v>
      </c>
      <c r="G665" s="620">
        <v>11974</v>
      </c>
      <c r="H665" s="620">
        <v>12536</v>
      </c>
      <c r="I665" s="620">
        <v>-68</v>
      </c>
      <c r="J665" s="620">
        <v>-0.54</v>
      </c>
      <c r="K665" s="620">
        <v>12527</v>
      </c>
      <c r="L665" s="620">
        <v>-77</v>
      </c>
      <c r="M665" s="620">
        <v>-0.61</v>
      </c>
      <c r="N665" s="620">
        <v>11974</v>
      </c>
      <c r="O665" s="620">
        <v>12799</v>
      </c>
      <c r="P665" s="620" t="s">
        <v>2535</v>
      </c>
      <c r="Q665" s="620" t="s">
        <v>2536</v>
      </c>
      <c r="R665" s="620">
        <v>2</v>
      </c>
      <c r="S665" s="620">
        <v>3152</v>
      </c>
      <c r="T665" s="620">
        <v>12532</v>
      </c>
      <c r="U665" s="620">
        <v>12610</v>
      </c>
      <c r="V665" s="620">
        <v>100</v>
      </c>
      <c r="W665" s="620">
        <v>1</v>
      </c>
    </row>
    <row r="666" spans="1:23" x14ac:dyDescent="0.25">
      <c r="A666" s="620" t="s">
        <v>2537</v>
      </c>
      <c r="B666" s="620" t="s">
        <v>2538</v>
      </c>
      <c r="C666" s="620">
        <v>0</v>
      </c>
      <c r="D666" s="620">
        <v>0</v>
      </c>
      <c r="E666" s="620">
        <v>0</v>
      </c>
      <c r="F666" s="620">
        <v>6489</v>
      </c>
      <c r="G666" s="620">
        <v>6683</v>
      </c>
      <c r="H666" s="620">
        <v>6489</v>
      </c>
      <c r="I666" s="620">
        <v>0</v>
      </c>
      <c r="J666" s="620">
        <v>0</v>
      </c>
      <c r="K666" s="620">
        <v>6489</v>
      </c>
      <c r="L666" s="620">
        <v>0</v>
      </c>
      <c r="M666" s="620">
        <v>0</v>
      </c>
      <c r="N666" s="620">
        <v>6683</v>
      </c>
      <c r="O666" s="620">
        <v>6683</v>
      </c>
      <c r="P666" s="620" t="s">
        <v>2539</v>
      </c>
      <c r="Q666" s="620" t="s">
        <v>2540</v>
      </c>
      <c r="R666" s="620">
        <v>1</v>
      </c>
      <c r="S666" s="620">
        <v>1001</v>
      </c>
      <c r="T666" s="620">
        <v>6683</v>
      </c>
      <c r="U666" s="620">
        <v>0</v>
      </c>
      <c r="V666" s="620">
        <v>0</v>
      </c>
      <c r="W666" s="620">
        <v>0</v>
      </c>
    </row>
    <row r="667" spans="1:23" x14ac:dyDescent="0.25">
      <c r="A667" s="620" t="s">
        <v>2541</v>
      </c>
      <c r="B667" s="620" t="s">
        <v>2542</v>
      </c>
      <c r="C667" s="620">
        <v>1</v>
      </c>
      <c r="D667" s="620">
        <v>5</v>
      </c>
      <c r="E667" s="620">
        <v>50</v>
      </c>
      <c r="F667" s="620">
        <v>387483</v>
      </c>
      <c r="G667" s="620">
        <v>10</v>
      </c>
      <c r="H667" s="620">
        <v>10</v>
      </c>
      <c r="I667" s="620">
        <v>-387473</v>
      </c>
      <c r="J667" s="620">
        <v>-100</v>
      </c>
      <c r="K667" s="620">
        <v>10</v>
      </c>
      <c r="L667" s="620">
        <v>-387473</v>
      </c>
      <c r="M667" s="620">
        <v>-100</v>
      </c>
      <c r="N667" s="620">
        <v>10</v>
      </c>
      <c r="O667" s="620">
        <v>10</v>
      </c>
      <c r="R667" s="620">
        <v>0</v>
      </c>
      <c r="S667" s="620">
        <v>0</v>
      </c>
      <c r="T667" s="620">
        <v>0</v>
      </c>
      <c r="U667" s="620">
        <v>0</v>
      </c>
      <c r="V667" s="620">
        <v>0</v>
      </c>
      <c r="W667" s="620">
        <v>0</v>
      </c>
    </row>
    <row r="668" spans="1:23" x14ac:dyDescent="0.25">
      <c r="A668" s="620" t="s">
        <v>2543</v>
      </c>
      <c r="B668" s="620" t="s">
        <v>2544</v>
      </c>
      <c r="C668" s="620">
        <v>1979</v>
      </c>
      <c r="D668" s="620">
        <v>3630090</v>
      </c>
      <c r="E668" s="620">
        <v>52913867576</v>
      </c>
      <c r="F668" s="620">
        <v>15232</v>
      </c>
      <c r="G668" s="620">
        <v>14600</v>
      </c>
      <c r="H668" s="620">
        <v>14471</v>
      </c>
      <c r="I668" s="620">
        <v>-761</v>
      </c>
      <c r="J668" s="620">
        <v>-5</v>
      </c>
      <c r="K668" s="620">
        <v>14576</v>
      </c>
      <c r="L668" s="620">
        <v>-656</v>
      </c>
      <c r="M668" s="620">
        <v>-4.3099999999999996</v>
      </c>
      <c r="N668" s="620">
        <v>14471</v>
      </c>
      <c r="O668" s="620">
        <v>15099</v>
      </c>
      <c r="P668" s="620" t="s">
        <v>2545</v>
      </c>
      <c r="Q668" s="620" t="s">
        <v>2546</v>
      </c>
      <c r="R668" s="620">
        <v>1</v>
      </c>
      <c r="S668" s="620">
        <v>140</v>
      </c>
      <c r="T668" s="620">
        <v>13210</v>
      </c>
      <c r="U668" s="620">
        <v>14471</v>
      </c>
      <c r="V668" s="620">
        <v>109800</v>
      </c>
      <c r="W668" s="620">
        <v>24</v>
      </c>
    </row>
    <row r="669" spans="1:23" x14ac:dyDescent="0.25">
      <c r="A669" s="620" t="s">
        <v>2547</v>
      </c>
      <c r="B669" s="620" t="s">
        <v>2548</v>
      </c>
      <c r="C669" s="620">
        <v>0</v>
      </c>
      <c r="D669" s="620">
        <v>0</v>
      </c>
      <c r="E669" s="620">
        <v>0</v>
      </c>
      <c r="F669" s="620">
        <v>1</v>
      </c>
      <c r="G669" s="620">
        <v>0</v>
      </c>
      <c r="H669" s="620">
        <v>1</v>
      </c>
      <c r="I669" s="620">
        <v>0</v>
      </c>
      <c r="J669" s="620">
        <v>0</v>
      </c>
      <c r="K669" s="620">
        <v>1</v>
      </c>
      <c r="L669" s="620">
        <v>0</v>
      </c>
      <c r="M669" s="620">
        <v>0</v>
      </c>
      <c r="N669" s="620">
        <v>0</v>
      </c>
      <c r="O669" s="620">
        <v>0</v>
      </c>
      <c r="R669" s="620">
        <v>1</v>
      </c>
      <c r="S669" s="620">
        <v>1</v>
      </c>
      <c r="T669" s="620">
        <v>200</v>
      </c>
      <c r="U669" s="620">
        <v>0</v>
      </c>
      <c r="V669" s="620">
        <v>0</v>
      </c>
      <c r="W669" s="620">
        <v>0</v>
      </c>
    </row>
    <row r="670" spans="1:23" x14ac:dyDescent="0.25">
      <c r="A670" s="620" t="s">
        <v>2549</v>
      </c>
      <c r="B670" s="620" t="s">
        <v>2550</v>
      </c>
      <c r="C670" s="620">
        <v>75</v>
      </c>
      <c r="D670" s="620">
        <v>778704</v>
      </c>
      <c r="E670" s="620">
        <v>1001413344</v>
      </c>
      <c r="F670" s="620">
        <v>1312</v>
      </c>
      <c r="G670" s="620">
        <v>1286</v>
      </c>
      <c r="H670" s="620">
        <v>1286</v>
      </c>
      <c r="I670" s="620">
        <v>-26</v>
      </c>
      <c r="J670" s="620">
        <v>-1.98</v>
      </c>
      <c r="K670" s="620">
        <v>1286</v>
      </c>
      <c r="L670" s="620">
        <v>-26</v>
      </c>
      <c r="M670" s="620">
        <v>-1.98</v>
      </c>
      <c r="N670" s="620">
        <v>1286</v>
      </c>
      <c r="O670" s="620">
        <v>1286</v>
      </c>
      <c r="P670" s="620" t="s">
        <v>2551</v>
      </c>
      <c r="Q670" s="620" t="s">
        <v>2552</v>
      </c>
      <c r="R670" s="620">
        <v>0</v>
      </c>
      <c r="S670" s="620">
        <v>0</v>
      </c>
      <c r="T670" s="620">
        <v>0</v>
      </c>
      <c r="U670" s="620">
        <v>1286</v>
      </c>
      <c r="V670" s="620">
        <v>3043579</v>
      </c>
      <c r="W670" s="620">
        <v>94</v>
      </c>
    </row>
    <row r="671" spans="1:23" x14ac:dyDescent="0.25">
      <c r="A671" s="620" t="s">
        <v>2553</v>
      </c>
      <c r="B671" s="620" t="s">
        <v>2554</v>
      </c>
      <c r="C671" s="620">
        <v>1169</v>
      </c>
      <c r="D671" s="620">
        <v>2549044</v>
      </c>
      <c r="E671" s="620">
        <v>31284732694</v>
      </c>
      <c r="F671" s="620">
        <v>12042</v>
      </c>
      <c r="G671" s="620">
        <v>11900</v>
      </c>
      <c r="H671" s="620">
        <v>12200</v>
      </c>
      <c r="I671" s="620">
        <v>158</v>
      </c>
      <c r="J671" s="620">
        <v>1.31</v>
      </c>
      <c r="K671" s="620">
        <v>12273</v>
      </c>
      <c r="L671" s="620">
        <v>231</v>
      </c>
      <c r="M671" s="620">
        <v>1.92</v>
      </c>
      <c r="N671" s="620">
        <v>11456</v>
      </c>
      <c r="O671" s="620">
        <v>12600</v>
      </c>
      <c r="P671" s="620" t="s">
        <v>2555</v>
      </c>
      <c r="Q671" s="620" t="s">
        <v>2556</v>
      </c>
      <c r="R671" s="620">
        <v>1</v>
      </c>
      <c r="S671" s="620">
        <v>4024</v>
      </c>
      <c r="T671" s="620">
        <v>12200</v>
      </c>
      <c r="U671" s="620">
        <v>12250</v>
      </c>
      <c r="V671" s="620">
        <v>7000</v>
      </c>
      <c r="W671" s="620">
        <v>1</v>
      </c>
    </row>
    <row r="672" spans="1:23" x14ac:dyDescent="0.25">
      <c r="A672" s="620" t="s">
        <v>2557</v>
      </c>
      <c r="B672" s="620" t="s">
        <v>2558</v>
      </c>
      <c r="C672" s="620">
        <v>36</v>
      </c>
      <c r="D672" s="620">
        <v>150962</v>
      </c>
      <c r="E672" s="620">
        <v>987593404</v>
      </c>
      <c r="F672" s="620">
        <v>6886</v>
      </c>
      <c r="G672" s="620">
        <v>6542</v>
      </c>
      <c r="H672" s="620">
        <v>6542</v>
      </c>
      <c r="I672" s="620">
        <v>-344</v>
      </c>
      <c r="J672" s="620">
        <v>-5</v>
      </c>
      <c r="K672" s="620">
        <v>6542</v>
      </c>
      <c r="L672" s="620">
        <v>-344</v>
      </c>
      <c r="M672" s="620">
        <v>-5</v>
      </c>
      <c r="N672" s="620">
        <v>6542</v>
      </c>
      <c r="O672" s="620">
        <v>6542</v>
      </c>
      <c r="P672" s="620" t="s">
        <v>2559</v>
      </c>
      <c r="Q672" s="620" t="s">
        <v>2560</v>
      </c>
      <c r="R672" s="620">
        <v>1</v>
      </c>
      <c r="S672" s="620">
        <v>20836</v>
      </c>
      <c r="T672" s="620">
        <v>4776</v>
      </c>
      <c r="U672" s="620">
        <v>6542</v>
      </c>
      <c r="V672" s="620">
        <v>1889470</v>
      </c>
      <c r="W672" s="620">
        <v>113</v>
      </c>
    </row>
    <row r="673" spans="1:23" x14ac:dyDescent="0.25">
      <c r="A673" s="620" t="s">
        <v>2561</v>
      </c>
      <c r="B673" s="620" t="s">
        <v>2562</v>
      </c>
      <c r="C673" s="620">
        <v>37</v>
      </c>
      <c r="D673" s="620">
        <v>94308</v>
      </c>
      <c r="E673" s="620">
        <v>1141586835</v>
      </c>
      <c r="F673" s="620">
        <v>12439</v>
      </c>
      <c r="G673" s="620">
        <v>12068</v>
      </c>
      <c r="H673" s="620">
        <v>12100</v>
      </c>
      <c r="I673" s="620">
        <v>-339</v>
      </c>
      <c r="J673" s="620">
        <v>-2.73</v>
      </c>
      <c r="K673" s="620">
        <v>12105</v>
      </c>
      <c r="L673" s="620">
        <v>-334</v>
      </c>
      <c r="M673" s="620">
        <v>-2.69</v>
      </c>
      <c r="N673" s="620">
        <v>12068</v>
      </c>
      <c r="O673" s="620">
        <v>12430</v>
      </c>
      <c r="P673" s="620" t="s">
        <v>2563</v>
      </c>
      <c r="Q673" s="620" t="s">
        <v>2564</v>
      </c>
      <c r="R673" s="620">
        <v>1</v>
      </c>
      <c r="S673" s="620">
        <v>347</v>
      </c>
      <c r="T673" s="620">
        <v>12100</v>
      </c>
      <c r="U673" s="620">
        <v>12100</v>
      </c>
      <c r="V673" s="620">
        <v>347</v>
      </c>
      <c r="W673" s="620">
        <v>1</v>
      </c>
    </row>
    <row r="674" spans="1:23" x14ac:dyDescent="0.25">
      <c r="A674" s="620" t="s">
        <v>2565</v>
      </c>
      <c r="B674" s="620" t="s">
        <v>2566</v>
      </c>
      <c r="C674" s="620">
        <v>77</v>
      </c>
      <c r="D674" s="620">
        <v>1412500</v>
      </c>
      <c r="E674" s="620">
        <v>10586784027</v>
      </c>
      <c r="F674" s="620">
        <v>7726</v>
      </c>
      <c r="G674" s="620">
        <v>7946</v>
      </c>
      <c r="H674" s="620">
        <v>7495</v>
      </c>
      <c r="I674" s="620">
        <v>-231</v>
      </c>
      <c r="J674" s="620">
        <v>-2.99</v>
      </c>
      <c r="K674" s="620">
        <v>7495</v>
      </c>
      <c r="L674" s="620">
        <v>-231</v>
      </c>
      <c r="M674" s="620">
        <v>-2.99</v>
      </c>
      <c r="N674" s="620">
        <v>7495</v>
      </c>
      <c r="O674" s="620">
        <v>7946</v>
      </c>
      <c r="P674" s="620" t="s">
        <v>2567</v>
      </c>
      <c r="Q674" s="620" t="s">
        <v>2568</v>
      </c>
      <c r="R674" s="620">
        <v>0</v>
      </c>
      <c r="S674" s="620">
        <v>0</v>
      </c>
      <c r="T674" s="620">
        <v>0</v>
      </c>
      <c r="U674" s="620">
        <v>7495</v>
      </c>
      <c r="V674" s="620">
        <v>42514</v>
      </c>
      <c r="W674" s="620">
        <v>5</v>
      </c>
    </row>
    <row r="675" spans="1:23" x14ac:dyDescent="0.25">
      <c r="A675" s="620" t="s">
        <v>2569</v>
      </c>
      <c r="B675" s="620" t="s">
        <v>2570</v>
      </c>
      <c r="C675" s="620">
        <v>2923</v>
      </c>
      <c r="D675" s="620">
        <v>44716632</v>
      </c>
      <c r="E675" s="620">
        <v>156554510793</v>
      </c>
      <c r="F675" s="620">
        <v>3676</v>
      </c>
      <c r="G675" s="620">
        <v>3493</v>
      </c>
      <c r="H675" s="620">
        <v>3493</v>
      </c>
      <c r="I675" s="620">
        <v>-183</v>
      </c>
      <c r="J675" s="620">
        <v>-4.9800000000000004</v>
      </c>
      <c r="K675" s="620">
        <v>3501</v>
      </c>
      <c r="L675" s="620">
        <v>-175</v>
      </c>
      <c r="M675" s="620">
        <v>-4.76</v>
      </c>
      <c r="N675" s="620">
        <v>3493</v>
      </c>
      <c r="O675" s="620">
        <v>3598</v>
      </c>
      <c r="P675" s="620" t="s">
        <v>2571</v>
      </c>
      <c r="Q675" s="620" t="s">
        <v>2572</v>
      </c>
      <c r="R675" s="620">
        <v>1</v>
      </c>
      <c r="S675" s="620">
        <v>10000</v>
      </c>
      <c r="T675" s="620">
        <v>3072</v>
      </c>
      <c r="U675" s="620">
        <v>3493</v>
      </c>
      <c r="V675" s="620">
        <v>9378108</v>
      </c>
      <c r="W675" s="620">
        <v>202</v>
      </c>
    </row>
    <row r="676" spans="1:23" x14ac:dyDescent="0.25">
      <c r="A676" s="620" t="s">
        <v>2573</v>
      </c>
      <c r="B676" s="620" t="s">
        <v>2574</v>
      </c>
      <c r="C676" s="620">
        <v>339</v>
      </c>
      <c r="D676" s="620">
        <v>1165773</v>
      </c>
      <c r="E676" s="620">
        <v>40046634096</v>
      </c>
      <c r="F676" s="620">
        <v>32717</v>
      </c>
      <c r="G676" s="620">
        <v>34352</v>
      </c>
      <c r="H676" s="620">
        <v>34352</v>
      </c>
      <c r="I676" s="620">
        <v>1635</v>
      </c>
      <c r="J676" s="620">
        <v>5</v>
      </c>
      <c r="K676" s="620">
        <v>34352</v>
      </c>
      <c r="L676" s="620">
        <v>1635</v>
      </c>
      <c r="M676" s="620">
        <v>5</v>
      </c>
      <c r="N676" s="620">
        <v>34352</v>
      </c>
      <c r="O676" s="620">
        <v>34352</v>
      </c>
      <c r="P676" s="620" t="s">
        <v>2575</v>
      </c>
      <c r="Q676" s="620" t="s">
        <v>2576</v>
      </c>
      <c r="R676" s="620">
        <v>297</v>
      </c>
      <c r="S676" s="620">
        <v>944540</v>
      </c>
      <c r="T676" s="620">
        <v>34352</v>
      </c>
      <c r="U676" s="620">
        <v>34352</v>
      </c>
      <c r="V676" s="620">
        <v>25</v>
      </c>
      <c r="W676" s="620">
        <v>1</v>
      </c>
    </row>
    <row r="677" spans="1:23" x14ac:dyDescent="0.25">
      <c r="A677" s="620" t="s">
        <v>2577</v>
      </c>
      <c r="B677" s="620" t="s">
        <v>2578</v>
      </c>
      <c r="C677" s="620">
        <v>6812</v>
      </c>
      <c r="D677" s="620">
        <v>123010182</v>
      </c>
      <c r="E677" s="620">
        <v>231273156150</v>
      </c>
      <c r="F677" s="620">
        <v>1903</v>
      </c>
      <c r="G677" s="620">
        <v>1830</v>
      </c>
      <c r="H677" s="620">
        <v>1906</v>
      </c>
      <c r="I677" s="620">
        <v>3</v>
      </c>
      <c r="J677" s="620">
        <v>0.16</v>
      </c>
      <c r="K677" s="620">
        <v>1880</v>
      </c>
      <c r="L677" s="620">
        <v>-23</v>
      </c>
      <c r="M677" s="620">
        <v>-1.21</v>
      </c>
      <c r="N677" s="620">
        <v>1811</v>
      </c>
      <c r="O677" s="620">
        <v>1926</v>
      </c>
      <c r="P677" s="620" t="s">
        <v>2579</v>
      </c>
      <c r="Q677" s="620" t="s">
        <v>2580</v>
      </c>
      <c r="R677" s="620">
        <v>2</v>
      </c>
      <c r="S677" s="620">
        <v>60000</v>
      </c>
      <c r="T677" s="620">
        <v>1906</v>
      </c>
      <c r="U677" s="620">
        <v>1906</v>
      </c>
      <c r="V677" s="620">
        <v>103000</v>
      </c>
      <c r="W677" s="620">
        <v>3</v>
      </c>
    </row>
    <row r="678" spans="1:23" x14ac:dyDescent="0.25">
      <c r="A678" s="620" t="s">
        <v>2581</v>
      </c>
      <c r="B678" s="620" t="s">
        <v>2582</v>
      </c>
      <c r="C678" s="620">
        <v>83</v>
      </c>
      <c r="D678" s="620">
        <v>204000</v>
      </c>
      <c r="E678" s="620">
        <v>4518804000</v>
      </c>
      <c r="F678" s="620">
        <v>23316</v>
      </c>
      <c r="G678" s="620">
        <v>22151</v>
      </c>
      <c r="H678" s="620">
        <v>22151</v>
      </c>
      <c r="I678" s="620">
        <v>-1165</v>
      </c>
      <c r="J678" s="620">
        <v>-5</v>
      </c>
      <c r="K678" s="620">
        <v>22151</v>
      </c>
      <c r="L678" s="620">
        <v>-1165</v>
      </c>
      <c r="M678" s="620">
        <v>-5</v>
      </c>
      <c r="N678" s="620">
        <v>22151</v>
      </c>
      <c r="O678" s="620">
        <v>22151</v>
      </c>
      <c r="P678" s="620" t="s">
        <v>2583</v>
      </c>
      <c r="Q678" s="620" t="s">
        <v>2584</v>
      </c>
      <c r="R678" s="620">
        <v>1</v>
      </c>
      <c r="S678" s="620">
        <v>150</v>
      </c>
      <c r="T678" s="620">
        <v>20900</v>
      </c>
      <c r="U678" s="620">
        <v>22151</v>
      </c>
      <c r="V678" s="620">
        <v>1578564</v>
      </c>
      <c r="W678" s="620">
        <v>275</v>
      </c>
    </row>
    <row r="679" spans="1:23" x14ac:dyDescent="0.25">
      <c r="A679" s="620" t="s">
        <v>2585</v>
      </c>
      <c r="B679" s="620" t="s">
        <v>2586</v>
      </c>
      <c r="C679" s="620">
        <v>43</v>
      </c>
      <c r="D679" s="620">
        <v>198280</v>
      </c>
      <c r="E679" s="620">
        <v>1066548120</v>
      </c>
      <c r="F679" s="620">
        <v>5545</v>
      </c>
      <c r="G679" s="620">
        <v>5379</v>
      </c>
      <c r="H679" s="620">
        <v>5379</v>
      </c>
      <c r="I679" s="620">
        <v>-166</v>
      </c>
      <c r="J679" s="620">
        <v>-2.99</v>
      </c>
      <c r="K679" s="620">
        <v>5379</v>
      </c>
      <c r="L679" s="620">
        <v>-166</v>
      </c>
      <c r="M679" s="620">
        <v>-2.99</v>
      </c>
      <c r="N679" s="620">
        <v>5379</v>
      </c>
      <c r="O679" s="620">
        <v>5379</v>
      </c>
      <c r="P679" s="620" t="s">
        <v>2587</v>
      </c>
      <c r="Q679" s="620" t="s">
        <v>2588</v>
      </c>
      <c r="R679" s="620">
        <v>0</v>
      </c>
      <c r="S679" s="620">
        <v>0</v>
      </c>
      <c r="T679" s="620">
        <v>0</v>
      </c>
      <c r="U679" s="620">
        <v>5379</v>
      </c>
      <c r="V679" s="620">
        <v>138268</v>
      </c>
      <c r="W679" s="620">
        <v>14</v>
      </c>
    </row>
    <row r="680" spans="1:23" x14ac:dyDescent="0.25">
      <c r="A680" s="620" t="s">
        <v>2589</v>
      </c>
      <c r="B680" s="620" t="s">
        <v>2590</v>
      </c>
      <c r="C680" s="620">
        <v>796</v>
      </c>
      <c r="D680" s="620">
        <v>14588755</v>
      </c>
      <c r="E680" s="620">
        <v>33066608140</v>
      </c>
      <c r="F680" s="620">
        <v>2287</v>
      </c>
      <c r="G680" s="620">
        <v>2240</v>
      </c>
      <c r="H680" s="620">
        <v>2233</v>
      </c>
      <c r="I680" s="620">
        <v>-54</v>
      </c>
      <c r="J680" s="620">
        <v>-2.36</v>
      </c>
      <c r="K680" s="620">
        <v>2267</v>
      </c>
      <c r="L680" s="620">
        <v>-20</v>
      </c>
      <c r="M680" s="620">
        <v>-0.87</v>
      </c>
      <c r="N680" s="620">
        <v>2221</v>
      </c>
      <c r="O680" s="620">
        <v>2377</v>
      </c>
      <c r="P680" s="620" t="s">
        <v>2591</v>
      </c>
      <c r="Q680" s="620" t="s">
        <v>2592</v>
      </c>
      <c r="R680" s="620">
        <v>4</v>
      </c>
      <c r="S680" s="620">
        <v>105299</v>
      </c>
      <c r="T680" s="620">
        <v>2230</v>
      </c>
      <c r="U680" s="620">
        <v>2244</v>
      </c>
      <c r="V680" s="620">
        <v>2545</v>
      </c>
      <c r="W680" s="620">
        <v>2</v>
      </c>
    </row>
    <row r="681" spans="1:23" x14ac:dyDescent="0.25">
      <c r="A681" s="620" t="s">
        <v>2593</v>
      </c>
      <c r="B681" s="620" t="s">
        <v>2594</v>
      </c>
      <c r="C681" s="620">
        <v>0</v>
      </c>
      <c r="D681" s="620">
        <v>0</v>
      </c>
      <c r="E681" s="620">
        <v>0</v>
      </c>
      <c r="F681" s="620">
        <v>17246</v>
      </c>
      <c r="G681" s="620">
        <v>17590</v>
      </c>
      <c r="H681" s="620">
        <v>17246</v>
      </c>
      <c r="I681" s="620">
        <v>0</v>
      </c>
      <c r="J681" s="620">
        <v>0</v>
      </c>
      <c r="K681" s="620">
        <v>17246</v>
      </c>
      <c r="L681" s="620">
        <v>0</v>
      </c>
      <c r="M681" s="620">
        <v>0</v>
      </c>
      <c r="N681" s="620">
        <v>17590</v>
      </c>
      <c r="O681" s="620">
        <v>17590</v>
      </c>
      <c r="P681" s="620" t="s">
        <v>2595</v>
      </c>
      <c r="Q681" s="620" t="s">
        <v>2596</v>
      </c>
      <c r="R681" s="620">
        <v>3</v>
      </c>
      <c r="S681" s="620">
        <v>1226</v>
      </c>
      <c r="T681" s="620">
        <v>17590</v>
      </c>
      <c r="U681" s="620">
        <v>0</v>
      </c>
      <c r="V681" s="620">
        <v>0</v>
      </c>
      <c r="W681" s="620">
        <v>0</v>
      </c>
    </row>
    <row r="682" spans="1:23" x14ac:dyDescent="0.25">
      <c r="A682" s="620" t="s">
        <v>2597</v>
      </c>
      <c r="B682" s="620" t="s">
        <v>2598</v>
      </c>
      <c r="C682" s="620">
        <v>31</v>
      </c>
      <c r="D682" s="620">
        <v>75289</v>
      </c>
      <c r="E682" s="620">
        <v>1657261468</v>
      </c>
      <c r="F682" s="620">
        <v>22692</v>
      </c>
      <c r="G682" s="620">
        <v>22012</v>
      </c>
      <c r="H682" s="620">
        <v>22012</v>
      </c>
      <c r="I682" s="620">
        <v>-680</v>
      </c>
      <c r="J682" s="620">
        <v>-3</v>
      </c>
      <c r="K682" s="620">
        <v>22012</v>
      </c>
      <c r="L682" s="620">
        <v>-680</v>
      </c>
      <c r="M682" s="620">
        <v>-3</v>
      </c>
      <c r="N682" s="620">
        <v>22012</v>
      </c>
      <c r="O682" s="620">
        <v>22012</v>
      </c>
      <c r="P682" s="620" t="s">
        <v>2599</v>
      </c>
      <c r="Q682" s="620" t="s">
        <v>2600</v>
      </c>
      <c r="R682" s="620">
        <v>0</v>
      </c>
      <c r="S682" s="620">
        <v>0</v>
      </c>
      <c r="T682" s="620">
        <v>0</v>
      </c>
      <c r="U682" s="620">
        <v>22012</v>
      </c>
      <c r="V682" s="620">
        <v>230266</v>
      </c>
      <c r="W682" s="620">
        <v>42</v>
      </c>
    </row>
    <row r="683" spans="1:23" x14ac:dyDescent="0.25">
      <c r="A683" s="620" t="s">
        <v>2601</v>
      </c>
      <c r="B683" s="620" t="s">
        <v>2602</v>
      </c>
      <c r="C683" s="620">
        <v>1</v>
      </c>
      <c r="D683" s="620">
        <v>100</v>
      </c>
      <c r="E683" s="620">
        <v>5000000</v>
      </c>
      <c r="F683" s="620">
        <v>150</v>
      </c>
      <c r="G683" s="620">
        <v>50</v>
      </c>
      <c r="H683" s="620">
        <v>50</v>
      </c>
      <c r="I683" s="620">
        <v>-100</v>
      </c>
      <c r="J683" s="620">
        <v>-66.67</v>
      </c>
      <c r="K683" s="620">
        <v>50</v>
      </c>
      <c r="L683" s="620">
        <v>-100</v>
      </c>
      <c r="M683" s="620">
        <v>-66.67</v>
      </c>
      <c r="N683" s="620">
        <v>50</v>
      </c>
      <c r="O683" s="620">
        <v>50</v>
      </c>
      <c r="R683" s="620">
        <v>1</v>
      </c>
      <c r="S683" s="620">
        <v>100</v>
      </c>
      <c r="T683" s="620">
        <v>60</v>
      </c>
      <c r="U683" s="620">
        <v>220</v>
      </c>
      <c r="V683" s="620">
        <v>50</v>
      </c>
      <c r="W683" s="620">
        <v>1</v>
      </c>
    </row>
    <row r="684" spans="1:23" x14ac:dyDescent="0.25">
      <c r="A684" s="620" t="s">
        <v>2603</v>
      </c>
      <c r="B684" s="620" t="s">
        <v>2604</v>
      </c>
      <c r="C684" s="620">
        <v>2806</v>
      </c>
      <c r="D684" s="620">
        <v>43502167</v>
      </c>
      <c r="E684" s="620">
        <v>83663940258</v>
      </c>
      <c r="F684" s="620">
        <v>1945</v>
      </c>
      <c r="G684" s="620">
        <v>1944</v>
      </c>
      <c r="H684" s="620">
        <v>1920</v>
      </c>
      <c r="I684" s="620">
        <v>-25</v>
      </c>
      <c r="J684" s="620">
        <v>-1.29</v>
      </c>
      <c r="K684" s="620">
        <v>1923</v>
      </c>
      <c r="L684" s="620">
        <v>-22</v>
      </c>
      <c r="M684" s="620">
        <v>-1.1299999999999999</v>
      </c>
      <c r="N684" s="620">
        <v>1850</v>
      </c>
      <c r="O684" s="620">
        <v>2010</v>
      </c>
      <c r="P684" s="620" t="s">
        <v>2605</v>
      </c>
      <c r="Q684" s="620" t="s">
        <v>2606</v>
      </c>
      <c r="R684" s="620">
        <v>1</v>
      </c>
      <c r="S684" s="620">
        <v>3000</v>
      </c>
      <c r="T684" s="620">
        <v>1917</v>
      </c>
      <c r="U684" s="620">
        <v>1920</v>
      </c>
      <c r="V684" s="620">
        <v>9629</v>
      </c>
      <c r="W684" s="620">
        <v>1</v>
      </c>
    </row>
    <row r="685" spans="1:23" x14ac:dyDescent="0.25">
      <c r="A685" s="620" t="s">
        <v>2607</v>
      </c>
      <c r="B685" s="620" t="s">
        <v>2608</v>
      </c>
      <c r="C685" s="620">
        <v>13</v>
      </c>
      <c r="D685" s="620">
        <v>53490</v>
      </c>
      <c r="E685" s="620">
        <v>540239880</v>
      </c>
      <c r="F685" s="620">
        <v>10132</v>
      </c>
      <c r="G685" s="620">
        <v>10121</v>
      </c>
      <c r="H685" s="620">
        <v>10129</v>
      </c>
      <c r="I685" s="620">
        <v>-3</v>
      </c>
      <c r="J685" s="620">
        <v>-0.03</v>
      </c>
      <c r="K685" s="620">
        <v>10100</v>
      </c>
      <c r="L685" s="620">
        <v>-32</v>
      </c>
      <c r="M685" s="620">
        <v>-0.32</v>
      </c>
      <c r="N685" s="620">
        <v>10082</v>
      </c>
      <c r="O685" s="620">
        <v>10129</v>
      </c>
      <c r="R685" s="620">
        <v>1</v>
      </c>
      <c r="S685" s="620">
        <v>28890</v>
      </c>
      <c r="T685" s="620">
        <v>10129</v>
      </c>
      <c r="U685" s="620">
        <v>10140</v>
      </c>
      <c r="V685" s="620">
        <v>100000</v>
      </c>
      <c r="W685" s="620">
        <v>1</v>
      </c>
    </row>
    <row r="686" spans="1:23" x14ac:dyDescent="0.25">
      <c r="A686" s="620" t="s">
        <v>2609</v>
      </c>
      <c r="B686" s="620" t="s">
        <v>2610</v>
      </c>
      <c r="C686" s="620">
        <v>1</v>
      </c>
      <c r="D686" s="620">
        <v>50</v>
      </c>
      <c r="E686" s="620">
        <v>100000000</v>
      </c>
      <c r="F686" s="620">
        <v>1800</v>
      </c>
      <c r="G686" s="620">
        <v>2000</v>
      </c>
      <c r="H686" s="620">
        <v>2000</v>
      </c>
      <c r="I686" s="620">
        <v>200</v>
      </c>
      <c r="J686" s="620">
        <v>11.11</v>
      </c>
      <c r="K686" s="620">
        <v>2000</v>
      </c>
      <c r="L686" s="620">
        <v>200</v>
      </c>
      <c r="M686" s="620">
        <v>11.11</v>
      </c>
      <c r="N686" s="620">
        <v>2000</v>
      </c>
      <c r="O686" s="620">
        <v>2000</v>
      </c>
      <c r="R686" s="620">
        <v>1</v>
      </c>
      <c r="S686" s="620">
        <v>20</v>
      </c>
      <c r="T686" s="620">
        <v>1601</v>
      </c>
      <c r="U686" s="620">
        <v>2100</v>
      </c>
      <c r="V686" s="620">
        <v>50</v>
      </c>
      <c r="W686" s="620">
        <v>1</v>
      </c>
    </row>
    <row r="687" spans="1:23" x14ac:dyDescent="0.25">
      <c r="A687" s="620" t="s">
        <v>2611</v>
      </c>
      <c r="B687" s="620" t="s">
        <v>2612</v>
      </c>
      <c r="C687" s="620">
        <v>0</v>
      </c>
      <c r="D687" s="620">
        <v>0</v>
      </c>
      <c r="E687" s="620">
        <v>0</v>
      </c>
      <c r="F687" s="620">
        <v>1</v>
      </c>
      <c r="G687" s="620">
        <v>0</v>
      </c>
      <c r="H687" s="620">
        <v>1</v>
      </c>
      <c r="I687" s="620">
        <v>0</v>
      </c>
      <c r="J687" s="620">
        <v>0</v>
      </c>
      <c r="K687" s="620">
        <v>1</v>
      </c>
      <c r="L687" s="620">
        <v>0</v>
      </c>
      <c r="M687" s="620">
        <v>0</v>
      </c>
      <c r="N687" s="620">
        <v>0</v>
      </c>
      <c r="O687" s="620">
        <v>0</v>
      </c>
      <c r="R687" s="620">
        <v>1</v>
      </c>
      <c r="S687" s="620">
        <v>100</v>
      </c>
      <c r="T687" s="620">
        <v>1</v>
      </c>
      <c r="U687" s="620">
        <v>0</v>
      </c>
      <c r="V687" s="620">
        <v>0</v>
      </c>
      <c r="W687" s="620">
        <v>0</v>
      </c>
    </row>
    <row r="688" spans="1:23" x14ac:dyDescent="0.25">
      <c r="A688" s="620" t="s">
        <v>2613</v>
      </c>
      <c r="B688" s="620" t="s">
        <v>2614</v>
      </c>
      <c r="C688" s="620">
        <v>451</v>
      </c>
      <c r="D688" s="620">
        <v>5731790</v>
      </c>
      <c r="E688" s="620">
        <v>8601652702</v>
      </c>
      <c r="F688" s="620">
        <v>1544</v>
      </c>
      <c r="G688" s="620">
        <v>1500</v>
      </c>
      <c r="H688" s="620">
        <v>1498</v>
      </c>
      <c r="I688" s="620">
        <v>-46</v>
      </c>
      <c r="J688" s="620">
        <v>-2.98</v>
      </c>
      <c r="K688" s="620">
        <v>1501</v>
      </c>
      <c r="L688" s="620">
        <v>-43</v>
      </c>
      <c r="M688" s="620">
        <v>-2.78</v>
      </c>
      <c r="N688" s="620">
        <v>1498</v>
      </c>
      <c r="O688" s="620">
        <v>1568</v>
      </c>
      <c r="P688" s="620" t="s">
        <v>2615</v>
      </c>
      <c r="Q688" s="620" t="s">
        <v>2616</v>
      </c>
      <c r="R688" s="620">
        <v>0</v>
      </c>
      <c r="S688" s="620">
        <v>0</v>
      </c>
      <c r="T688" s="620">
        <v>0</v>
      </c>
      <c r="U688" s="620">
        <v>1507</v>
      </c>
      <c r="V688" s="620">
        <v>58793</v>
      </c>
      <c r="W688" s="620">
        <v>3</v>
      </c>
    </row>
    <row r="689" spans="1:23" x14ac:dyDescent="0.25">
      <c r="A689" s="620" t="s">
        <v>2617</v>
      </c>
      <c r="B689" s="620" t="s">
        <v>2618</v>
      </c>
      <c r="C689" s="620">
        <v>880</v>
      </c>
      <c r="D689" s="620">
        <v>1807482</v>
      </c>
      <c r="E689" s="620">
        <v>31111201888</v>
      </c>
      <c r="F689" s="620">
        <v>17972</v>
      </c>
      <c r="G689" s="620">
        <v>17074</v>
      </c>
      <c r="H689" s="620">
        <v>17074</v>
      </c>
      <c r="I689" s="620">
        <v>-898</v>
      </c>
      <c r="J689" s="620">
        <v>-5</v>
      </c>
      <c r="K689" s="620">
        <v>17212</v>
      </c>
      <c r="L689" s="620">
        <v>-760</v>
      </c>
      <c r="M689" s="620">
        <v>-4.2300000000000004</v>
      </c>
      <c r="N689" s="620">
        <v>17074</v>
      </c>
      <c r="O689" s="620">
        <v>17961</v>
      </c>
      <c r="P689" s="620" t="s">
        <v>2619</v>
      </c>
      <c r="Q689" s="620" t="s">
        <v>2620</v>
      </c>
      <c r="R689" s="620">
        <v>0</v>
      </c>
      <c r="S689" s="620">
        <v>0</v>
      </c>
      <c r="T689" s="620">
        <v>0</v>
      </c>
      <c r="U689" s="620">
        <v>17290</v>
      </c>
      <c r="V689" s="620">
        <v>300</v>
      </c>
      <c r="W689" s="620">
        <v>1</v>
      </c>
    </row>
    <row r="690" spans="1:23" x14ac:dyDescent="0.25">
      <c r="A690" s="620" t="s">
        <v>2621</v>
      </c>
      <c r="B690" s="620" t="s">
        <v>2622</v>
      </c>
      <c r="C690" s="620">
        <v>17</v>
      </c>
      <c r="D690" s="620">
        <v>84528</v>
      </c>
      <c r="E690" s="620">
        <v>4180792750</v>
      </c>
      <c r="F690" s="620">
        <v>50423</v>
      </c>
      <c r="G690" s="620">
        <v>49415</v>
      </c>
      <c r="H690" s="620">
        <v>49415</v>
      </c>
      <c r="I690" s="620">
        <v>-1008</v>
      </c>
      <c r="J690" s="620">
        <v>-2</v>
      </c>
      <c r="K690" s="620">
        <v>49460</v>
      </c>
      <c r="L690" s="620">
        <v>-963</v>
      </c>
      <c r="M690" s="620">
        <v>-1.91</v>
      </c>
      <c r="N690" s="620">
        <v>49415</v>
      </c>
      <c r="O690" s="620">
        <v>51300</v>
      </c>
      <c r="P690" s="620" t="s">
        <v>2623</v>
      </c>
      <c r="Q690" s="620" t="s">
        <v>2624</v>
      </c>
      <c r="R690" s="620">
        <v>0</v>
      </c>
      <c r="S690" s="620">
        <v>0</v>
      </c>
      <c r="T690" s="620">
        <v>0</v>
      </c>
      <c r="U690" s="620">
        <v>51300</v>
      </c>
      <c r="V690" s="620">
        <v>4292</v>
      </c>
      <c r="W690" s="620">
        <v>2</v>
      </c>
    </row>
    <row r="691" spans="1:23" x14ac:dyDescent="0.25">
      <c r="A691" s="620" t="s">
        <v>2625</v>
      </c>
      <c r="B691" s="620" t="s">
        <v>2626</v>
      </c>
      <c r="C691" s="620">
        <v>223</v>
      </c>
      <c r="D691" s="620">
        <v>1194602</v>
      </c>
      <c r="E691" s="620">
        <v>4136906726</v>
      </c>
      <c r="F691" s="620">
        <v>3570</v>
      </c>
      <c r="G691" s="620">
        <v>3463</v>
      </c>
      <c r="H691" s="620">
        <v>3463</v>
      </c>
      <c r="I691" s="620">
        <v>-107</v>
      </c>
      <c r="J691" s="620">
        <v>-3</v>
      </c>
      <c r="K691" s="620">
        <v>3463</v>
      </c>
      <c r="L691" s="620">
        <v>-107</v>
      </c>
      <c r="M691" s="620">
        <v>-3</v>
      </c>
      <c r="N691" s="620">
        <v>3463</v>
      </c>
      <c r="O691" s="620">
        <v>3463</v>
      </c>
      <c r="P691" s="620" t="s">
        <v>2627</v>
      </c>
      <c r="Q691" s="620" t="s">
        <v>2628</v>
      </c>
      <c r="R691" s="620">
        <v>1</v>
      </c>
      <c r="S691" s="620">
        <v>1000</v>
      </c>
      <c r="T691" s="620">
        <v>3463</v>
      </c>
      <c r="U691" s="620">
        <v>3463</v>
      </c>
      <c r="V691" s="620">
        <v>6024935</v>
      </c>
      <c r="W691" s="620">
        <v>351</v>
      </c>
    </row>
    <row r="692" spans="1:23" x14ac:dyDescent="0.25">
      <c r="A692" s="620" t="s">
        <v>2629</v>
      </c>
      <c r="B692" s="620" t="s">
        <v>2630</v>
      </c>
      <c r="C692" s="620">
        <v>1046</v>
      </c>
      <c r="D692" s="620">
        <v>17600910</v>
      </c>
      <c r="E692" s="620">
        <v>179248113295</v>
      </c>
      <c r="F692" s="620">
        <v>10161</v>
      </c>
      <c r="G692" s="620">
        <v>10170</v>
      </c>
      <c r="H692" s="620">
        <v>10197</v>
      </c>
      <c r="I692" s="620">
        <v>36</v>
      </c>
      <c r="J692" s="620">
        <v>0.35</v>
      </c>
      <c r="K692" s="620">
        <v>10184</v>
      </c>
      <c r="L692" s="620">
        <v>23</v>
      </c>
      <c r="M692" s="620">
        <v>0.23</v>
      </c>
      <c r="N692" s="620">
        <v>10163</v>
      </c>
      <c r="O692" s="620">
        <v>10200</v>
      </c>
      <c r="R692" s="620">
        <v>2</v>
      </c>
      <c r="S692" s="620">
        <v>200000</v>
      </c>
      <c r="T692" s="620">
        <v>10187</v>
      </c>
      <c r="U692" s="620">
        <v>10197</v>
      </c>
      <c r="V692" s="620">
        <v>63678</v>
      </c>
      <c r="W692" s="620">
        <v>2</v>
      </c>
    </row>
    <row r="693" spans="1:23" x14ac:dyDescent="0.25">
      <c r="A693" s="620" t="s">
        <v>2631</v>
      </c>
      <c r="B693" s="620" t="s">
        <v>2632</v>
      </c>
      <c r="C693" s="620">
        <v>0</v>
      </c>
      <c r="D693" s="620">
        <v>0</v>
      </c>
      <c r="E693" s="620">
        <v>0</v>
      </c>
      <c r="F693" s="620">
        <v>1</v>
      </c>
      <c r="G693" s="620">
        <v>0</v>
      </c>
      <c r="H693" s="620">
        <v>1</v>
      </c>
      <c r="I693" s="620">
        <v>0</v>
      </c>
      <c r="J693" s="620">
        <v>0</v>
      </c>
      <c r="K693" s="620">
        <v>1</v>
      </c>
      <c r="L693" s="620">
        <v>0</v>
      </c>
      <c r="M693" s="620">
        <v>0</v>
      </c>
      <c r="N693" s="620">
        <v>0</v>
      </c>
      <c r="O693" s="620">
        <v>0</v>
      </c>
      <c r="R693" s="620">
        <v>1</v>
      </c>
      <c r="S693" s="620">
        <v>5</v>
      </c>
      <c r="T693" s="620">
        <v>50</v>
      </c>
      <c r="U693" s="620">
        <v>0</v>
      </c>
      <c r="V693" s="620">
        <v>0</v>
      </c>
      <c r="W693" s="620">
        <v>0</v>
      </c>
    </row>
    <row r="694" spans="1:23" x14ac:dyDescent="0.25">
      <c r="A694" s="620" t="s">
        <v>2633</v>
      </c>
      <c r="B694" s="620" t="s">
        <v>2634</v>
      </c>
      <c r="C694" s="620">
        <v>482</v>
      </c>
      <c r="D694" s="620">
        <v>3653322</v>
      </c>
      <c r="E694" s="620">
        <v>18821339054</v>
      </c>
      <c r="F694" s="620">
        <v>5382</v>
      </c>
      <c r="G694" s="620">
        <v>5113</v>
      </c>
      <c r="H694" s="620">
        <v>5113</v>
      </c>
      <c r="I694" s="620">
        <v>-269</v>
      </c>
      <c r="J694" s="620">
        <v>-5</v>
      </c>
      <c r="K694" s="620">
        <v>5152</v>
      </c>
      <c r="L694" s="620">
        <v>-230</v>
      </c>
      <c r="M694" s="620">
        <v>-4.2699999999999996</v>
      </c>
      <c r="N694" s="620">
        <v>5113</v>
      </c>
      <c r="O694" s="620">
        <v>5590</v>
      </c>
      <c r="P694" s="620" t="s">
        <v>2635</v>
      </c>
      <c r="Q694" s="620" t="s">
        <v>2636</v>
      </c>
      <c r="R694" s="620">
        <v>0</v>
      </c>
      <c r="S694" s="620">
        <v>0</v>
      </c>
      <c r="T694" s="620">
        <v>0</v>
      </c>
      <c r="U694" s="620">
        <v>5113</v>
      </c>
      <c r="V694" s="620">
        <v>404293</v>
      </c>
      <c r="W694" s="620">
        <v>24</v>
      </c>
    </row>
    <row r="695" spans="1:23" x14ac:dyDescent="0.25">
      <c r="A695" s="620" t="s">
        <v>2637</v>
      </c>
      <c r="B695" s="620" t="s">
        <v>2638</v>
      </c>
      <c r="C695" s="620">
        <v>619</v>
      </c>
      <c r="D695" s="620">
        <v>1948553</v>
      </c>
      <c r="E695" s="620">
        <v>19108417898</v>
      </c>
      <c r="F695" s="620">
        <v>9925</v>
      </c>
      <c r="G695" s="620">
        <v>9925</v>
      </c>
      <c r="H695" s="620">
        <v>9669</v>
      </c>
      <c r="I695" s="620">
        <v>-256</v>
      </c>
      <c r="J695" s="620">
        <v>-2.58</v>
      </c>
      <c r="K695" s="620">
        <v>9806</v>
      </c>
      <c r="L695" s="620">
        <v>-119</v>
      </c>
      <c r="M695" s="620">
        <v>-1.2</v>
      </c>
      <c r="N695" s="620">
        <v>9600</v>
      </c>
      <c r="O695" s="620">
        <v>10100</v>
      </c>
      <c r="P695" s="620" t="s">
        <v>2639</v>
      </c>
      <c r="Q695" s="620" t="s">
        <v>2640</v>
      </c>
      <c r="R695" s="620">
        <v>1</v>
      </c>
      <c r="S695" s="620">
        <v>485</v>
      </c>
      <c r="T695" s="620">
        <v>9669</v>
      </c>
      <c r="U695" s="620">
        <v>9690</v>
      </c>
      <c r="V695" s="620">
        <v>28858</v>
      </c>
      <c r="W695" s="620">
        <v>1</v>
      </c>
    </row>
    <row r="696" spans="1:23" x14ac:dyDescent="0.25">
      <c r="A696" s="620" t="s">
        <v>2641</v>
      </c>
      <c r="B696" s="620" t="s">
        <v>2642</v>
      </c>
      <c r="C696" s="620">
        <v>3</v>
      </c>
      <c r="D696" s="620">
        <v>13</v>
      </c>
      <c r="E696" s="620">
        <v>4902963</v>
      </c>
      <c r="F696" s="620">
        <v>397001</v>
      </c>
      <c r="G696" s="620">
        <v>377151</v>
      </c>
      <c r="H696" s="620">
        <v>377151</v>
      </c>
      <c r="I696" s="620">
        <v>-19850</v>
      </c>
      <c r="J696" s="620">
        <v>-5</v>
      </c>
      <c r="K696" s="620">
        <v>377151</v>
      </c>
      <c r="L696" s="620">
        <v>-19850</v>
      </c>
      <c r="M696" s="620">
        <v>-5</v>
      </c>
      <c r="N696" s="620">
        <v>377151</v>
      </c>
      <c r="O696" s="620">
        <v>377151</v>
      </c>
      <c r="R696" s="620">
        <v>1</v>
      </c>
      <c r="S696" s="620">
        <v>15</v>
      </c>
      <c r="T696" s="620">
        <v>311110</v>
      </c>
      <c r="U696" s="620">
        <v>377151</v>
      </c>
      <c r="V696" s="620">
        <v>237</v>
      </c>
      <c r="W696" s="620">
        <v>1</v>
      </c>
    </row>
    <row r="697" spans="1:23" x14ac:dyDescent="0.25">
      <c r="A697" s="620" t="s">
        <v>340</v>
      </c>
      <c r="B697" s="620" t="s">
        <v>2643</v>
      </c>
      <c r="C697" s="620">
        <v>3403</v>
      </c>
      <c r="D697" s="620">
        <v>28264094</v>
      </c>
      <c r="E697" s="620">
        <v>127863527821</v>
      </c>
      <c r="F697" s="620">
        <v>4477</v>
      </c>
      <c r="G697" s="620">
        <v>4460</v>
      </c>
      <c r="H697" s="620">
        <v>4500</v>
      </c>
      <c r="I697" s="620">
        <v>23</v>
      </c>
      <c r="J697" s="620">
        <v>0.51</v>
      </c>
      <c r="K697" s="620">
        <v>4524</v>
      </c>
      <c r="L697" s="620">
        <v>47</v>
      </c>
      <c r="M697" s="620">
        <v>1.05</v>
      </c>
      <c r="N697" s="620">
        <v>4460</v>
      </c>
      <c r="O697" s="620">
        <v>4600</v>
      </c>
      <c r="P697" s="620" t="s">
        <v>2644</v>
      </c>
      <c r="Q697" s="620" t="s">
        <v>2645</v>
      </c>
      <c r="R697" s="620">
        <v>1</v>
      </c>
      <c r="S697" s="620">
        <v>219</v>
      </c>
      <c r="T697" s="620">
        <v>4499</v>
      </c>
      <c r="U697" s="620">
        <v>4500</v>
      </c>
      <c r="V697" s="620">
        <v>506719</v>
      </c>
      <c r="W697" s="620">
        <v>6</v>
      </c>
    </row>
    <row r="698" spans="1:23" x14ac:dyDescent="0.25">
      <c r="A698" s="620" t="s">
        <v>2646</v>
      </c>
      <c r="B698" s="620" t="s">
        <v>2647</v>
      </c>
      <c r="C698" s="620">
        <v>0</v>
      </c>
      <c r="D698" s="620">
        <v>0</v>
      </c>
      <c r="E698" s="620">
        <v>0</v>
      </c>
      <c r="F698" s="620">
        <v>1000000</v>
      </c>
      <c r="G698" s="620">
        <v>0</v>
      </c>
      <c r="H698" s="620">
        <v>1000000</v>
      </c>
      <c r="I698" s="620">
        <v>0</v>
      </c>
      <c r="J698" s="620">
        <v>0</v>
      </c>
      <c r="K698" s="620">
        <v>1000000</v>
      </c>
      <c r="L698" s="620">
        <v>0</v>
      </c>
      <c r="M698" s="620">
        <v>0</v>
      </c>
      <c r="N698" s="620">
        <v>0</v>
      </c>
      <c r="O698" s="620">
        <v>0</v>
      </c>
      <c r="R698" s="620">
        <v>1</v>
      </c>
      <c r="S698" s="620">
        <v>1000</v>
      </c>
      <c r="T698" s="620">
        <v>1000001</v>
      </c>
      <c r="U698" s="620">
        <v>1010000</v>
      </c>
      <c r="V698" s="620">
        <v>250</v>
      </c>
      <c r="W698" s="620">
        <v>1</v>
      </c>
    </row>
    <row r="699" spans="1:23" x14ac:dyDescent="0.25">
      <c r="A699" s="620" t="s">
        <v>2648</v>
      </c>
      <c r="B699" s="620" t="s">
        <v>2649</v>
      </c>
      <c r="C699" s="620">
        <v>0</v>
      </c>
      <c r="D699" s="620">
        <v>0</v>
      </c>
      <c r="E699" s="620">
        <v>0</v>
      </c>
      <c r="F699" s="620">
        <v>1</v>
      </c>
      <c r="G699" s="620">
        <v>0</v>
      </c>
      <c r="H699" s="620">
        <v>1</v>
      </c>
      <c r="I699" s="620">
        <v>0</v>
      </c>
      <c r="J699" s="620">
        <v>0</v>
      </c>
      <c r="K699" s="620">
        <v>1</v>
      </c>
      <c r="L699" s="620">
        <v>0</v>
      </c>
      <c r="M699" s="620">
        <v>0</v>
      </c>
      <c r="N699" s="620">
        <v>0</v>
      </c>
      <c r="O699" s="620">
        <v>0</v>
      </c>
      <c r="R699" s="620">
        <v>1</v>
      </c>
      <c r="S699" s="620">
        <v>1</v>
      </c>
      <c r="T699" s="620">
        <v>250</v>
      </c>
      <c r="U699" s="620">
        <v>0</v>
      </c>
      <c r="V699" s="620">
        <v>0</v>
      </c>
      <c r="W699" s="620">
        <v>0</v>
      </c>
    </row>
    <row r="700" spans="1:23" x14ac:dyDescent="0.25">
      <c r="A700" s="620" t="s">
        <v>2650</v>
      </c>
      <c r="B700" s="620" t="s">
        <v>2651</v>
      </c>
      <c r="C700" s="620">
        <v>253</v>
      </c>
      <c r="D700" s="620">
        <v>412977</v>
      </c>
      <c r="E700" s="620">
        <v>12287641354</v>
      </c>
      <c r="F700" s="620">
        <v>29655</v>
      </c>
      <c r="G700" s="620">
        <v>29725</v>
      </c>
      <c r="H700" s="620">
        <v>29710</v>
      </c>
      <c r="I700" s="620">
        <v>55</v>
      </c>
      <c r="J700" s="620">
        <v>0.19</v>
      </c>
      <c r="K700" s="620">
        <v>29754</v>
      </c>
      <c r="L700" s="620">
        <v>99</v>
      </c>
      <c r="M700" s="620">
        <v>0.33</v>
      </c>
      <c r="N700" s="620">
        <v>29606</v>
      </c>
      <c r="O700" s="620">
        <v>29790</v>
      </c>
      <c r="R700" s="620">
        <v>3</v>
      </c>
      <c r="S700" s="620">
        <v>329</v>
      </c>
      <c r="T700" s="620">
        <v>29710</v>
      </c>
      <c r="U700" s="620">
        <v>29730</v>
      </c>
      <c r="V700" s="620">
        <v>20</v>
      </c>
      <c r="W700" s="620">
        <v>1</v>
      </c>
    </row>
    <row r="701" spans="1:23" x14ac:dyDescent="0.25">
      <c r="A701" s="620" t="s">
        <v>2652</v>
      </c>
      <c r="B701" s="620" t="s">
        <v>2653</v>
      </c>
      <c r="C701" s="620">
        <v>5782</v>
      </c>
      <c r="D701" s="620">
        <v>22987456</v>
      </c>
      <c r="E701" s="620">
        <v>155262478565</v>
      </c>
      <c r="F701" s="620">
        <v>6941</v>
      </c>
      <c r="G701" s="620">
        <v>6720</v>
      </c>
      <c r="H701" s="620">
        <v>6679</v>
      </c>
      <c r="I701" s="620">
        <v>-262</v>
      </c>
      <c r="J701" s="620">
        <v>-3.77</v>
      </c>
      <c r="K701" s="620">
        <v>6754</v>
      </c>
      <c r="L701" s="620">
        <v>-187</v>
      </c>
      <c r="M701" s="620">
        <v>-2.69</v>
      </c>
      <c r="N701" s="620">
        <v>6500</v>
      </c>
      <c r="O701" s="620">
        <v>7120</v>
      </c>
      <c r="P701" s="620" t="s">
        <v>1569</v>
      </c>
      <c r="Q701" s="620" t="s">
        <v>717</v>
      </c>
      <c r="R701" s="620">
        <v>1</v>
      </c>
      <c r="S701" s="620">
        <v>446</v>
      </c>
      <c r="T701" s="620">
        <v>6690</v>
      </c>
      <c r="U701" s="620">
        <v>6690</v>
      </c>
      <c r="V701" s="620">
        <v>500</v>
      </c>
      <c r="W701" s="620">
        <v>1</v>
      </c>
    </row>
    <row r="702" spans="1:23" x14ac:dyDescent="0.25">
      <c r="A702" s="620" t="s">
        <v>2654</v>
      </c>
      <c r="B702" s="620" t="s">
        <v>2655</v>
      </c>
      <c r="C702" s="620">
        <v>1258</v>
      </c>
      <c r="D702" s="620">
        <v>7680880</v>
      </c>
      <c r="E702" s="620">
        <v>57234918063</v>
      </c>
      <c r="F702" s="620">
        <v>7764</v>
      </c>
      <c r="G702" s="620">
        <v>7376</v>
      </c>
      <c r="H702" s="620">
        <v>7688</v>
      </c>
      <c r="I702" s="620">
        <v>-76</v>
      </c>
      <c r="J702" s="620">
        <v>-0.98</v>
      </c>
      <c r="K702" s="620">
        <v>7452</v>
      </c>
      <c r="L702" s="620">
        <v>-312</v>
      </c>
      <c r="M702" s="620">
        <v>-4.0199999999999996</v>
      </c>
      <c r="N702" s="620">
        <v>7376</v>
      </c>
      <c r="O702" s="620">
        <v>7690</v>
      </c>
      <c r="P702" s="620" t="s">
        <v>2656</v>
      </c>
      <c r="Q702" s="620" t="s">
        <v>2657</v>
      </c>
      <c r="R702" s="620">
        <v>3</v>
      </c>
      <c r="S702" s="620">
        <v>57454</v>
      </c>
      <c r="T702" s="620">
        <v>7670</v>
      </c>
      <c r="U702" s="620">
        <v>7687</v>
      </c>
      <c r="V702" s="620">
        <v>100</v>
      </c>
      <c r="W702" s="620">
        <v>1</v>
      </c>
    </row>
    <row r="703" spans="1:23" x14ac:dyDescent="0.25">
      <c r="A703" s="620" t="s">
        <v>2658</v>
      </c>
      <c r="B703" s="620" t="s">
        <v>2659</v>
      </c>
      <c r="C703" s="620">
        <v>136</v>
      </c>
      <c r="D703" s="620">
        <v>1310778</v>
      </c>
      <c r="E703" s="620">
        <v>4606384038</v>
      </c>
      <c r="F703" s="620">
        <v>3504</v>
      </c>
      <c r="G703" s="620">
        <v>3448</v>
      </c>
      <c r="H703" s="620">
        <v>3500</v>
      </c>
      <c r="I703" s="620">
        <v>-4</v>
      </c>
      <c r="J703" s="620">
        <v>-0.11</v>
      </c>
      <c r="K703" s="620">
        <v>3514</v>
      </c>
      <c r="L703" s="620">
        <v>10</v>
      </c>
      <c r="M703" s="620">
        <v>0.28999999999999998</v>
      </c>
      <c r="N703" s="620">
        <v>3360</v>
      </c>
      <c r="O703" s="620">
        <v>3600</v>
      </c>
      <c r="P703" s="620" t="s">
        <v>2660</v>
      </c>
      <c r="Q703" s="620" t="s">
        <v>2661</v>
      </c>
      <c r="R703" s="620">
        <v>1</v>
      </c>
      <c r="S703" s="620">
        <v>300</v>
      </c>
      <c r="T703" s="620">
        <v>3490</v>
      </c>
      <c r="U703" s="620">
        <v>3567</v>
      </c>
      <c r="V703" s="620">
        <v>30000</v>
      </c>
      <c r="W703" s="620">
        <v>1</v>
      </c>
    </row>
    <row r="704" spans="1:23" x14ac:dyDescent="0.25">
      <c r="A704" s="620" t="s">
        <v>2662</v>
      </c>
      <c r="B704" s="620" t="s">
        <v>2663</v>
      </c>
      <c r="C704" s="620">
        <v>183</v>
      </c>
      <c r="D704" s="620">
        <v>326094</v>
      </c>
      <c r="E704" s="620">
        <v>222905318811</v>
      </c>
      <c r="F704" s="620">
        <v>681401</v>
      </c>
      <c r="G704" s="620">
        <v>682990</v>
      </c>
      <c r="H704" s="620">
        <v>685868</v>
      </c>
      <c r="I704" s="620">
        <v>4467</v>
      </c>
      <c r="J704" s="620">
        <v>0.66</v>
      </c>
      <c r="K704" s="620">
        <v>683562</v>
      </c>
      <c r="L704" s="620">
        <v>2161</v>
      </c>
      <c r="M704" s="620">
        <v>0.32</v>
      </c>
      <c r="N704" s="620">
        <v>680301</v>
      </c>
      <c r="O704" s="620">
        <v>685999</v>
      </c>
      <c r="R704" s="620">
        <v>3</v>
      </c>
      <c r="S704" s="620">
        <v>50</v>
      </c>
      <c r="T704" s="620">
        <v>684000</v>
      </c>
      <c r="U704" s="620">
        <v>685867</v>
      </c>
      <c r="V704" s="620">
        <v>1000</v>
      </c>
      <c r="W704" s="620">
        <v>1</v>
      </c>
    </row>
    <row r="705" spans="1:23" x14ac:dyDescent="0.25">
      <c r="A705" s="620" t="s">
        <v>2664</v>
      </c>
      <c r="B705" s="620" t="s">
        <v>2665</v>
      </c>
      <c r="C705" s="620">
        <v>170</v>
      </c>
      <c r="D705" s="620">
        <v>1281438</v>
      </c>
      <c r="E705" s="620">
        <v>2157941592</v>
      </c>
      <c r="F705" s="620">
        <v>1718</v>
      </c>
      <c r="G705" s="620">
        <v>1684</v>
      </c>
      <c r="H705" s="620">
        <v>1684</v>
      </c>
      <c r="I705" s="620">
        <v>-34</v>
      </c>
      <c r="J705" s="620">
        <v>-1.98</v>
      </c>
      <c r="K705" s="620">
        <v>1684</v>
      </c>
      <c r="L705" s="620">
        <v>-34</v>
      </c>
      <c r="M705" s="620">
        <v>-1.98</v>
      </c>
      <c r="N705" s="620">
        <v>1684</v>
      </c>
      <c r="O705" s="620">
        <v>1684</v>
      </c>
      <c r="P705" s="620" t="s">
        <v>2666</v>
      </c>
      <c r="Q705" s="620" t="s">
        <v>2667</v>
      </c>
      <c r="R705" s="620">
        <v>0</v>
      </c>
      <c r="S705" s="620">
        <v>0</v>
      </c>
      <c r="T705" s="620">
        <v>0</v>
      </c>
      <c r="U705" s="620">
        <v>1684</v>
      </c>
      <c r="V705" s="620">
        <v>795785</v>
      </c>
      <c r="W705" s="620">
        <v>31</v>
      </c>
    </row>
    <row r="706" spans="1:23" x14ac:dyDescent="0.25">
      <c r="A706" s="620" t="s">
        <v>2668</v>
      </c>
      <c r="B706" s="620" t="s">
        <v>2669</v>
      </c>
      <c r="C706" s="620">
        <v>0</v>
      </c>
      <c r="D706" s="620">
        <v>0</v>
      </c>
      <c r="E706" s="620">
        <v>0</v>
      </c>
      <c r="F706" s="620">
        <v>1</v>
      </c>
      <c r="G706" s="620">
        <v>0</v>
      </c>
      <c r="H706" s="620">
        <v>1</v>
      </c>
      <c r="I706" s="620">
        <v>0</v>
      </c>
      <c r="J706" s="620">
        <v>0</v>
      </c>
      <c r="K706" s="620">
        <v>1</v>
      </c>
      <c r="L706" s="620">
        <v>0</v>
      </c>
      <c r="M706" s="620">
        <v>0</v>
      </c>
      <c r="N706" s="620">
        <v>0</v>
      </c>
      <c r="O706" s="620">
        <v>0</v>
      </c>
      <c r="R706" s="620">
        <v>5</v>
      </c>
      <c r="S706" s="620">
        <v>500</v>
      </c>
      <c r="T706" s="620">
        <v>1</v>
      </c>
      <c r="U706" s="620">
        <v>0</v>
      </c>
      <c r="V706" s="620">
        <v>0</v>
      </c>
      <c r="W706" s="620">
        <v>0</v>
      </c>
    </row>
    <row r="707" spans="1:23" x14ac:dyDescent="0.25">
      <c r="A707" s="620" t="s">
        <v>2670</v>
      </c>
      <c r="B707" s="620" t="s">
        <v>2671</v>
      </c>
      <c r="C707" s="620">
        <v>246</v>
      </c>
      <c r="D707" s="620">
        <v>1258329</v>
      </c>
      <c r="E707" s="620">
        <v>3662636408</v>
      </c>
      <c r="F707" s="620">
        <v>3054</v>
      </c>
      <c r="G707" s="620">
        <v>2902</v>
      </c>
      <c r="H707" s="620">
        <v>2902</v>
      </c>
      <c r="I707" s="620">
        <v>-152</v>
      </c>
      <c r="J707" s="620">
        <v>-4.9800000000000004</v>
      </c>
      <c r="K707" s="620">
        <v>2911</v>
      </c>
      <c r="L707" s="620">
        <v>-143</v>
      </c>
      <c r="M707" s="620">
        <v>-4.68</v>
      </c>
      <c r="N707" s="620">
        <v>2902</v>
      </c>
      <c r="O707" s="620">
        <v>2990</v>
      </c>
      <c r="P707" s="620" t="s">
        <v>2672</v>
      </c>
      <c r="Q707" s="620" t="s">
        <v>2673</v>
      </c>
      <c r="R707" s="620">
        <v>0</v>
      </c>
      <c r="S707" s="620">
        <v>0</v>
      </c>
      <c r="T707" s="620">
        <v>0</v>
      </c>
      <c r="U707" s="620">
        <v>2902</v>
      </c>
      <c r="V707" s="620">
        <v>793051</v>
      </c>
      <c r="W707" s="620">
        <v>26</v>
      </c>
    </row>
    <row r="708" spans="1:23" x14ac:dyDescent="0.25">
      <c r="A708" s="620" t="s">
        <v>2674</v>
      </c>
      <c r="B708" s="620" t="s">
        <v>2675</v>
      </c>
      <c r="C708" s="620">
        <v>1</v>
      </c>
      <c r="D708" s="620">
        <v>34</v>
      </c>
      <c r="E708" s="620">
        <v>1190000</v>
      </c>
      <c r="F708" s="620">
        <v>250</v>
      </c>
      <c r="G708" s="620">
        <v>35</v>
      </c>
      <c r="H708" s="620">
        <v>35</v>
      </c>
      <c r="I708" s="620">
        <v>-215</v>
      </c>
      <c r="J708" s="620">
        <v>-86</v>
      </c>
      <c r="K708" s="620">
        <v>35</v>
      </c>
      <c r="L708" s="620">
        <v>-215</v>
      </c>
      <c r="M708" s="620">
        <v>-86</v>
      </c>
      <c r="N708" s="620">
        <v>35</v>
      </c>
      <c r="O708" s="620">
        <v>35</v>
      </c>
      <c r="R708" s="620">
        <v>1</v>
      </c>
      <c r="S708" s="620">
        <v>100</v>
      </c>
      <c r="T708" s="620">
        <v>50</v>
      </c>
      <c r="U708" s="620">
        <v>670</v>
      </c>
      <c r="V708" s="620">
        <v>10</v>
      </c>
      <c r="W708" s="620">
        <v>1</v>
      </c>
    </row>
    <row r="709" spans="1:23" x14ac:dyDescent="0.25">
      <c r="A709" s="620" t="s">
        <v>2676</v>
      </c>
      <c r="B709" s="620" t="s">
        <v>2677</v>
      </c>
      <c r="C709" s="620">
        <v>361</v>
      </c>
      <c r="D709" s="620">
        <v>7294694</v>
      </c>
      <c r="E709" s="620">
        <v>36940330416</v>
      </c>
      <c r="F709" s="620">
        <v>5330</v>
      </c>
      <c r="G709" s="620">
        <v>5064</v>
      </c>
      <c r="H709" s="620">
        <v>5064</v>
      </c>
      <c r="I709" s="620">
        <v>-266</v>
      </c>
      <c r="J709" s="620">
        <v>-4.99</v>
      </c>
      <c r="K709" s="620">
        <v>5064</v>
      </c>
      <c r="L709" s="620">
        <v>-266</v>
      </c>
      <c r="M709" s="620">
        <v>-4.99</v>
      </c>
      <c r="N709" s="620">
        <v>5064</v>
      </c>
      <c r="O709" s="620">
        <v>5064</v>
      </c>
      <c r="P709" s="620" t="s">
        <v>2678</v>
      </c>
      <c r="Q709" s="620" t="s">
        <v>2679</v>
      </c>
      <c r="R709" s="620">
        <v>1</v>
      </c>
      <c r="S709" s="620">
        <v>10197</v>
      </c>
      <c r="T709" s="620">
        <v>4900</v>
      </c>
      <c r="U709" s="620">
        <v>5064</v>
      </c>
      <c r="V709" s="620">
        <v>8817437</v>
      </c>
      <c r="W709" s="620">
        <v>308</v>
      </c>
    </row>
    <row r="710" spans="1:23" x14ac:dyDescent="0.25">
      <c r="A710" s="620" t="s">
        <v>2680</v>
      </c>
      <c r="B710" s="620" t="s">
        <v>2681</v>
      </c>
      <c r="C710" s="620">
        <v>0</v>
      </c>
      <c r="D710" s="620">
        <v>0</v>
      </c>
      <c r="E710" s="620">
        <v>0</v>
      </c>
      <c r="F710" s="620">
        <v>1000</v>
      </c>
      <c r="G710" s="620">
        <v>0</v>
      </c>
      <c r="H710" s="620">
        <v>1000</v>
      </c>
      <c r="I710" s="620">
        <v>0</v>
      </c>
      <c r="J710" s="620">
        <v>0</v>
      </c>
      <c r="K710" s="620">
        <v>1000</v>
      </c>
      <c r="L710" s="620">
        <v>0</v>
      </c>
      <c r="M710" s="620">
        <v>0</v>
      </c>
      <c r="N710" s="620">
        <v>0</v>
      </c>
      <c r="O710" s="620">
        <v>0</v>
      </c>
      <c r="R710" s="620">
        <v>1</v>
      </c>
      <c r="S710" s="620">
        <v>2</v>
      </c>
      <c r="T710" s="620">
        <v>414</v>
      </c>
      <c r="U710" s="620">
        <v>0</v>
      </c>
      <c r="V710" s="620">
        <v>0</v>
      </c>
      <c r="W710" s="620">
        <v>0</v>
      </c>
    </row>
    <row r="711" spans="1:23" x14ac:dyDescent="0.25">
      <c r="A711" s="620" t="s">
        <v>2682</v>
      </c>
      <c r="B711" s="620" t="s">
        <v>2683</v>
      </c>
      <c r="C711" s="620">
        <v>1574</v>
      </c>
      <c r="D711" s="620">
        <v>12225169</v>
      </c>
      <c r="E711" s="620">
        <v>45367602159</v>
      </c>
      <c r="F711" s="620">
        <v>3906</v>
      </c>
      <c r="G711" s="620">
        <v>3711</v>
      </c>
      <c r="H711" s="620">
        <v>3711</v>
      </c>
      <c r="I711" s="620">
        <v>-195</v>
      </c>
      <c r="J711" s="620">
        <v>-4.99</v>
      </c>
      <c r="K711" s="620">
        <v>3711</v>
      </c>
      <c r="L711" s="620">
        <v>-195</v>
      </c>
      <c r="M711" s="620">
        <v>-4.99</v>
      </c>
      <c r="N711" s="620">
        <v>3711</v>
      </c>
      <c r="O711" s="620">
        <v>3711</v>
      </c>
      <c r="P711" s="620" t="s">
        <v>2684</v>
      </c>
      <c r="Q711" s="620" t="s">
        <v>2685</v>
      </c>
      <c r="R711" s="620">
        <v>0</v>
      </c>
      <c r="S711" s="620">
        <v>0</v>
      </c>
      <c r="T711" s="620">
        <v>0</v>
      </c>
      <c r="U711" s="620">
        <v>3711</v>
      </c>
      <c r="V711" s="620">
        <v>27320323</v>
      </c>
      <c r="W711" s="620">
        <v>1305</v>
      </c>
    </row>
    <row r="712" spans="1:23" x14ac:dyDescent="0.25">
      <c r="A712" s="620" t="s">
        <v>2686</v>
      </c>
      <c r="B712" s="620" t="s">
        <v>2687</v>
      </c>
      <c r="C712" s="620">
        <v>275</v>
      </c>
      <c r="D712" s="620">
        <v>2292839</v>
      </c>
      <c r="E712" s="620">
        <v>9191663170</v>
      </c>
      <c r="F712" s="620">
        <v>3991</v>
      </c>
      <c r="G712" s="620">
        <v>4088</v>
      </c>
      <c r="H712" s="620">
        <v>4094</v>
      </c>
      <c r="I712" s="620">
        <v>103</v>
      </c>
      <c r="J712" s="620">
        <v>2.58</v>
      </c>
      <c r="K712" s="620">
        <v>4008</v>
      </c>
      <c r="L712" s="620">
        <v>17</v>
      </c>
      <c r="M712" s="620">
        <v>0.43</v>
      </c>
      <c r="N712" s="620">
        <v>3946</v>
      </c>
      <c r="O712" s="620">
        <v>4175</v>
      </c>
      <c r="P712" s="620" t="s">
        <v>2688</v>
      </c>
      <c r="Q712" s="620" t="s">
        <v>2689</v>
      </c>
      <c r="R712" s="620">
        <v>1</v>
      </c>
      <c r="S712" s="620">
        <v>17000</v>
      </c>
      <c r="T712" s="620">
        <v>3989</v>
      </c>
      <c r="U712" s="620">
        <v>4060</v>
      </c>
      <c r="V712" s="620">
        <v>13683</v>
      </c>
      <c r="W712" s="620">
        <v>1</v>
      </c>
    </row>
    <row r="713" spans="1:23" x14ac:dyDescent="0.25">
      <c r="A713" s="620" t="s">
        <v>2690</v>
      </c>
      <c r="B713" s="620" t="s">
        <v>2691</v>
      </c>
      <c r="C713" s="620">
        <v>170</v>
      </c>
      <c r="D713" s="620">
        <v>445939</v>
      </c>
      <c r="E713" s="620">
        <v>2874522794</v>
      </c>
      <c r="F713" s="620">
        <v>6785</v>
      </c>
      <c r="G713" s="620">
        <v>6446</v>
      </c>
      <c r="H713" s="620">
        <v>6446</v>
      </c>
      <c r="I713" s="620">
        <v>-339</v>
      </c>
      <c r="J713" s="620">
        <v>-5</v>
      </c>
      <c r="K713" s="620">
        <v>6446</v>
      </c>
      <c r="L713" s="620">
        <v>-339</v>
      </c>
      <c r="M713" s="620">
        <v>-5</v>
      </c>
      <c r="N713" s="620">
        <v>6446</v>
      </c>
      <c r="O713" s="620">
        <v>6446</v>
      </c>
      <c r="P713" s="620" t="s">
        <v>2692</v>
      </c>
      <c r="Q713" s="620" t="s">
        <v>2693</v>
      </c>
      <c r="R713" s="620">
        <v>0</v>
      </c>
      <c r="S713" s="620">
        <v>0</v>
      </c>
      <c r="T713" s="620">
        <v>0</v>
      </c>
      <c r="U713" s="620">
        <v>6446</v>
      </c>
      <c r="V713" s="620">
        <v>777455</v>
      </c>
      <c r="W713" s="620">
        <v>139</v>
      </c>
    </row>
    <row r="714" spans="1:23" x14ac:dyDescent="0.25">
      <c r="A714" s="620" t="s">
        <v>2694</v>
      </c>
      <c r="B714" s="620" t="s">
        <v>2695</v>
      </c>
      <c r="C714" s="620">
        <v>7</v>
      </c>
      <c r="D714" s="620">
        <v>1411</v>
      </c>
      <c r="E714" s="620">
        <v>29622534</v>
      </c>
      <c r="F714" s="620">
        <v>19995</v>
      </c>
      <c r="G714" s="620">
        <v>20994</v>
      </c>
      <c r="H714" s="620">
        <v>20994</v>
      </c>
      <c r="I714" s="620">
        <v>999</v>
      </c>
      <c r="J714" s="620">
        <v>5</v>
      </c>
      <c r="K714" s="620">
        <v>19999</v>
      </c>
      <c r="L714" s="620">
        <v>4</v>
      </c>
      <c r="M714" s="620">
        <v>0.02</v>
      </c>
      <c r="N714" s="620">
        <v>20994</v>
      </c>
      <c r="O714" s="620">
        <v>20994</v>
      </c>
      <c r="P714" s="620" t="s">
        <v>2696</v>
      </c>
      <c r="Q714" s="620" t="s">
        <v>2697</v>
      </c>
      <c r="R714" s="620">
        <v>117</v>
      </c>
      <c r="S714" s="620">
        <v>121463</v>
      </c>
      <c r="T714" s="620">
        <v>20994</v>
      </c>
      <c r="U714" s="620">
        <v>35950</v>
      </c>
      <c r="V714" s="620">
        <v>1090</v>
      </c>
      <c r="W714" s="620">
        <v>2</v>
      </c>
    </row>
    <row r="715" spans="1:23" x14ac:dyDescent="0.25">
      <c r="A715" s="620" t="s">
        <v>2698</v>
      </c>
      <c r="B715" s="620" t="s">
        <v>2699</v>
      </c>
      <c r="C715" s="620">
        <v>18</v>
      </c>
      <c r="D715" s="620">
        <v>20885</v>
      </c>
      <c r="E715" s="620">
        <v>134645595</v>
      </c>
      <c r="F715" s="620">
        <v>6646</v>
      </c>
      <c r="G715" s="620">
        <v>6447</v>
      </c>
      <c r="H715" s="620">
        <v>6447</v>
      </c>
      <c r="I715" s="620">
        <v>-199</v>
      </c>
      <c r="J715" s="620">
        <v>-2.99</v>
      </c>
      <c r="K715" s="620">
        <v>6447</v>
      </c>
      <c r="L715" s="620">
        <v>-199</v>
      </c>
      <c r="M715" s="620">
        <v>-2.99</v>
      </c>
      <c r="N715" s="620">
        <v>6447</v>
      </c>
      <c r="O715" s="620">
        <v>6447</v>
      </c>
      <c r="P715" s="620" t="s">
        <v>2666</v>
      </c>
      <c r="Q715" s="620" t="s">
        <v>2700</v>
      </c>
      <c r="R715" s="620">
        <v>0</v>
      </c>
      <c r="S715" s="620">
        <v>0</v>
      </c>
      <c r="T715" s="620">
        <v>0</v>
      </c>
      <c r="U715" s="620">
        <v>6447</v>
      </c>
      <c r="V715" s="620">
        <v>473142</v>
      </c>
      <c r="W715" s="620">
        <v>53</v>
      </c>
    </row>
    <row r="716" spans="1:23" x14ac:dyDescent="0.25">
      <c r="A716" s="620" t="s">
        <v>2701</v>
      </c>
      <c r="B716" s="620" t="s">
        <v>2702</v>
      </c>
      <c r="C716" s="620">
        <v>72</v>
      </c>
      <c r="D716" s="620">
        <v>322185</v>
      </c>
      <c r="E716" s="620">
        <v>2694229576</v>
      </c>
      <c r="F716" s="620">
        <v>8522</v>
      </c>
      <c r="G716" s="620">
        <v>8100</v>
      </c>
      <c r="H716" s="620">
        <v>8201</v>
      </c>
      <c r="I716" s="620">
        <v>-321</v>
      </c>
      <c r="J716" s="620">
        <v>-3.77</v>
      </c>
      <c r="K716" s="620">
        <v>8420</v>
      </c>
      <c r="L716" s="620">
        <v>-102</v>
      </c>
      <c r="M716" s="620">
        <v>-1.2</v>
      </c>
      <c r="N716" s="620">
        <v>8100</v>
      </c>
      <c r="O716" s="620">
        <v>8600</v>
      </c>
      <c r="P716" s="620" t="s">
        <v>2703</v>
      </c>
      <c r="Q716" s="620" t="s">
        <v>2704</v>
      </c>
      <c r="R716" s="620">
        <v>1</v>
      </c>
      <c r="S716" s="620">
        <v>125</v>
      </c>
      <c r="T716" s="620">
        <v>8155</v>
      </c>
      <c r="U716" s="620">
        <v>8201</v>
      </c>
      <c r="V716" s="620">
        <v>300</v>
      </c>
      <c r="W716" s="620">
        <v>1</v>
      </c>
    </row>
    <row r="717" spans="1:23" x14ac:dyDescent="0.25">
      <c r="A717" s="620" t="s">
        <v>2705</v>
      </c>
      <c r="B717" s="620" t="s">
        <v>2706</v>
      </c>
      <c r="C717" s="620">
        <v>114</v>
      </c>
      <c r="D717" s="620">
        <v>931354</v>
      </c>
      <c r="E717" s="620">
        <v>3238896565</v>
      </c>
      <c r="F717" s="620">
        <v>3556</v>
      </c>
      <c r="G717" s="620">
        <v>3401</v>
      </c>
      <c r="H717" s="620">
        <v>3453</v>
      </c>
      <c r="I717" s="620">
        <v>-103</v>
      </c>
      <c r="J717" s="620">
        <v>-2.9</v>
      </c>
      <c r="K717" s="620">
        <v>3478</v>
      </c>
      <c r="L717" s="620">
        <v>-78</v>
      </c>
      <c r="M717" s="620">
        <v>-2.19</v>
      </c>
      <c r="N717" s="620">
        <v>3401</v>
      </c>
      <c r="O717" s="620">
        <v>3520</v>
      </c>
      <c r="R717" s="620">
        <v>1</v>
      </c>
      <c r="S717" s="620">
        <v>24829</v>
      </c>
      <c r="T717" s="620">
        <v>3453</v>
      </c>
      <c r="U717" s="620">
        <v>3497</v>
      </c>
      <c r="V717" s="620">
        <v>30000</v>
      </c>
      <c r="W717" s="620">
        <v>1</v>
      </c>
    </row>
    <row r="718" spans="1:23" x14ac:dyDescent="0.25">
      <c r="A718" s="620" t="s">
        <v>2707</v>
      </c>
      <c r="B718" s="620" t="s">
        <v>2708</v>
      </c>
      <c r="C718" s="620">
        <v>157</v>
      </c>
      <c r="D718" s="620">
        <v>651315</v>
      </c>
      <c r="E718" s="620">
        <v>2155852650</v>
      </c>
      <c r="F718" s="620">
        <v>3484</v>
      </c>
      <c r="G718" s="620">
        <v>3310</v>
      </c>
      <c r="H718" s="620">
        <v>3310</v>
      </c>
      <c r="I718" s="620">
        <v>-174</v>
      </c>
      <c r="J718" s="620">
        <v>-4.99</v>
      </c>
      <c r="K718" s="620">
        <v>3310</v>
      </c>
      <c r="L718" s="620">
        <v>-174</v>
      </c>
      <c r="M718" s="620">
        <v>-4.99</v>
      </c>
      <c r="N718" s="620">
        <v>3310</v>
      </c>
      <c r="O718" s="620">
        <v>3310</v>
      </c>
      <c r="P718" s="620" t="s">
        <v>2709</v>
      </c>
      <c r="Q718" s="620" t="s">
        <v>2710</v>
      </c>
      <c r="R718" s="620">
        <v>0</v>
      </c>
      <c r="S718" s="620">
        <v>0</v>
      </c>
      <c r="T718" s="620">
        <v>0</v>
      </c>
      <c r="U718" s="620">
        <v>3310</v>
      </c>
      <c r="V718" s="620">
        <v>7866120</v>
      </c>
      <c r="W718" s="620">
        <v>332</v>
      </c>
    </row>
    <row r="719" spans="1:23" x14ac:dyDescent="0.25">
      <c r="A719" s="620" t="s">
        <v>2711</v>
      </c>
      <c r="B719" s="620" t="s">
        <v>2712</v>
      </c>
      <c r="C719" s="620">
        <v>0</v>
      </c>
      <c r="D719" s="620">
        <v>0</v>
      </c>
      <c r="E719" s="620">
        <v>0</v>
      </c>
      <c r="F719" s="620">
        <v>1</v>
      </c>
      <c r="G719" s="620">
        <v>0</v>
      </c>
      <c r="H719" s="620">
        <v>1</v>
      </c>
      <c r="I719" s="620">
        <v>0</v>
      </c>
      <c r="J719" s="620">
        <v>0</v>
      </c>
      <c r="K719" s="620">
        <v>1</v>
      </c>
      <c r="L719" s="620">
        <v>0</v>
      </c>
      <c r="M719" s="620">
        <v>0</v>
      </c>
      <c r="N719" s="620">
        <v>0</v>
      </c>
      <c r="O719" s="620">
        <v>0</v>
      </c>
      <c r="R719" s="620">
        <v>1</v>
      </c>
      <c r="S719" s="620">
        <v>5</v>
      </c>
      <c r="T719" s="620">
        <v>50</v>
      </c>
      <c r="U719" s="620">
        <v>0</v>
      </c>
      <c r="V719" s="620">
        <v>0</v>
      </c>
      <c r="W719" s="620">
        <v>0</v>
      </c>
    </row>
    <row r="720" spans="1:23" x14ac:dyDescent="0.25">
      <c r="A720" s="620" t="s">
        <v>2713</v>
      </c>
      <c r="B720" s="620" t="s">
        <v>2714</v>
      </c>
      <c r="C720" s="620">
        <v>336</v>
      </c>
      <c r="D720" s="620">
        <v>1926218</v>
      </c>
      <c r="E720" s="620">
        <v>6159167431</v>
      </c>
      <c r="F720" s="620">
        <v>3218</v>
      </c>
      <c r="G720" s="620">
        <v>3058</v>
      </c>
      <c r="H720" s="620">
        <v>3129</v>
      </c>
      <c r="I720" s="620">
        <v>-89</v>
      </c>
      <c r="J720" s="620">
        <v>-2.77</v>
      </c>
      <c r="K720" s="620">
        <v>3205</v>
      </c>
      <c r="L720" s="620">
        <v>-13</v>
      </c>
      <c r="M720" s="620">
        <v>-0.4</v>
      </c>
      <c r="N720" s="620">
        <v>3058</v>
      </c>
      <c r="O720" s="620">
        <v>3372</v>
      </c>
      <c r="P720" s="620" t="s">
        <v>2715</v>
      </c>
      <c r="Q720" s="620" t="s">
        <v>2716</v>
      </c>
      <c r="R720" s="620">
        <v>1</v>
      </c>
      <c r="S720" s="620">
        <v>500</v>
      </c>
      <c r="T720" s="620">
        <v>3130</v>
      </c>
      <c r="U720" s="620">
        <v>3279</v>
      </c>
      <c r="V720" s="620">
        <v>2421</v>
      </c>
      <c r="W720" s="620">
        <v>2</v>
      </c>
    </row>
    <row r="721" spans="1:23" x14ac:dyDescent="0.25">
      <c r="A721" s="620" t="s">
        <v>2717</v>
      </c>
      <c r="B721" s="620" t="s">
        <v>2718</v>
      </c>
      <c r="C721" s="620">
        <v>1</v>
      </c>
      <c r="D721" s="620">
        <v>1</v>
      </c>
      <c r="E721" s="620">
        <v>5730921</v>
      </c>
      <c r="F721" s="620">
        <v>5725299</v>
      </c>
      <c r="G721" s="620">
        <v>5730921</v>
      </c>
      <c r="H721" s="620">
        <v>5730921</v>
      </c>
      <c r="I721" s="620">
        <v>5622</v>
      </c>
      <c r="J721" s="620">
        <v>0.1</v>
      </c>
      <c r="K721" s="620">
        <v>5730921</v>
      </c>
      <c r="L721" s="620">
        <v>5622</v>
      </c>
      <c r="M721" s="620">
        <v>0.1</v>
      </c>
      <c r="N721" s="620">
        <v>5730921</v>
      </c>
      <c r="O721" s="620">
        <v>5730921</v>
      </c>
      <c r="R721" s="620">
        <v>1</v>
      </c>
      <c r="S721" s="620">
        <v>1753</v>
      </c>
      <c r="T721" s="620">
        <v>5730921</v>
      </c>
      <c r="U721" s="620">
        <v>0</v>
      </c>
      <c r="V721" s="620">
        <v>0</v>
      </c>
      <c r="W721" s="620">
        <v>0</v>
      </c>
    </row>
    <row r="722" spans="1:23" x14ac:dyDescent="0.25">
      <c r="A722" s="620" t="s">
        <v>2719</v>
      </c>
      <c r="B722" s="620" t="s">
        <v>2720</v>
      </c>
      <c r="C722" s="620">
        <v>780</v>
      </c>
      <c r="D722" s="620">
        <v>5323172</v>
      </c>
      <c r="E722" s="620">
        <v>20932257987</v>
      </c>
      <c r="F722" s="620">
        <v>3925</v>
      </c>
      <c r="G722" s="620">
        <v>3786</v>
      </c>
      <c r="H722" s="620">
        <v>3911</v>
      </c>
      <c r="I722" s="620">
        <v>-14</v>
      </c>
      <c r="J722" s="620">
        <v>-0.36</v>
      </c>
      <c r="K722" s="620">
        <v>3932</v>
      </c>
      <c r="L722" s="620">
        <v>7</v>
      </c>
      <c r="M722" s="620">
        <v>0.18</v>
      </c>
      <c r="N722" s="620">
        <v>3786</v>
      </c>
      <c r="O722" s="620">
        <v>3988</v>
      </c>
      <c r="P722" s="620" t="s">
        <v>1924</v>
      </c>
      <c r="Q722" s="620" t="s">
        <v>2721</v>
      </c>
      <c r="R722" s="620">
        <v>1</v>
      </c>
      <c r="S722" s="620">
        <v>2500</v>
      </c>
      <c r="T722" s="620">
        <v>3902</v>
      </c>
      <c r="U722" s="620">
        <v>3914</v>
      </c>
      <c r="V722" s="620">
        <v>14810</v>
      </c>
      <c r="W722" s="620">
        <v>2</v>
      </c>
    </row>
    <row r="723" spans="1:23" x14ac:dyDescent="0.25">
      <c r="A723" s="620" t="s">
        <v>2722</v>
      </c>
      <c r="B723" s="620" t="s">
        <v>2723</v>
      </c>
      <c r="C723" s="620">
        <v>0</v>
      </c>
      <c r="D723" s="620">
        <v>0</v>
      </c>
      <c r="E723" s="620">
        <v>0</v>
      </c>
      <c r="F723" s="620">
        <v>995000</v>
      </c>
      <c r="G723" s="620">
        <v>0</v>
      </c>
      <c r="H723" s="620">
        <v>995000</v>
      </c>
      <c r="I723" s="620">
        <v>0</v>
      </c>
      <c r="J723" s="620">
        <v>0</v>
      </c>
      <c r="K723" s="620">
        <v>995000</v>
      </c>
      <c r="L723" s="620">
        <v>0</v>
      </c>
      <c r="M723" s="620">
        <v>0</v>
      </c>
      <c r="N723" s="620">
        <v>0</v>
      </c>
      <c r="O723" s="620">
        <v>0</v>
      </c>
      <c r="R723" s="620">
        <v>1</v>
      </c>
      <c r="S723" s="620">
        <v>1500</v>
      </c>
      <c r="T723" s="620">
        <v>995000</v>
      </c>
      <c r="U723" s="620">
        <v>1004950</v>
      </c>
      <c r="V723" s="620">
        <v>1500</v>
      </c>
      <c r="W723" s="620">
        <v>1</v>
      </c>
    </row>
    <row r="724" spans="1:23" x14ac:dyDescent="0.25">
      <c r="A724" s="620" t="s">
        <v>2724</v>
      </c>
      <c r="B724" s="620" t="s">
        <v>2725</v>
      </c>
      <c r="C724" s="620">
        <v>151</v>
      </c>
      <c r="D724" s="620">
        <v>692036</v>
      </c>
      <c r="E724" s="620">
        <v>1915710391</v>
      </c>
      <c r="F724" s="620">
        <v>2825</v>
      </c>
      <c r="G724" s="620">
        <v>2700</v>
      </c>
      <c r="H724" s="620">
        <v>2725</v>
      </c>
      <c r="I724" s="620">
        <v>-100</v>
      </c>
      <c r="J724" s="620">
        <v>-3.54</v>
      </c>
      <c r="K724" s="620">
        <v>2768</v>
      </c>
      <c r="L724" s="620">
        <v>-57</v>
      </c>
      <c r="M724" s="620">
        <v>-2.02</v>
      </c>
      <c r="N724" s="620">
        <v>2684</v>
      </c>
      <c r="O724" s="620">
        <v>2880</v>
      </c>
      <c r="P724" s="620" t="s">
        <v>1844</v>
      </c>
      <c r="Q724" s="620" t="s">
        <v>2726</v>
      </c>
      <c r="R724" s="620">
        <v>1</v>
      </c>
      <c r="S724" s="620">
        <v>12879</v>
      </c>
      <c r="T724" s="620">
        <v>2725</v>
      </c>
      <c r="U724" s="620">
        <v>2790</v>
      </c>
      <c r="V724" s="620">
        <v>400</v>
      </c>
      <c r="W724" s="620">
        <v>1</v>
      </c>
    </row>
    <row r="725" spans="1:23" x14ac:dyDescent="0.25">
      <c r="A725" s="620" t="s">
        <v>2727</v>
      </c>
      <c r="B725" s="620" t="s">
        <v>2728</v>
      </c>
      <c r="C725" s="620">
        <v>119</v>
      </c>
      <c r="D725" s="620">
        <v>854</v>
      </c>
      <c r="E725" s="620">
        <v>324485463</v>
      </c>
      <c r="F725" s="620">
        <v>378429</v>
      </c>
      <c r="G725" s="620">
        <v>390000</v>
      </c>
      <c r="H725" s="620">
        <v>379886</v>
      </c>
      <c r="I725" s="620">
        <v>1457</v>
      </c>
      <c r="J725" s="620">
        <v>0.39</v>
      </c>
      <c r="K725" s="620">
        <v>379960</v>
      </c>
      <c r="L725" s="620">
        <v>1531</v>
      </c>
      <c r="M725" s="620">
        <v>0.4</v>
      </c>
      <c r="N725" s="620">
        <v>365555</v>
      </c>
      <c r="O725" s="620">
        <v>390000</v>
      </c>
      <c r="R725" s="620">
        <v>1</v>
      </c>
      <c r="S725" s="620">
        <v>50</v>
      </c>
      <c r="T725" s="620">
        <v>360001</v>
      </c>
      <c r="U725" s="620">
        <v>390000</v>
      </c>
      <c r="V725" s="620">
        <v>32</v>
      </c>
      <c r="W725" s="620">
        <v>1</v>
      </c>
    </row>
    <row r="726" spans="1:23" x14ac:dyDescent="0.25">
      <c r="A726" s="620" t="s">
        <v>2729</v>
      </c>
      <c r="B726" s="620" t="s">
        <v>2730</v>
      </c>
      <c r="C726" s="620">
        <v>5</v>
      </c>
      <c r="D726" s="620">
        <v>113000</v>
      </c>
      <c r="E726" s="620">
        <v>109723000000</v>
      </c>
      <c r="F726" s="620">
        <v>963100</v>
      </c>
      <c r="G726" s="620">
        <v>971000</v>
      </c>
      <c r="H726" s="620">
        <v>971000</v>
      </c>
      <c r="I726" s="620">
        <v>7900</v>
      </c>
      <c r="J726" s="620">
        <v>0.82</v>
      </c>
      <c r="K726" s="620">
        <v>971000</v>
      </c>
      <c r="L726" s="620">
        <v>7900</v>
      </c>
      <c r="M726" s="620">
        <v>0.82</v>
      </c>
      <c r="N726" s="620">
        <v>971000</v>
      </c>
      <c r="O726" s="620">
        <v>971000</v>
      </c>
      <c r="R726" s="620">
        <v>1</v>
      </c>
      <c r="S726" s="620">
        <v>30</v>
      </c>
      <c r="T726" s="620">
        <v>965000</v>
      </c>
      <c r="U726" s="620">
        <v>999998</v>
      </c>
      <c r="V726" s="620">
        <v>300</v>
      </c>
      <c r="W726" s="620">
        <v>1</v>
      </c>
    </row>
    <row r="727" spans="1:23" x14ac:dyDescent="0.25">
      <c r="A727" s="620" t="s">
        <v>2731</v>
      </c>
      <c r="B727" s="620" t="s">
        <v>2732</v>
      </c>
      <c r="C727" s="620">
        <v>1</v>
      </c>
      <c r="D727" s="620">
        <v>5</v>
      </c>
      <c r="E727" s="620">
        <v>4696845</v>
      </c>
      <c r="F727" s="620">
        <v>894638</v>
      </c>
      <c r="G727" s="620">
        <v>939369</v>
      </c>
      <c r="H727" s="620">
        <v>939369</v>
      </c>
      <c r="I727" s="620">
        <v>44731</v>
      </c>
      <c r="J727" s="620">
        <v>5</v>
      </c>
      <c r="K727" s="620">
        <v>939369</v>
      </c>
      <c r="L727" s="620">
        <v>44731</v>
      </c>
      <c r="M727" s="620">
        <v>5</v>
      </c>
      <c r="N727" s="620">
        <v>939369</v>
      </c>
      <c r="O727" s="620">
        <v>939369</v>
      </c>
      <c r="R727" s="620">
        <v>1</v>
      </c>
      <c r="S727" s="620">
        <v>700</v>
      </c>
      <c r="T727" s="620">
        <v>849907</v>
      </c>
      <c r="U727" s="620">
        <v>0</v>
      </c>
      <c r="V727" s="620">
        <v>0</v>
      </c>
      <c r="W727" s="620">
        <v>0</v>
      </c>
    </row>
    <row r="728" spans="1:23" x14ac:dyDescent="0.25">
      <c r="A728" s="620" t="s">
        <v>2733</v>
      </c>
      <c r="B728" s="620" t="s">
        <v>2734</v>
      </c>
      <c r="C728" s="620">
        <v>0</v>
      </c>
      <c r="D728" s="620">
        <v>0</v>
      </c>
      <c r="E728" s="620">
        <v>0</v>
      </c>
      <c r="F728" s="620">
        <v>1</v>
      </c>
      <c r="G728" s="620">
        <v>0</v>
      </c>
      <c r="H728" s="620">
        <v>1</v>
      </c>
      <c r="I728" s="620">
        <v>0</v>
      </c>
      <c r="J728" s="620">
        <v>0</v>
      </c>
      <c r="K728" s="620">
        <v>1</v>
      </c>
      <c r="L728" s="620">
        <v>0</v>
      </c>
      <c r="M728" s="620">
        <v>0</v>
      </c>
      <c r="N728" s="620">
        <v>0</v>
      </c>
      <c r="O728" s="620">
        <v>0</v>
      </c>
      <c r="R728" s="620">
        <v>1</v>
      </c>
      <c r="S728" s="620">
        <v>10</v>
      </c>
      <c r="T728" s="620">
        <v>50</v>
      </c>
      <c r="U728" s="620">
        <v>0</v>
      </c>
      <c r="V728" s="620">
        <v>0</v>
      </c>
      <c r="W728" s="620">
        <v>0</v>
      </c>
    </row>
    <row r="729" spans="1:23" x14ac:dyDescent="0.25">
      <c r="A729" s="620" t="s">
        <v>2735</v>
      </c>
      <c r="B729" s="620" t="s">
        <v>2736</v>
      </c>
      <c r="C729" s="620">
        <v>1885</v>
      </c>
      <c r="D729" s="620">
        <v>9862240</v>
      </c>
      <c r="E729" s="620">
        <v>53170635273</v>
      </c>
      <c r="F729" s="620">
        <v>5667</v>
      </c>
      <c r="G729" s="620">
        <v>5384</v>
      </c>
      <c r="H729" s="620">
        <v>5384</v>
      </c>
      <c r="I729" s="620">
        <v>-283</v>
      </c>
      <c r="J729" s="620">
        <v>-4.99</v>
      </c>
      <c r="K729" s="620">
        <v>5391</v>
      </c>
      <c r="L729" s="620">
        <v>-276</v>
      </c>
      <c r="M729" s="620">
        <v>-4.87</v>
      </c>
      <c r="N729" s="620">
        <v>5384</v>
      </c>
      <c r="O729" s="620">
        <v>5500</v>
      </c>
      <c r="P729" s="620" t="s">
        <v>2563</v>
      </c>
      <c r="Q729" s="620" t="s">
        <v>2737</v>
      </c>
      <c r="R729" s="620">
        <v>0</v>
      </c>
      <c r="S729" s="620">
        <v>0</v>
      </c>
      <c r="T729" s="620">
        <v>0</v>
      </c>
      <c r="U729" s="620">
        <v>5384</v>
      </c>
      <c r="V729" s="620">
        <v>1737895</v>
      </c>
      <c r="W729" s="620">
        <v>75</v>
      </c>
    </row>
    <row r="730" spans="1:23" x14ac:dyDescent="0.25">
      <c r="A730" s="620" t="s">
        <v>2738</v>
      </c>
      <c r="B730" s="620" t="s">
        <v>2739</v>
      </c>
      <c r="C730" s="620">
        <v>253</v>
      </c>
      <c r="D730" s="620">
        <v>2273638</v>
      </c>
      <c r="E730" s="620">
        <v>78049445264</v>
      </c>
      <c r="F730" s="620">
        <v>32694</v>
      </c>
      <c r="G730" s="620">
        <v>34328</v>
      </c>
      <c r="H730" s="620">
        <v>34328</v>
      </c>
      <c r="I730" s="620">
        <v>1634</v>
      </c>
      <c r="J730" s="620">
        <v>5</v>
      </c>
      <c r="K730" s="620">
        <v>34328</v>
      </c>
      <c r="L730" s="620">
        <v>1634</v>
      </c>
      <c r="M730" s="620">
        <v>5</v>
      </c>
      <c r="N730" s="620">
        <v>34328</v>
      </c>
      <c r="O730" s="620">
        <v>34328</v>
      </c>
      <c r="P730" s="620" t="s">
        <v>627</v>
      </c>
      <c r="R730" s="620">
        <v>454</v>
      </c>
      <c r="S730" s="620">
        <v>653867</v>
      </c>
      <c r="T730" s="620">
        <v>34328</v>
      </c>
      <c r="U730" s="620">
        <v>0</v>
      </c>
      <c r="V730" s="620">
        <v>0</v>
      </c>
      <c r="W730" s="620">
        <v>0</v>
      </c>
    </row>
    <row r="731" spans="1:23" x14ac:dyDescent="0.25">
      <c r="A731" s="620" t="s">
        <v>2740</v>
      </c>
      <c r="B731" s="620" t="s">
        <v>2741</v>
      </c>
      <c r="C731" s="620">
        <v>379</v>
      </c>
      <c r="D731" s="620">
        <v>730424</v>
      </c>
      <c r="E731" s="620">
        <v>9212837912</v>
      </c>
      <c r="F731" s="620">
        <v>13276</v>
      </c>
      <c r="G731" s="620">
        <v>12613</v>
      </c>
      <c r="H731" s="620">
        <v>12613</v>
      </c>
      <c r="I731" s="620">
        <v>-663</v>
      </c>
      <c r="J731" s="620">
        <v>-4.99</v>
      </c>
      <c r="K731" s="620">
        <v>12613</v>
      </c>
      <c r="L731" s="620">
        <v>-663</v>
      </c>
      <c r="M731" s="620">
        <v>-4.99</v>
      </c>
      <c r="N731" s="620">
        <v>12613</v>
      </c>
      <c r="O731" s="620">
        <v>12613</v>
      </c>
      <c r="P731" s="620" t="s">
        <v>2175</v>
      </c>
      <c r="Q731" s="620" t="s">
        <v>2742</v>
      </c>
      <c r="R731" s="620">
        <v>1</v>
      </c>
      <c r="S731" s="620">
        <v>2000</v>
      </c>
      <c r="T731" s="620">
        <v>10500</v>
      </c>
      <c r="U731" s="620">
        <v>12613</v>
      </c>
      <c r="V731" s="620">
        <v>2823761</v>
      </c>
      <c r="W731" s="620">
        <v>276</v>
      </c>
    </row>
    <row r="732" spans="1:23" x14ac:dyDescent="0.25">
      <c r="A732" s="620" t="s">
        <v>2743</v>
      </c>
      <c r="B732" s="620" t="s">
        <v>2744</v>
      </c>
      <c r="C732" s="620">
        <v>0</v>
      </c>
      <c r="D732" s="620">
        <v>0</v>
      </c>
      <c r="E732" s="620">
        <v>0</v>
      </c>
      <c r="F732" s="620">
        <v>1000000</v>
      </c>
      <c r="G732" s="620">
        <v>0</v>
      </c>
      <c r="H732" s="620">
        <v>1000000</v>
      </c>
      <c r="I732" s="620">
        <v>0</v>
      </c>
      <c r="J732" s="620">
        <v>0</v>
      </c>
      <c r="K732" s="620">
        <v>1000000</v>
      </c>
      <c r="L732" s="620">
        <v>0</v>
      </c>
      <c r="M732" s="620">
        <v>0</v>
      </c>
      <c r="N732" s="620">
        <v>0</v>
      </c>
      <c r="O732" s="620">
        <v>0</v>
      </c>
      <c r="R732" s="620">
        <v>1</v>
      </c>
      <c r="S732" s="620">
        <v>1000</v>
      </c>
      <c r="T732" s="620">
        <v>1000001</v>
      </c>
      <c r="U732" s="620">
        <v>1010000</v>
      </c>
      <c r="V732" s="620">
        <v>200</v>
      </c>
      <c r="W732" s="620">
        <v>1</v>
      </c>
    </row>
    <row r="733" spans="1:23" x14ac:dyDescent="0.25">
      <c r="A733" s="620" t="s">
        <v>2745</v>
      </c>
      <c r="B733" s="620" t="s">
        <v>2746</v>
      </c>
      <c r="C733" s="620">
        <v>1407</v>
      </c>
      <c r="D733" s="620">
        <v>4088402</v>
      </c>
      <c r="E733" s="620">
        <v>155592546299</v>
      </c>
      <c r="F733" s="620">
        <v>36605</v>
      </c>
      <c r="G733" s="620">
        <v>37600</v>
      </c>
      <c r="H733" s="620">
        <v>37795</v>
      </c>
      <c r="I733" s="620">
        <v>1190</v>
      </c>
      <c r="J733" s="620">
        <v>3.25</v>
      </c>
      <c r="K733" s="620">
        <v>38057</v>
      </c>
      <c r="L733" s="620">
        <v>1452</v>
      </c>
      <c r="M733" s="620">
        <v>3.97</v>
      </c>
      <c r="N733" s="620">
        <v>36666</v>
      </c>
      <c r="O733" s="620">
        <v>38435</v>
      </c>
      <c r="P733" s="620" t="s">
        <v>2747</v>
      </c>
      <c r="Q733" s="620" t="s">
        <v>2748</v>
      </c>
      <c r="R733" s="620">
        <v>1</v>
      </c>
      <c r="S733" s="620">
        <v>530</v>
      </c>
      <c r="T733" s="620">
        <v>37739</v>
      </c>
      <c r="U733" s="620">
        <v>37900</v>
      </c>
      <c r="V733" s="620">
        <v>100</v>
      </c>
      <c r="W733" s="620">
        <v>1</v>
      </c>
    </row>
    <row r="734" spans="1:23" x14ac:dyDescent="0.25">
      <c r="A734" s="620" t="s">
        <v>2749</v>
      </c>
      <c r="B734" s="620" t="s">
        <v>2750</v>
      </c>
      <c r="C734" s="620">
        <v>0</v>
      </c>
      <c r="D734" s="620">
        <v>0</v>
      </c>
      <c r="E734" s="620">
        <v>0</v>
      </c>
      <c r="F734" s="620">
        <v>990000</v>
      </c>
      <c r="G734" s="620">
        <v>0</v>
      </c>
      <c r="H734" s="620">
        <v>990000</v>
      </c>
      <c r="I734" s="620">
        <v>0</v>
      </c>
      <c r="J734" s="620">
        <v>0</v>
      </c>
      <c r="K734" s="620">
        <v>990000</v>
      </c>
      <c r="L734" s="620">
        <v>0</v>
      </c>
      <c r="M734" s="620">
        <v>0</v>
      </c>
      <c r="N734" s="620">
        <v>0</v>
      </c>
      <c r="O734" s="620">
        <v>0</v>
      </c>
      <c r="R734" s="620">
        <v>1</v>
      </c>
      <c r="S734" s="620">
        <v>995</v>
      </c>
      <c r="T734" s="620">
        <v>990000</v>
      </c>
      <c r="U734" s="620">
        <v>1000000</v>
      </c>
      <c r="V734" s="620">
        <v>1000</v>
      </c>
      <c r="W734" s="620">
        <v>1</v>
      </c>
    </row>
    <row r="735" spans="1:23" x14ac:dyDescent="0.25">
      <c r="A735" s="620" t="s">
        <v>2751</v>
      </c>
      <c r="B735" s="620" t="s">
        <v>2752</v>
      </c>
      <c r="C735" s="620">
        <v>0</v>
      </c>
      <c r="D735" s="620">
        <v>0</v>
      </c>
      <c r="E735" s="620">
        <v>0</v>
      </c>
      <c r="F735" s="620">
        <v>864</v>
      </c>
      <c r="G735" s="620">
        <v>0</v>
      </c>
      <c r="H735" s="620">
        <v>700</v>
      </c>
      <c r="I735" s="620">
        <v>-164</v>
      </c>
      <c r="J735" s="620">
        <v>-18.98</v>
      </c>
      <c r="K735" s="620">
        <v>864</v>
      </c>
      <c r="L735" s="620">
        <v>0</v>
      </c>
      <c r="M735" s="620">
        <v>0</v>
      </c>
      <c r="N735" s="620">
        <v>0</v>
      </c>
      <c r="O735" s="620">
        <v>0</v>
      </c>
      <c r="R735" s="620">
        <v>1</v>
      </c>
      <c r="S735" s="620">
        <v>100</v>
      </c>
      <c r="T735" s="620">
        <v>300</v>
      </c>
      <c r="U735" s="620">
        <v>0</v>
      </c>
      <c r="V735" s="620">
        <v>0</v>
      </c>
      <c r="W735" s="620">
        <v>0</v>
      </c>
    </row>
    <row r="736" spans="1:23" x14ac:dyDescent="0.25">
      <c r="A736" s="620" t="s">
        <v>2753</v>
      </c>
      <c r="B736" s="620" t="s">
        <v>2754</v>
      </c>
      <c r="C736" s="620">
        <v>0</v>
      </c>
      <c r="D736" s="620">
        <v>0</v>
      </c>
      <c r="E736" s="620">
        <v>0</v>
      </c>
      <c r="F736" s="620">
        <v>1</v>
      </c>
      <c r="G736" s="620">
        <v>0</v>
      </c>
      <c r="H736" s="620">
        <v>1</v>
      </c>
      <c r="I736" s="620">
        <v>0</v>
      </c>
      <c r="J736" s="620">
        <v>0</v>
      </c>
      <c r="K736" s="620">
        <v>1</v>
      </c>
      <c r="L736" s="620">
        <v>0</v>
      </c>
      <c r="M736" s="620">
        <v>0</v>
      </c>
      <c r="N736" s="620">
        <v>0</v>
      </c>
      <c r="O736" s="620">
        <v>0</v>
      </c>
      <c r="R736" s="620">
        <v>1</v>
      </c>
      <c r="S736" s="620">
        <v>100</v>
      </c>
      <c r="T736" s="620">
        <v>56</v>
      </c>
      <c r="U736" s="620">
        <v>0</v>
      </c>
      <c r="V736" s="620">
        <v>0</v>
      </c>
      <c r="W736" s="620">
        <v>0</v>
      </c>
    </row>
    <row r="737" spans="1:23" x14ac:dyDescent="0.25">
      <c r="A737" s="620" t="s">
        <v>2755</v>
      </c>
      <c r="B737" s="620" t="s">
        <v>2756</v>
      </c>
      <c r="C737" s="620">
        <v>3034</v>
      </c>
      <c r="D737" s="620">
        <v>13606270</v>
      </c>
      <c r="E737" s="620">
        <v>126014912988</v>
      </c>
      <c r="F737" s="620">
        <v>9540</v>
      </c>
      <c r="G737" s="620">
        <v>9355</v>
      </c>
      <c r="H737" s="620">
        <v>9063</v>
      </c>
      <c r="I737" s="620">
        <v>-477</v>
      </c>
      <c r="J737" s="620">
        <v>-5</v>
      </c>
      <c r="K737" s="620">
        <v>9262</v>
      </c>
      <c r="L737" s="620">
        <v>-278</v>
      </c>
      <c r="M737" s="620">
        <v>-2.91</v>
      </c>
      <c r="N737" s="620">
        <v>9063</v>
      </c>
      <c r="O737" s="620">
        <v>9863</v>
      </c>
      <c r="P737" s="620" t="s">
        <v>2757</v>
      </c>
      <c r="Q737" s="620" t="s">
        <v>2758</v>
      </c>
      <c r="R737" s="620">
        <v>2</v>
      </c>
      <c r="S737" s="620">
        <v>5109</v>
      </c>
      <c r="T737" s="620">
        <v>9063</v>
      </c>
      <c r="U737" s="620">
        <v>9070</v>
      </c>
      <c r="V737" s="620">
        <v>111</v>
      </c>
      <c r="W737" s="620">
        <v>1</v>
      </c>
    </row>
    <row r="738" spans="1:23" x14ac:dyDescent="0.25">
      <c r="A738" s="620" t="s">
        <v>2759</v>
      </c>
      <c r="B738" s="620" t="s">
        <v>2760</v>
      </c>
      <c r="C738" s="620">
        <v>1499</v>
      </c>
      <c r="D738" s="620">
        <v>2322058</v>
      </c>
      <c r="E738" s="620">
        <v>80652858876</v>
      </c>
      <c r="F738" s="620">
        <v>36443</v>
      </c>
      <c r="G738" s="620">
        <v>34621</v>
      </c>
      <c r="H738" s="620">
        <v>34621</v>
      </c>
      <c r="I738" s="620">
        <v>-1822</v>
      </c>
      <c r="J738" s="620">
        <v>-5</v>
      </c>
      <c r="K738" s="620">
        <v>34733</v>
      </c>
      <c r="L738" s="620">
        <v>-1710</v>
      </c>
      <c r="M738" s="620">
        <v>-4.6900000000000004</v>
      </c>
      <c r="N738" s="620">
        <v>34621</v>
      </c>
      <c r="O738" s="620">
        <v>35999</v>
      </c>
      <c r="P738" s="620" t="s">
        <v>2761</v>
      </c>
      <c r="Q738" s="620" t="s">
        <v>2762</v>
      </c>
      <c r="R738" s="620">
        <v>1</v>
      </c>
      <c r="S738" s="620">
        <v>156</v>
      </c>
      <c r="T738" s="620">
        <v>32063</v>
      </c>
      <c r="U738" s="620">
        <v>34621</v>
      </c>
      <c r="V738" s="620">
        <v>112611</v>
      </c>
      <c r="W738" s="620">
        <v>54</v>
      </c>
    </row>
    <row r="739" spans="1:23" x14ac:dyDescent="0.25">
      <c r="A739" s="620" t="s">
        <v>2763</v>
      </c>
      <c r="B739" s="620" t="s">
        <v>2764</v>
      </c>
      <c r="C739" s="620">
        <v>4034</v>
      </c>
      <c r="D739" s="620">
        <v>13543571</v>
      </c>
      <c r="E739" s="620">
        <v>134349909267</v>
      </c>
      <c r="F739" s="620">
        <v>10202</v>
      </c>
      <c r="G739" s="620">
        <v>9692</v>
      </c>
      <c r="H739" s="620">
        <v>9840</v>
      </c>
      <c r="I739" s="620">
        <v>-362</v>
      </c>
      <c r="J739" s="620">
        <v>-3.55</v>
      </c>
      <c r="K739" s="620">
        <v>9920</v>
      </c>
      <c r="L739" s="620">
        <v>-282</v>
      </c>
      <c r="M739" s="620">
        <v>-2.76</v>
      </c>
      <c r="N739" s="620">
        <v>9692</v>
      </c>
      <c r="O739" s="620">
        <v>10202</v>
      </c>
      <c r="P739" s="620" t="s">
        <v>2765</v>
      </c>
      <c r="Q739" s="620" t="s">
        <v>2766</v>
      </c>
      <c r="R739" s="620">
        <v>1</v>
      </c>
      <c r="S739" s="620">
        <v>1238</v>
      </c>
      <c r="T739" s="620">
        <v>9840</v>
      </c>
      <c r="U739" s="620">
        <v>9850</v>
      </c>
      <c r="V739" s="620">
        <v>12000</v>
      </c>
      <c r="W739" s="620">
        <v>3</v>
      </c>
    </row>
    <row r="740" spans="1:23" x14ac:dyDescent="0.25">
      <c r="A740" s="620" t="s">
        <v>2767</v>
      </c>
      <c r="B740" s="620" t="s">
        <v>2768</v>
      </c>
      <c r="C740" s="620">
        <v>0</v>
      </c>
      <c r="D740" s="620">
        <v>0</v>
      </c>
      <c r="E740" s="620">
        <v>0</v>
      </c>
      <c r="F740" s="620">
        <v>601</v>
      </c>
      <c r="G740" s="620">
        <v>0</v>
      </c>
      <c r="H740" s="620">
        <v>601</v>
      </c>
      <c r="I740" s="620">
        <v>0</v>
      </c>
      <c r="J740" s="620">
        <v>0</v>
      </c>
      <c r="K740" s="620">
        <v>601</v>
      </c>
      <c r="L740" s="620">
        <v>0</v>
      </c>
      <c r="M740" s="620">
        <v>0</v>
      </c>
      <c r="N740" s="620">
        <v>0</v>
      </c>
      <c r="O740" s="620">
        <v>0</v>
      </c>
      <c r="R740" s="620">
        <v>0</v>
      </c>
      <c r="S740" s="620">
        <v>0</v>
      </c>
      <c r="T740" s="620">
        <v>0</v>
      </c>
      <c r="U740" s="620">
        <v>980</v>
      </c>
      <c r="V740" s="620">
        <v>2</v>
      </c>
      <c r="W740" s="620">
        <v>1</v>
      </c>
    </row>
    <row r="741" spans="1:23" x14ac:dyDescent="0.25">
      <c r="A741" s="620" t="s">
        <v>2769</v>
      </c>
      <c r="B741" s="620" t="s">
        <v>2770</v>
      </c>
      <c r="C741" s="620">
        <v>0</v>
      </c>
      <c r="D741" s="620">
        <v>0</v>
      </c>
      <c r="E741" s="620">
        <v>0</v>
      </c>
      <c r="F741" s="620">
        <v>1100</v>
      </c>
      <c r="G741" s="620">
        <v>0</v>
      </c>
      <c r="H741" s="620">
        <v>1100</v>
      </c>
      <c r="I741" s="620">
        <v>0</v>
      </c>
      <c r="J741" s="620">
        <v>0</v>
      </c>
      <c r="K741" s="620">
        <v>1100</v>
      </c>
      <c r="L741" s="620">
        <v>0</v>
      </c>
      <c r="M741" s="620">
        <v>0</v>
      </c>
      <c r="N741" s="620">
        <v>0</v>
      </c>
      <c r="O741" s="620">
        <v>0</v>
      </c>
      <c r="R741" s="620">
        <v>1</v>
      </c>
      <c r="S741" s="620">
        <v>2</v>
      </c>
      <c r="T741" s="620">
        <v>1000</v>
      </c>
      <c r="U741" s="620">
        <v>1900</v>
      </c>
      <c r="V741" s="620">
        <v>2</v>
      </c>
      <c r="W741" s="620">
        <v>1</v>
      </c>
    </row>
    <row r="742" spans="1:23" x14ac:dyDescent="0.25">
      <c r="A742" s="620" t="s">
        <v>2771</v>
      </c>
      <c r="B742" s="620" t="s">
        <v>2772</v>
      </c>
      <c r="C742" s="620">
        <v>203</v>
      </c>
      <c r="D742" s="620">
        <v>748955</v>
      </c>
      <c r="E742" s="620">
        <v>6579569675</v>
      </c>
      <c r="F742" s="620">
        <v>9247</v>
      </c>
      <c r="G742" s="620">
        <v>8785</v>
      </c>
      <c r="H742" s="620">
        <v>8785</v>
      </c>
      <c r="I742" s="620">
        <v>-462</v>
      </c>
      <c r="J742" s="620">
        <v>-5</v>
      </c>
      <c r="K742" s="620">
        <v>8785</v>
      </c>
      <c r="L742" s="620">
        <v>-462</v>
      </c>
      <c r="M742" s="620">
        <v>-5</v>
      </c>
      <c r="N742" s="620">
        <v>8785</v>
      </c>
      <c r="O742" s="620">
        <v>8785</v>
      </c>
      <c r="P742" s="620" t="s">
        <v>2773</v>
      </c>
      <c r="Q742" s="620" t="s">
        <v>2774</v>
      </c>
      <c r="R742" s="620">
        <v>1</v>
      </c>
      <c r="S742" s="620">
        <v>2500</v>
      </c>
      <c r="T742" s="620">
        <v>6956</v>
      </c>
      <c r="U742" s="620">
        <v>8785</v>
      </c>
      <c r="V742" s="620">
        <v>972078</v>
      </c>
      <c r="W742" s="620">
        <v>97</v>
      </c>
    </row>
    <row r="743" spans="1:23" x14ac:dyDescent="0.25">
      <c r="A743" s="620" t="s">
        <v>2775</v>
      </c>
      <c r="B743" s="620" t="s">
        <v>2776</v>
      </c>
      <c r="C743" s="620">
        <v>117</v>
      </c>
      <c r="D743" s="620">
        <v>573704</v>
      </c>
      <c r="E743" s="620">
        <v>1498514848</v>
      </c>
      <c r="F743" s="620">
        <v>2692</v>
      </c>
      <c r="G743" s="620">
        <v>2612</v>
      </c>
      <c r="H743" s="620">
        <v>2612</v>
      </c>
      <c r="I743" s="620">
        <v>-80</v>
      </c>
      <c r="J743" s="620">
        <v>-2.97</v>
      </c>
      <c r="K743" s="620">
        <v>2612</v>
      </c>
      <c r="L743" s="620">
        <v>-80</v>
      </c>
      <c r="M743" s="620">
        <v>-2.97</v>
      </c>
      <c r="N743" s="620">
        <v>2612</v>
      </c>
      <c r="O743" s="620">
        <v>2612</v>
      </c>
      <c r="P743" s="620" t="s">
        <v>1061</v>
      </c>
      <c r="Q743" s="620" t="s">
        <v>2777</v>
      </c>
      <c r="R743" s="620">
        <v>0</v>
      </c>
      <c r="S743" s="620">
        <v>0</v>
      </c>
      <c r="T743" s="620">
        <v>0</v>
      </c>
      <c r="U743" s="620">
        <v>2612</v>
      </c>
      <c r="V743" s="620">
        <v>3352667</v>
      </c>
      <c r="W743" s="620">
        <v>174</v>
      </c>
    </row>
    <row r="744" spans="1:23" x14ac:dyDescent="0.25">
      <c r="A744" s="620" t="s">
        <v>2778</v>
      </c>
      <c r="B744" s="620" t="s">
        <v>2779</v>
      </c>
      <c r="C744" s="620">
        <v>464</v>
      </c>
      <c r="D744" s="620">
        <v>205528</v>
      </c>
      <c r="E744" s="620">
        <v>12274604287</v>
      </c>
      <c r="F744" s="620">
        <v>58602</v>
      </c>
      <c r="G744" s="620">
        <v>59000</v>
      </c>
      <c r="H744" s="620">
        <v>59808</v>
      </c>
      <c r="I744" s="620">
        <v>1206</v>
      </c>
      <c r="J744" s="620">
        <v>2.06</v>
      </c>
      <c r="K744" s="620">
        <v>59722</v>
      </c>
      <c r="L744" s="620">
        <v>1120</v>
      </c>
      <c r="M744" s="620">
        <v>1.91</v>
      </c>
      <c r="N744" s="620">
        <v>59000</v>
      </c>
      <c r="O744" s="620">
        <v>60550</v>
      </c>
      <c r="P744" s="620" t="s">
        <v>2780</v>
      </c>
      <c r="Q744" s="620" t="s">
        <v>2781</v>
      </c>
      <c r="R744" s="620">
        <v>3</v>
      </c>
      <c r="S744" s="620">
        <v>6060</v>
      </c>
      <c r="T744" s="620">
        <v>59800</v>
      </c>
      <c r="U744" s="620">
        <v>59808</v>
      </c>
      <c r="V744" s="620">
        <v>1</v>
      </c>
      <c r="W744" s="620">
        <v>1</v>
      </c>
    </row>
    <row r="745" spans="1:23" x14ac:dyDescent="0.25">
      <c r="A745" s="620" t="s">
        <v>2782</v>
      </c>
      <c r="B745" s="620" t="s">
        <v>2783</v>
      </c>
      <c r="C745" s="620">
        <v>0</v>
      </c>
      <c r="D745" s="620">
        <v>0</v>
      </c>
      <c r="E745" s="620">
        <v>0</v>
      </c>
      <c r="F745" s="620">
        <v>990100</v>
      </c>
      <c r="G745" s="620">
        <v>0</v>
      </c>
      <c r="H745" s="620">
        <v>990100</v>
      </c>
      <c r="I745" s="620">
        <v>0</v>
      </c>
      <c r="J745" s="620">
        <v>0</v>
      </c>
      <c r="K745" s="620">
        <v>990100</v>
      </c>
      <c r="L745" s="620">
        <v>0</v>
      </c>
      <c r="M745" s="620">
        <v>0</v>
      </c>
      <c r="N745" s="620">
        <v>0</v>
      </c>
      <c r="O745" s="620">
        <v>0</v>
      </c>
      <c r="R745" s="620">
        <v>1</v>
      </c>
      <c r="S745" s="620">
        <v>1500</v>
      </c>
      <c r="T745" s="620">
        <v>990000</v>
      </c>
      <c r="U745" s="620">
        <v>1000000</v>
      </c>
      <c r="V745" s="620">
        <v>1500</v>
      </c>
      <c r="W745" s="620">
        <v>1</v>
      </c>
    </row>
    <row r="746" spans="1:23" x14ac:dyDescent="0.25">
      <c r="A746" s="620" t="s">
        <v>2784</v>
      </c>
      <c r="B746" s="620" t="s">
        <v>2785</v>
      </c>
      <c r="C746" s="620">
        <v>677</v>
      </c>
      <c r="D746" s="620">
        <v>7460916</v>
      </c>
      <c r="E746" s="620">
        <v>5861871509</v>
      </c>
      <c r="F746" s="620">
        <v>795</v>
      </c>
      <c r="G746" s="620">
        <v>782</v>
      </c>
      <c r="H746" s="620">
        <v>788</v>
      </c>
      <c r="I746" s="620">
        <v>-7</v>
      </c>
      <c r="J746" s="620">
        <v>-0.88</v>
      </c>
      <c r="K746" s="620">
        <v>786</v>
      </c>
      <c r="L746" s="620">
        <v>-9</v>
      </c>
      <c r="M746" s="620">
        <v>-1.1299999999999999</v>
      </c>
      <c r="N746" s="620">
        <v>780</v>
      </c>
      <c r="O746" s="620">
        <v>810</v>
      </c>
      <c r="P746" s="620" t="s">
        <v>1077</v>
      </c>
      <c r="Q746" s="620" t="s">
        <v>2786</v>
      </c>
      <c r="R746" s="620">
        <v>0</v>
      </c>
      <c r="S746" s="620">
        <v>0</v>
      </c>
      <c r="T746" s="620">
        <v>0</v>
      </c>
      <c r="U746" s="620">
        <v>790</v>
      </c>
      <c r="V746" s="620">
        <v>54035</v>
      </c>
      <c r="W746" s="620">
        <v>5</v>
      </c>
    </row>
    <row r="747" spans="1:23" x14ac:dyDescent="0.25">
      <c r="A747" s="620" t="s">
        <v>2787</v>
      </c>
      <c r="B747" s="620" t="s">
        <v>2788</v>
      </c>
      <c r="C747" s="620">
        <v>0</v>
      </c>
      <c r="D747" s="620">
        <v>0</v>
      </c>
      <c r="E747" s="620">
        <v>0</v>
      </c>
      <c r="F747" s="620">
        <v>1</v>
      </c>
      <c r="G747" s="620">
        <v>0</v>
      </c>
      <c r="H747" s="620">
        <v>1</v>
      </c>
      <c r="I747" s="620">
        <v>0</v>
      </c>
      <c r="J747" s="620">
        <v>0</v>
      </c>
      <c r="K747" s="620">
        <v>1</v>
      </c>
      <c r="L747" s="620">
        <v>0</v>
      </c>
      <c r="M747" s="620">
        <v>0</v>
      </c>
      <c r="N747" s="620">
        <v>0</v>
      </c>
      <c r="O747" s="620">
        <v>0</v>
      </c>
      <c r="R747" s="620">
        <v>1</v>
      </c>
      <c r="S747" s="620">
        <v>100</v>
      </c>
      <c r="T747" s="620">
        <v>2</v>
      </c>
      <c r="U747" s="620">
        <v>0</v>
      </c>
      <c r="V747" s="620">
        <v>0</v>
      </c>
      <c r="W747" s="620">
        <v>0</v>
      </c>
    </row>
    <row r="748" spans="1:23" x14ac:dyDescent="0.25">
      <c r="A748" s="620" t="s">
        <v>2789</v>
      </c>
      <c r="B748" s="620" t="s">
        <v>2790</v>
      </c>
      <c r="C748" s="620">
        <v>0</v>
      </c>
      <c r="D748" s="620">
        <v>0</v>
      </c>
      <c r="E748" s="620">
        <v>0</v>
      </c>
      <c r="F748" s="620">
        <v>2481096</v>
      </c>
      <c r="G748" s="620">
        <v>0</v>
      </c>
      <c r="H748" s="620">
        <v>2481096</v>
      </c>
      <c r="I748" s="620">
        <v>0</v>
      </c>
      <c r="J748" s="620">
        <v>0</v>
      </c>
      <c r="K748" s="620">
        <v>2481096</v>
      </c>
      <c r="L748" s="620">
        <v>0</v>
      </c>
      <c r="M748" s="620">
        <v>0</v>
      </c>
      <c r="N748" s="620">
        <v>0</v>
      </c>
      <c r="O748" s="620">
        <v>0</v>
      </c>
      <c r="R748" s="620">
        <v>1</v>
      </c>
      <c r="S748" s="620">
        <v>2068</v>
      </c>
      <c r="T748" s="620">
        <v>2764636</v>
      </c>
      <c r="U748" s="620">
        <v>2823425</v>
      </c>
      <c r="V748" s="620">
        <v>2068</v>
      </c>
      <c r="W748" s="620">
        <v>1</v>
      </c>
    </row>
    <row r="749" spans="1:23" x14ac:dyDescent="0.25">
      <c r="A749" s="620" t="s">
        <v>2791</v>
      </c>
      <c r="B749" s="620" t="s">
        <v>2792</v>
      </c>
      <c r="C749" s="620">
        <v>0</v>
      </c>
      <c r="D749" s="620">
        <v>0</v>
      </c>
      <c r="E749" s="620">
        <v>0</v>
      </c>
      <c r="F749" s="620">
        <v>12042</v>
      </c>
      <c r="G749" s="620">
        <v>12644</v>
      </c>
      <c r="H749" s="620">
        <v>12042</v>
      </c>
      <c r="I749" s="620">
        <v>0</v>
      </c>
      <c r="J749" s="620">
        <v>0</v>
      </c>
      <c r="K749" s="620">
        <v>12042</v>
      </c>
      <c r="L749" s="620">
        <v>0</v>
      </c>
      <c r="M749" s="620">
        <v>0</v>
      </c>
      <c r="N749" s="620">
        <v>12644</v>
      </c>
      <c r="O749" s="620">
        <v>12644</v>
      </c>
      <c r="P749" s="620" t="s">
        <v>2793</v>
      </c>
      <c r="Q749" s="620" t="s">
        <v>2794</v>
      </c>
      <c r="R749" s="620">
        <v>1</v>
      </c>
      <c r="S749" s="620">
        <v>1350</v>
      </c>
      <c r="T749" s="620">
        <v>12644</v>
      </c>
      <c r="U749" s="620">
        <v>14033</v>
      </c>
      <c r="V749" s="620">
        <v>13313</v>
      </c>
      <c r="W749" s="620">
        <v>1</v>
      </c>
    </row>
    <row r="750" spans="1:23" x14ac:dyDescent="0.25">
      <c r="A750" s="620" t="s">
        <v>2795</v>
      </c>
      <c r="B750" s="620" t="s">
        <v>2796</v>
      </c>
      <c r="C750" s="620">
        <v>586</v>
      </c>
      <c r="D750" s="620">
        <v>5225427</v>
      </c>
      <c r="E750" s="620">
        <v>15029603998</v>
      </c>
      <c r="F750" s="620">
        <v>2963</v>
      </c>
      <c r="G750" s="620">
        <v>2875</v>
      </c>
      <c r="H750" s="620">
        <v>2875</v>
      </c>
      <c r="I750" s="620">
        <v>-88</v>
      </c>
      <c r="J750" s="620">
        <v>-2.97</v>
      </c>
      <c r="K750" s="620">
        <v>2876</v>
      </c>
      <c r="L750" s="620">
        <v>-87</v>
      </c>
      <c r="M750" s="620">
        <v>-2.94</v>
      </c>
      <c r="N750" s="620">
        <v>2875</v>
      </c>
      <c r="O750" s="620">
        <v>2944</v>
      </c>
      <c r="P750" s="620" t="s">
        <v>2797</v>
      </c>
      <c r="Q750" s="620" t="s">
        <v>2798</v>
      </c>
      <c r="R750" s="620">
        <v>0</v>
      </c>
      <c r="S750" s="620">
        <v>0</v>
      </c>
      <c r="T750" s="620">
        <v>0</v>
      </c>
      <c r="U750" s="620">
        <v>2875</v>
      </c>
      <c r="V750" s="620">
        <v>205118</v>
      </c>
      <c r="W750" s="620">
        <v>18</v>
      </c>
    </row>
    <row r="751" spans="1:23" x14ac:dyDescent="0.25">
      <c r="A751" s="620" t="s">
        <v>2799</v>
      </c>
      <c r="B751" s="620" t="s">
        <v>2800</v>
      </c>
      <c r="C751" s="620">
        <v>640</v>
      </c>
      <c r="D751" s="620">
        <v>1751599</v>
      </c>
      <c r="E751" s="620">
        <v>25926752949</v>
      </c>
      <c r="F751" s="620">
        <v>15478</v>
      </c>
      <c r="G751" s="620">
        <v>14705</v>
      </c>
      <c r="H751" s="620">
        <v>14705</v>
      </c>
      <c r="I751" s="620">
        <v>-773</v>
      </c>
      <c r="J751" s="620">
        <v>-4.99</v>
      </c>
      <c r="K751" s="620">
        <v>14802</v>
      </c>
      <c r="L751" s="620">
        <v>-676</v>
      </c>
      <c r="M751" s="620">
        <v>-4.37</v>
      </c>
      <c r="N751" s="620">
        <v>14705</v>
      </c>
      <c r="O751" s="620">
        <v>15341</v>
      </c>
      <c r="P751" s="620" t="s">
        <v>2801</v>
      </c>
      <c r="Q751" s="620" t="s">
        <v>2122</v>
      </c>
      <c r="R751" s="620">
        <v>1</v>
      </c>
      <c r="S751" s="620">
        <v>74</v>
      </c>
      <c r="T751" s="620">
        <v>13832</v>
      </c>
      <c r="U751" s="620">
        <v>14705</v>
      </c>
      <c r="V751" s="620">
        <v>457522</v>
      </c>
      <c r="W751" s="620">
        <v>33</v>
      </c>
    </row>
    <row r="752" spans="1:23" x14ac:dyDescent="0.25">
      <c r="A752" s="620" t="s">
        <v>2802</v>
      </c>
      <c r="B752" s="620" t="s">
        <v>2803</v>
      </c>
      <c r="C752" s="620">
        <v>93</v>
      </c>
      <c r="D752" s="620">
        <v>95775</v>
      </c>
      <c r="E752" s="620">
        <v>1026133350</v>
      </c>
      <c r="F752" s="620">
        <v>11277</v>
      </c>
      <c r="G752" s="620">
        <v>10714</v>
      </c>
      <c r="H752" s="620">
        <v>10714</v>
      </c>
      <c r="I752" s="620">
        <v>-563</v>
      </c>
      <c r="J752" s="620">
        <v>-4.99</v>
      </c>
      <c r="K752" s="620">
        <v>11114</v>
      </c>
      <c r="L752" s="620">
        <v>-163</v>
      </c>
      <c r="M752" s="620">
        <v>-1.45</v>
      </c>
      <c r="N752" s="620">
        <v>10714</v>
      </c>
      <c r="O752" s="620">
        <v>10714</v>
      </c>
      <c r="P752" s="620" t="s">
        <v>2804</v>
      </c>
      <c r="Q752" s="620" t="s">
        <v>2805</v>
      </c>
      <c r="R752" s="620">
        <v>0</v>
      </c>
      <c r="S752" s="620">
        <v>0</v>
      </c>
      <c r="T752" s="620">
        <v>0</v>
      </c>
      <c r="U752" s="620">
        <v>10714</v>
      </c>
      <c r="V752" s="620">
        <v>710834</v>
      </c>
      <c r="W752" s="620">
        <v>150</v>
      </c>
    </row>
    <row r="753" spans="1:23" x14ac:dyDescent="0.25">
      <c r="A753" s="620" t="s">
        <v>2806</v>
      </c>
      <c r="B753" s="620" t="s">
        <v>2807</v>
      </c>
      <c r="C753" s="620">
        <v>288</v>
      </c>
      <c r="D753" s="620">
        <v>1356217</v>
      </c>
      <c r="E753" s="620">
        <v>12056650339</v>
      </c>
      <c r="F753" s="620">
        <v>9332</v>
      </c>
      <c r="G753" s="620">
        <v>8870</v>
      </c>
      <c r="H753" s="620">
        <v>8866</v>
      </c>
      <c r="I753" s="620">
        <v>-466</v>
      </c>
      <c r="J753" s="620">
        <v>-4.99</v>
      </c>
      <c r="K753" s="620">
        <v>8890</v>
      </c>
      <c r="L753" s="620">
        <v>-442</v>
      </c>
      <c r="M753" s="620">
        <v>-4.74</v>
      </c>
      <c r="N753" s="620">
        <v>8866</v>
      </c>
      <c r="O753" s="620">
        <v>9150</v>
      </c>
      <c r="P753" s="620" t="s">
        <v>2808</v>
      </c>
      <c r="Q753" s="620" t="s">
        <v>2809</v>
      </c>
      <c r="R753" s="620">
        <v>1</v>
      </c>
      <c r="S753" s="620">
        <v>200</v>
      </c>
      <c r="T753" s="620">
        <v>8866</v>
      </c>
      <c r="U753" s="620">
        <v>8866</v>
      </c>
      <c r="V753" s="620">
        <v>130222</v>
      </c>
      <c r="W753" s="620">
        <v>11</v>
      </c>
    </row>
    <row r="754" spans="1:23" x14ac:dyDescent="0.25">
      <c r="A754" s="620" t="s">
        <v>2810</v>
      </c>
      <c r="B754" s="620" t="s">
        <v>2811</v>
      </c>
      <c r="C754" s="620">
        <v>99</v>
      </c>
      <c r="D754" s="620">
        <v>602232</v>
      </c>
      <c r="E754" s="620">
        <v>1036505330</v>
      </c>
      <c r="F754" s="620">
        <v>1632</v>
      </c>
      <c r="G754" s="620">
        <v>1749</v>
      </c>
      <c r="H754" s="620">
        <v>1700</v>
      </c>
      <c r="I754" s="620">
        <v>68</v>
      </c>
      <c r="J754" s="620">
        <v>4.17</v>
      </c>
      <c r="K754" s="620">
        <v>1721</v>
      </c>
      <c r="L754" s="620">
        <v>89</v>
      </c>
      <c r="M754" s="620">
        <v>5.45</v>
      </c>
      <c r="N754" s="620">
        <v>1640</v>
      </c>
      <c r="O754" s="620">
        <v>1780</v>
      </c>
      <c r="R754" s="620">
        <v>1</v>
      </c>
      <c r="S754" s="620">
        <v>7700</v>
      </c>
      <c r="T754" s="620">
        <v>1666</v>
      </c>
      <c r="U754" s="620">
        <v>1703</v>
      </c>
      <c r="V754" s="620">
        <v>7000</v>
      </c>
      <c r="W754" s="620">
        <v>1</v>
      </c>
    </row>
    <row r="755" spans="1:23" x14ac:dyDescent="0.25">
      <c r="A755" s="620" t="s">
        <v>2812</v>
      </c>
      <c r="B755" s="620" t="s">
        <v>2813</v>
      </c>
      <c r="C755" s="620">
        <v>0</v>
      </c>
      <c r="D755" s="620">
        <v>0</v>
      </c>
      <c r="E755" s="620">
        <v>0</v>
      </c>
      <c r="F755" s="620">
        <v>979411</v>
      </c>
      <c r="G755" s="620">
        <v>0</v>
      </c>
      <c r="H755" s="620">
        <v>979411</v>
      </c>
      <c r="I755" s="620">
        <v>0</v>
      </c>
      <c r="J755" s="620">
        <v>0</v>
      </c>
      <c r="K755" s="620">
        <v>979411</v>
      </c>
      <c r="L755" s="620">
        <v>0</v>
      </c>
      <c r="M755" s="620">
        <v>0</v>
      </c>
      <c r="N755" s="620">
        <v>0</v>
      </c>
      <c r="O755" s="620">
        <v>0</v>
      </c>
      <c r="R755" s="620">
        <v>1</v>
      </c>
      <c r="S755" s="620">
        <v>600</v>
      </c>
      <c r="T755" s="620">
        <v>979411</v>
      </c>
      <c r="U755" s="620">
        <v>999000</v>
      </c>
      <c r="V755" s="620">
        <v>600</v>
      </c>
      <c r="W755" s="620">
        <v>1</v>
      </c>
    </row>
    <row r="756" spans="1:23" x14ac:dyDescent="0.25">
      <c r="A756" s="620" t="s">
        <v>2814</v>
      </c>
      <c r="B756" s="620" t="s">
        <v>2815</v>
      </c>
      <c r="C756" s="620">
        <v>0</v>
      </c>
      <c r="D756" s="620">
        <v>0</v>
      </c>
      <c r="E756" s="620">
        <v>0</v>
      </c>
      <c r="F756" s="620">
        <v>1</v>
      </c>
      <c r="G756" s="620">
        <v>0</v>
      </c>
      <c r="H756" s="620">
        <v>1</v>
      </c>
      <c r="I756" s="620">
        <v>0</v>
      </c>
      <c r="J756" s="620">
        <v>0</v>
      </c>
      <c r="K756" s="620">
        <v>1</v>
      </c>
      <c r="L756" s="620">
        <v>0</v>
      </c>
      <c r="M756" s="620">
        <v>0</v>
      </c>
      <c r="N756" s="620">
        <v>0</v>
      </c>
      <c r="O756" s="620">
        <v>0</v>
      </c>
      <c r="R756" s="620">
        <v>2</v>
      </c>
      <c r="S756" s="620">
        <v>200</v>
      </c>
      <c r="T756" s="620">
        <v>1</v>
      </c>
      <c r="U756" s="620">
        <v>0</v>
      </c>
      <c r="V756" s="620">
        <v>0</v>
      </c>
      <c r="W756" s="620">
        <v>0</v>
      </c>
    </row>
    <row r="757" spans="1:23" x14ac:dyDescent="0.25">
      <c r="A757" s="620" t="s">
        <v>2816</v>
      </c>
      <c r="B757" s="620" t="s">
        <v>2817</v>
      </c>
      <c r="C757" s="620">
        <v>551</v>
      </c>
      <c r="D757" s="620">
        <v>2107446</v>
      </c>
      <c r="E757" s="620">
        <v>49501084196</v>
      </c>
      <c r="F757" s="620">
        <v>24608</v>
      </c>
      <c r="G757" s="620">
        <v>23390</v>
      </c>
      <c r="H757" s="620">
        <v>23378</v>
      </c>
      <c r="I757" s="620">
        <v>-1230</v>
      </c>
      <c r="J757" s="620">
        <v>-5</v>
      </c>
      <c r="K757" s="620">
        <v>23489</v>
      </c>
      <c r="L757" s="620">
        <v>-1119</v>
      </c>
      <c r="M757" s="620">
        <v>-4.55</v>
      </c>
      <c r="N757" s="620">
        <v>23378</v>
      </c>
      <c r="O757" s="620">
        <v>24997</v>
      </c>
      <c r="P757" s="620" t="s">
        <v>2818</v>
      </c>
      <c r="Q757" s="620" t="s">
        <v>2819</v>
      </c>
      <c r="R757" s="620">
        <v>1</v>
      </c>
      <c r="S757" s="620">
        <v>100</v>
      </c>
      <c r="T757" s="620">
        <v>20653</v>
      </c>
      <c r="U757" s="620">
        <v>23568</v>
      </c>
      <c r="V757" s="620">
        <v>994</v>
      </c>
      <c r="W757" s="620">
        <v>1</v>
      </c>
    </row>
    <row r="758" spans="1:23" x14ac:dyDescent="0.25">
      <c r="A758" s="620" t="s">
        <v>2820</v>
      </c>
      <c r="B758" s="620" t="s">
        <v>2821</v>
      </c>
      <c r="C758" s="620">
        <v>9</v>
      </c>
      <c r="D758" s="620">
        <v>64582</v>
      </c>
      <c r="E758" s="620">
        <v>415585170</v>
      </c>
      <c r="F758" s="620">
        <v>6566</v>
      </c>
      <c r="G758" s="620">
        <v>6435</v>
      </c>
      <c r="H758" s="620">
        <v>6435</v>
      </c>
      <c r="I758" s="620">
        <v>-131</v>
      </c>
      <c r="J758" s="620">
        <v>-2</v>
      </c>
      <c r="K758" s="620">
        <v>6435</v>
      </c>
      <c r="L758" s="620">
        <v>-131</v>
      </c>
      <c r="M758" s="620">
        <v>-2</v>
      </c>
      <c r="N758" s="620">
        <v>6435</v>
      </c>
      <c r="O758" s="620">
        <v>6435</v>
      </c>
      <c r="P758" s="620" t="s">
        <v>2822</v>
      </c>
      <c r="Q758" s="620" t="s">
        <v>2823</v>
      </c>
      <c r="R758" s="620">
        <v>0</v>
      </c>
      <c r="S758" s="620">
        <v>0</v>
      </c>
      <c r="T758" s="620">
        <v>0</v>
      </c>
      <c r="U758" s="620">
        <v>6435</v>
      </c>
      <c r="V758" s="620">
        <v>565680</v>
      </c>
      <c r="W758" s="620">
        <v>63</v>
      </c>
    </row>
    <row r="759" spans="1:23" x14ac:dyDescent="0.25">
      <c r="A759" s="620" t="s">
        <v>2824</v>
      </c>
      <c r="B759" s="620" t="s">
        <v>2825</v>
      </c>
      <c r="C759" s="620">
        <v>5</v>
      </c>
      <c r="D759" s="620">
        <v>633</v>
      </c>
      <c r="E759" s="620">
        <v>10670481</v>
      </c>
      <c r="F759" s="620">
        <v>17027</v>
      </c>
      <c r="G759" s="620">
        <v>16857</v>
      </c>
      <c r="H759" s="620">
        <v>16857</v>
      </c>
      <c r="I759" s="620">
        <v>-170</v>
      </c>
      <c r="J759" s="620">
        <v>-1</v>
      </c>
      <c r="K759" s="620">
        <v>16857</v>
      </c>
      <c r="L759" s="620">
        <v>-170</v>
      </c>
      <c r="M759" s="620">
        <v>-1</v>
      </c>
      <c r="N759" s="620">
        <v>16857</v>
      </c>
      <c r="O759" s="620">
        <v>16857</v>
      </c>
      <c r="P759" s="620" t="s">
        <v>2826</v>
      </c>
      <c r="Q759" s="620" t="s">
        <v>2827</v>
      </c>
      <c r="R759" s="620">
        <v>0</v>
      </c>
      <c r="S759" s="620">
        <v>0</v>
      </c>
      <c r="T759" s="620">
        <v>0</v>
      </c>
      <c r="U759" s="620">
        <v>16857</v>
      </c>
      <c r="V759" s="620">
        <v>202658</v>
      </c>
      <c r="W759" s="620">
        <v>18</v>
      </c>
    </row>
    <row r="760" spans="1:23" x14ac:dyDescent="0.25">
      <c r="A760" s="620" t="s">
        <v>2828</v>
      </c>
      <c r="B760" s="620" t="s">
        <v>2829</v>
      </c>
      <c r="C760" s="620">
        <v>97</v>
      </c>
      <c r="D760" s="620">
        <v>70366</v>
      </c>
      <c r="E760" s="620">
        <v>1200866156</v>
      </c>
      <c r="F760" s="620">
        <v>17964</v>
      </c>
      <c r="G760" s="620">
        <v>17066</v>
      </c>
      <c r="H760" s="620">
        <v>17066</v>
      </c>
      <c r="I760" s="620">
        <v>-898</v>
      </c>
      <c r="J760" s="620">
        <v>-5</v>
      </c>
      <c r="K760" s="620">
        <v>17066</v>
      </c>
      <c r="L760" s="620">
        <v>-898</v>
      </c>
      <c r="M760" s="620">
        <v>-5</v>
      </c>
      <c r="N760" s="620">
        <v>17066</v>
      </c>
      <c r="O760" s="620">
        <v>17066</v>
      </c>
      <c r="P760" s="620" t="s">
        <v>2830</v>
      </c>
      <c r="Q760" s="620" t="s">
        <v>2831</v>
      </c>
      <c r="R760" s="620">
        <v>0</v>
      </c>
      <c r="S760" s="620">
        <v>0</v>
      </c>
      <c r="T760" s="620">
        <v>0</v>
      </c>
      <c r="U760" s="620">
        <v>17066</v>
      </c>
      <c r="V760" s="620">
        <v>485371</v>
      </c>
      <c r="W760" s="620">
        <v>117</v>
      </c>
    </row>
    <row r="761" spans="1:23" x14ac:dyDescent="0.25">
      <c r="A761" s="620" t="s">
        <v>2832</v>
      </c>
      <c r="B761" s="620" t="s">
        <v>2833</v>
      </c>
      <c r="C761" s="620">
        <v>0</v>
      </c>
      <c r="D761" s="620">
        <v>0</v>
      </c>
      <c r="E761" s="620">
        <v>0</v>
      </c>
      <c r="F761" s="620">
        <v>9952</v>
      </c>
      <c r="G761" s="620">
        <v>10151</v>
      </c>
      <c r="H761" s="620">
        <v>9952</v>
      </c>
      <c r="I761" s="620">
        <v>0</v>
      </c>
      <c r="J761" s="620">
        <v>0</v>
      </c>
      <c r="K761" s="620">
        <v>9952</v>
      </c>
      <c r="L761" s="620">
        <v>0</v>
      </c>
      <c r="M761" s="620">
        <v>0</v>
      </c>
      <c r="N761" s="620">
        <v>10151</v>
      </c>
      <c r="O761" s="620">
        <v>10151</v>
      </c>
      <c r="P761" s="620" t="s">
        <v>2834</v>
      </c>
      <c r="Q761" s="620" t="s">
        <v>2835</v>
      </c>
      <c r="R761" s="620">
        <v>4</v>
      </c>
      <c r="S761" s="620">
        <v>3766</v>
      </c>
      <c r="T761" s="620">
        <v>10151</v>
      </c>
      <c r="U761" s="620">
        <v>0</v>
      </c>
      <c r="V761" s="620">
        <v>0</v>
      </c>
      <c r="W761" s="620">
        <v>0</v>
      </c>
    </row>
    <row r="762" spans="1:23" x14ac:dyDescent="0.25">
      <c r="A762" s="620" t="s">
        <v>2836</v>
      </c>
      <c r="B762" s="620" t="s">
        <v>2837</v>
      </c>
      <c r="C762" s="620">
        <v>2</v>
      </c>
      <c r="D762" s="620">
        <v>26</v>
      </c>
      <c r="E762" s="620">
        <v>38144730</v>
      </c>
      <c r="F762" s="620">
        <v>1215</v>
      </c>
      <c r="G762" s="620">
        <v>801</v>
      </c>
      <c r="H762" s="620">
        <v>800</v>
      </c>
      <c r="I762" s="620">
        <v>-415</v>
      </c>
      <c r="J762" s="620">
        <v>-34.159999999999997</v>
      </c>
      <c r="K762" s="620">
        <v>800</v>
      </c>
      <c r="L762" s="620">
        <v>-415</v>
      </c>
      <c r="M762" s="620">
        <v>-34.159999999999997</v>
      </c>
      <c r="N762" s="620">
        <v>800</v>
      </c>
      <c r="O762" s="620">
        <v>801</v>
      </c>
      <c r="R762" s="620">
        <v>1</v>
      </c>
      <c r="S762" s="620">
        <v>84</v>
      </c>
      <c r="T762" s="620">
        <v>900</v>
      </c>
      <c r="U762" s="620">
        <v>1190</v>
      </c>
      <c r="V762" s="620">
        <v>70</v>
      </c>
      <c r="W762" s="620">
        <v>2</v>
      </c>
    </row>
    <row r="763" spans="1:23" x14ac:dyDescent="0.25">
      <c r="A763" s="620" t="s">
        <v>2838</v>
      </c>
      <c r="B763" s="620" t="s">
        <v>2839</v>
      </c>
      <c r="C763" s="620">
        <v>0</v>
      </c>
      <c r="D763" s="620">
        <v>0</v>
      </c>
      <c r="E763" s="620">
        <v>0</v>
      </c>
      <c r="F763" s="620">
        <v>1</v>
      </c>
      <c r="G763" s="620">
        <v>0</v>
      </c>
      <c r="H763" s="620">
        <v>1</v>
      </c>
      <c r="I763" s="620">
        <v>0</v>
      </c>
      <c r="J763" s="620">
        <v>0</v>
      </c>
      <c r="K763" s="620">
        <v>1</v>
      </c>
      <c r="L763" s="620">
        <v>0</v>
      </c>
      <c r="M763" s="620">
        <v>0</v>
      </c>
      <c r="N763" s="620">
        <v>0</v>
      </c>
      <c r="O763" s="620">
        <v>0</v>
      </c>
      <c r="R763" s="620">
        <v>0</v>
      </c>
      <c r="S763" s="620">
        <v>0</v>
      </c>
      <c r="T763" s="620">
        <v>0</v>
      </c>
      <c r="U763" s="620">
        <v>10</v>
      </c>
      <c r="V763" s="620">
        <v>1</v>
      </c>
      <c r="W763" s="620">
        <v>1</v>
      </c>
    </row>
    <row r="764" spans="1:23" x14ac:dyDescent="0.25">
      <c r="A764" s="620" t="s">
        <v>2840</v>
      </c>
      <c r="B764" s="620" t="s">
        <v>2841</v>
      </c>
      <c r="C764" s="620">
        <v>368</v>
      </c>
      <c r="D764" s="620">
        <v>587615</v>
      </c>
      <c r="E764" s="620">
        <v>23315975585</v>
      </c>
      <c r="F764" s="620">
        <v>41767</v>
      </c>
      <c r="G764" s="620">
        <v>39679</v>
      </c>
      <c r="H764" s="620">
        <v>39679</v>
      </c>
      <c r="I764" s="620">
        <v>-2088</v>
      </c>
      <c r="J764" s="620">
        <v>-5</v>
      </c>
      <c r="K764" s="620">
        <v>39679</v>
      </c>
      <c r="L764" s="620">
        <v>-2088</v>
      </c>
      <c r="M764" s="620">
        <v>-5</v>
      </c>
      <c r="N764" s="620">
        <v>39679</v>
      </c>
      <c r="O764" s="620">
        <v>39679</v>
      </c>
      <c r="P764" s="620" t="s">
        <v>2842</v>
      </c>
      <c r="Q764" s="620" t="s">
        <v>2843</v>
      </c>
      <c r="R764" s="620">
        <v>0</v>
      </c>
      <c r="S764" s="620">
        <v>0</v>
      </c>
      <c r="T764" s="620">
        <v>0</v>
      </c>
      <c r="U764" s="620">
        <v>39679</v>
      </c>
      <c r="V764" s="620">
        <v>868171</v>
      </c>
      <c r="W764" s="620">
        <v>170</v>
      </c>
    </row>
    <row r="765" spans="1:23" x14ac:dyDescent="0.25">
      <c r="A765" s="620" t="s">
        <v>2844</v>
      </c>
      <c r="B765" s="620" t="s">
        <v>2845</v>
      </c>
      <c r="C765" s="620">
        <v>19</v>
      </c>
      <c r="D765" s="620">
        <v>5364</v>
      </c>
      <c r="E765" s="620">
        <v>5296239000</v>
      </c>
      <c r="F765" s="620">
        <v>985820</v>
      </c>
      <c r="G765" s="620">
        <v>989026</v>
      </c>
      <c r="H765" s="620">
        <v>987366</v>
      </c>
      <c r="I765" s="620">
        <v>1546</v>
      </c>
      <c r="J765" s="620">
        <v>0.16</v>
      </c>
      <c r="K765" s="620">
        <v>987367</v>
      </c>
      <c r="L765" s="620">
        <v>1547</v>
      </c>
      <c r="M765" s="620">
        <v>0.16</v>
      </c>
      <c r="N765" s="620">
        <v>987274</v>
      </c>
      <c r="O765" s="620">
        <v>989026</v>
      </c>
      <c r="R765" s="620">
        <v>1</v>
      </c>
      <c r="S765" s="620">
        <v>104</v>
      </c>
      <c r="T765" s="620">
        <v>987368</v>
      </c>
      <c r="U765" s="620">
        <v>993000</v>
      </c>
      <c r="V765" s="620">
        <v>2</v>
      </c>
      <c r="W765" s="620">
        <v>1</v>
      </c>
    </row>
    <row r="766" spans="1:23" x14ac:dyDescent="0.25">
      <c r="A766" s="620" t="s">
        <v>2846</v>
      </c>
      <c r="B766" s="620" t="s">
        <v>2847</v>
      </c>
      <c r="C766" s="620">
        <v>0</v>
      </c>
      <c r="D766" s="620">
        <v>0</v>
      </c>
      <c r="E766" s="620">
        <v>0</v>
      </c>
      <c r="F766" s="620">
        <v>982000</v>
      </c>
      <c r="G766" s="620">
        <v>0</v>
      </c>
      <c r="H766" s="620">
        <v>982000</v>
      </c>
      <c r="I766" s="620">
        <v>0</v>
      </c>
      <c r="J766" s="620">
        <v>0</v>
      </c>
      <c r="K766" s="620">
        <v>982000</v>
      </c>
      <c r="L766" s="620">
        <v>0</v>
      </c>
      <c r="M766" s="620">
        <v>0</v>
      </c>
      <c r="N766" s="620">
        <v>0</v>
      </c>
      <c r="O766" s="620">
        <v>0</v>
      </c>
      <c r="R766" s="620">
        <v>2</v>
      </c>
      <c r="S766" s="620">
        <v>2000</v>
      </c>
      <c r="T766" s="620">
        <v>979514</v>
      </c>
      <c r="U766" s="620">
        <v>0</v>
      </c>
      <c r="V766" s="620">
        <v>0</v>
      </c>
      <c r="W766" s="620">
        <v>0</v>
      </c>
    </row>
    <row r="767" spans="1:23" x14ac:dyDescent="0.25">
      <c r="A767" s="620" t="s">
        <v>2848</v>
      </c>
      <c r="B767" s="620" t="s">
        <v>2849</v>
      </c>
      <c r="C767" s="620">
        <v>401</v>
      </c>
      <c r="D767" s="620">
        <v>4863322</v>
      </c>
      <c r="E767" s="620">
        <v>25451945371</v>
      </c>
      <c r="F767" s="620">
        <v>5472</v>
      </c>
      <c r="G767" s="620">
        <v>5199</v>
      </c>
      <c r="H767" s="620">
        <v>5199</v>
      </c>
      <c r="I767" s="620">
        <v>-273</v>
      </c>
      <c r="J767" s="620">
        <v>-4.99</v>
      </c>
      <c r="K767" s="620">
        <v>5233</v>
      </c>
      <c r="L767" s="620">
        <v>-239</v>
      </c>
      <c r="M767" s="620">
        <v>-4.37</v>
      </c>
      <c r="N767" s="620">
        <v>5199</v>
      </c>
      <c r="O767" s="620">
        <v>5440</v>
      </c>
      <c r="P767" s="620" t="s">
        <v>2850</v>
      </c>
      <c r="Q767" s="620" t="s">
        <v>2851</v>
      </c>
      <c r="R767" s="620">
        <v>1</v>
      </c>
      <c r="S767" s="620">
        <v>3527</v>
      </c>
      <c r="T767" s="620">
        <v>3191</v>
      </c>
      <c r="U767" s="620">
        <v>5199</v>
      </c>
      <c r="V767" s="620">
        <v>103040</v>
      </c>
      <c r="W767" s="620">
        <v>6</v>
      </c>
    </row>
    <row r="768" spans="1:23" x14ac:dyDescent="0.25">
      <c r="A768" s="620" t="s">
        <v>2852</v>
      </c>
      <c r="B768" s="620" t="s">
        <v>2853</v>
      </c>
      <c r="C768" s="620">
        <v>67</v>
      </c>
      <c r="D768" s="620">
        <v>44780</v>
      </c>
      <c r="E768" s="620">
        <v>787536585</v>
      </c>
      <c r="F768" s="620">
        <v>18101</v>
      </c>
      <c r="G768" s="620">
        <v>17623</v>
      </c>
      <c r="H768" s="620">
        <v>17558</v>
      </c>
      <c r="I768" s="620">
        <v>-543</v>
      </c>
      <c r="J768" s="620">
        <v>-3</v>
      </c>
      <c r="K768" s="620">
        <v>17587</v>
      </c>
      <c r="L768" s="620">
        <v>-514</v>
      </c>
      <c r="M768" s="620">
        <v>-2.84</v>
      </c>
      <c r="N768" s="620">
        <v>17558</v>
      </c>
      <c r="O768" s="620">
        <v>18300</v>
      </c>
      <c r="P768" s="620" t="s">
        <v>2854</v>
      </c>
      <c r="Q768" s="620" t="s">
        <v>2855</v>
      </c>
      <c r="R768" s="620">
        <v>0</v>
      </c>
      <c r="S768" s="620">
        <v>0</v>
      </c>
      <c r="T768" s="620">
        <v>0</v>
      </c>
      <c r="U768" s="620">
        <v>17558</v>
      </c>
      <c r="V768" s="620">
        <v>29359</v>
      </c>
      <c r="W768" s="620">
        <v>11</v>
      </c>
    </row>
    <row r="769" spans="1:23" x14ac:dyDescent="0.25">
      <c r="A769" s="620" t="s">
        <v>2856</v>
      </c>
      <c r="B769" s="620" t="s">
        <v>2857</v>
      </c>
      <c r="C769" s="620">
        <v>0</v>
      </c>
      <c r="D769" s="620">
        <v>0</v>
      </c>
      <c r="E769" s="620">
        <v>0</v>
      </c>
      <c r="F769" s="620">
        <v>945000</v>
      </c>
      <c r="G769" s="620">
        <v>0</v>
      </c>
      <c r="H769" s="620">
        <v>945000</v>
      </c>
      <c r="I769" s="620">
        <v>0</v>
      </c>
      <c r="J769" s="620">
        <v>0</v>
      </c>
      <c r="K769" s="620">
        <v>945000</v>
      </c>
      <c r="L769" s="620">
        <v>0</v>
      </c>
      <c r="M769" s="620">
        <v>0</v>
      </c>
      <c r="N769" s="620">
        <v>0</v>
      </c>
      <c r="O769" s="620">
        <v>0</v>
      </c>
      <c r="R769" s="620">
        <v>1</v>
      </c>
      <c r="S769" s="620">
        <v>200</v>
      </c>
      <c r="T769" s="620">
        <v>950000</v>
      </c>
      <c r="U769" s="620">
        <v>0</v>
      </c>
      <c r="V769" s="620">
        <v>0</v>
      </c>
      <c r="W769" s="620">
        <v>0</v>
      </c>
    </row>
    <row r="770" spans="1:23" x14ac:dyDescent="0.25">
      <c r="A770" s="620" t="s">
        <v>2858</v>
      </c>
      <c r="B770" s="620" t="s">
        <v>2859</v>
      </c>
      <c r="C770" s="620">
        <v>41</v>
      </c>
      <c r="D770" s="620">
        <v>65164</v>
      </c>
      <c r="E770" s="620">
        <v>581458372</v>
      </c>
      <c r="F770" s="620">
        <v>9198</v>
      </c>
      <c r="G770" s="620">
        <v>8923</v>
      </c>
      <c r="H770" s="620">
        <v>8923</v>
      </c>
      <c r="I770" s="620">
        <v>-275</v>
      </c>
      <c r="J770" s="620">
        <v>-2.99</v>
      </c>
      <c r="K770" s="620">
        <v>8923</v>
      </c>
      <c r="L770" s="620">
        <v>-275</v>
      </c>
      <c r="M770" s="620">
        <v>-2.99</v>
      </c>
      <c r="N770" s="620">
        <v>8923</v>
      </c>
      <c r="O770" s="620">
        <v>8923</v>
      </c>
      <c r="P770" s="620" t="s">
        <v>2860</v>
      </c>
      <c r="Q770" s="620" t="s">
        <v>2861</v>
      </c>
      <c r="R770" s="620">
        <v>0</v>
      </c>
      <c r="S770" s="620">
        <v>0</v>
      </c>
      <c r="T770" s="620">
        <v>0</v>
      </c>
      <c r="U770" s="620">
        <v>8923</v>
      </c>
      <c r="V770" s="620">
        <v>243427</v>
      </c>
      <c r="W770" s="620">
        <v>40</v>
      </c>
    </row>
    <row r="771" spans="1:23" x14ac:dyDescent="0.25">
      <c r="A771" s="620" t="s">
        <v>2862</v>
      </c>
      <c r="B771" s="620" t="s">
        <v>2863</v>
      </c>
      <c r="C771" s="620">
        <v>3646</v>
      </c>
      <c r="D771" s="620">
        <v>20644158</v>
      </c>
      <c r="E771" s="620">
        <v>127472994203</v>
      </c>
      <c r="F771" s="620">
        <v>6126</v>
      </c>
      <c r="G771" s="620">
        <v>6100</v>
      </c>
      <c r="H771" s="620">
        <v>6130</v>
      </c>
      <c r="I771" s="620">
        <v>4</v>
      </c>
      <c r="J771" s="620">
        <v>7.0000000000000007E-2</v>
      </c>
      <c r="K771" s="620">
        <v>6175</v>
      </c>
      <c r="L771" s="620">
        <v>49</v>
      </c>
      <c r="M771" s="620">
        <v>0.8</v>
      </c>
      <c r="N771" s="620">
        <v>6095</v>
      </c>
      <c r="O771" s="620">
        <v>6340</v>
      </c>
      <c r="P771" s="620" t="s">
        <v>2864</v>
      </c>
      <c r="Q771" s="620" t="s">
        <v>2865</v>
      </c>
      <c r="R771" s="620">
        <v>2</v>
      </c>
      <c r="S771" s="620">
        <v>5000</v>
      </c>
      <c r="T771" s="620">
        <v>6130</v>
      </c>
      <c r="U771" s="620">
        <v>6130</v>
      </c>
      <c r="V771" s="620">
        <v>33265</v>
      </c>
      <c r="W771" s="620">
        <v>2</v>
      </c>
    </row>
    <row r="772" spans="1:23" x14ac:dyDescent="0.25">
      <c r="A772" s="620" t="s">
        <v>2866</v>
      </c>
      <c r="B772" s="620" t="s">
        <v>2867</v>
      </c>
      <c r="C772" s="620">
        <v>0</v>
      </c>
      <c r="D772" s="620">
        <v>0</v>
      </c>
      <c r="E772" s="620">
        <v>0</v>
      </c>
      <c r="F772" s="620">
        <v>1</v>
      </c>
      <c r="G772" s="620">
        <v>0</v>
      </c>
      <c r="H772" s="620">
        <v>1</v>
      </c>
      <c r="I772" s="620">
        <v>0</v>
      </c>
      <c r="J772" s="620">
        <v>0</v>
      </c>
      <c r="K772" s="620">
        <v>1</v>
      </c>
      <c r="L772" s="620">
        <v>0</v>
      </c>
      <c r="M772" s="620">
        <v>0</v>
      </c>
      <c r="N772" s="620">
        <v>0</v>
      </c>
      <c r="O772" s="620">
        <v>0</v>
      </c>
      <c r="R772" s="620">
        <v>5</v>
      </c>
      <c r="S772" s="620">
        <v>500</v>
      </c>
      <c r="T772" s="620">
        <v>1</v>
      </c>
      <c r="U772" s="620">
        <v>0</v>
      </c>
      <c r="V772" s="620">
        <v>0</v>
      </c>
      <c r="W772" s="620">
        <v>0</v>
      </c>
    </row>
    <row r="773" spans="1:23" x14ac:dyDescent="0.25">
      <c r="A773" s="620" t="s">
        <v>2868</v>
      </c>
      <c r="B773" s="620" t="s">
        <v>2869</v>
      </c>
      <c r="C773" s="620">
        <v>256</v>
      </c>
      <c r="D773" s="620">
        <v>573676</v>
      </c>
      <c r="E773" s="620">
        <v>4155781027</v>
      </c>
      <c r="F773" s="620">
        <v>7189</v>
      </c>
      <c r="G773" s="620">
        <v>7190</v>
      </c>
      <c r="H773" s="620">
        <v>7335</v>
      </c>
      <c r="I773" s="620">
        <v>146</v>
      </c>
      <c r="J773" s="620">
        <v>2.0299999999999998</v>
      </c>
      <c r="K773" s="620">
        <v>7244</v>
      </c>
      <c r="L773" s="620">
        <v>55</v>
      </c>
      <c r="M773" s="620">
        <v>0.77</v>
      </c>
      <c r="N773" s="620">
        <v>7100</v>
      </c>
      <c r="O773" s="620">
        <v>7499</v>
      </c>
      <c r="P773" s="620" t="s">
        <v>2870</v>
      </c>
      <c r="Q773" s="620" t="s">
        <v>2871</v>
      </c>
      <c r="R773" s="620">
        <v>1</v>
      </c>
      <c r="S773" s="620">
        <v>13500</v>
      </c>
      <c r="T773" s="620">
        <v>7335</v>
      </c>
      <c r="U773" s="620">
        <v>7350</v>
      </c>
      <c r="V773" s="620">
        <v>5000</v>
      </c>
      <c r="W773" s="620">
        <v>1</v>
      </c>
    </row>
    <row r="774" spans="1:23" x14ac:dyDescent="0.25">
      <c r="A774" s="620" t="s">
        <v>2872</v>
      </c>
      <c r="B774" s="620" t="s">
        <v>2873</v>
      </c>
      <c r="C774" s="620">
        <v>26</v>
      </c>
      <c r="D774" s="620">
        <v>53277</v>
      </c>
      <c r="E774" s="620">
        <v>421154685</v>
      </c>
      <c r="F774" s="620">
        <v>8321</v>
      </c>
      <c r="G774" s="620">
        <v>7905</v>
      </c>
      <c r="H774" s="620">
        <v>7905</v>
      </c>
      <c r="I774" s="620">
        <v>-416</v>
      </c>
      <c r="J774" s="620">
        <v>-5</v>
      </c>
      <c r="K774" s="620">
        <v>8210</v>
      </c>
      <c r="L774" s="620">
        <v>-111</v>
      </c>
      <c r="M774" s="620">
        <v>-1.33</v>
      </c>
      <c r="N774" s="620">
        <v>7905</v>
      </c>
      <c r="O774" s="620">
        <v>7905</v>
      </c>
      <c r="P774" s="620" t="s">
        <v>2874</v>
      </c>
      <c r="Q774" s="620" t="s">
        <v>2875</v>
      </c>
      <c r="R774" s="620">
        <v>1</v>
      </c>
      <c r="S774" s="620">
        <v>2000</v>
      </c>
      <c r="T774" s="620">
        <v>6733</v>
      </c>
      <c r="U774" s="620">
        <v>7905</v>
      </c>
      <c r="V774" s="620">
        <v>622592</v>
      </c>
      <c r="W774" s="620">
        <v>70</v>
      </c>
    </row>
    <row r="775" spans="1:23" x14ac:dyDescent="0.25">
      <c r="A775" s="620" t="s">
        <v>2876</v>
      </c>
      <c r="B775" s="620" t="s">
        <v>2877</v>
      </c>
      <c r="C775" s="620">
        <v>552</v>
      </c>
      <c r="D775" s="620">
        <v>8838895</v>
      </c>
      <c r="E775" s="620">
        <v>57472200392</v>
      </c>
      <c r="F775" s="620">
        <v>6296</v>
      </c>
      <c r="G775" s="620">
        <v>6222</v>
      </c>
      <c r="H775" s="620">
        <v>6490</v>
      </c>
      <c r="I775" s="620">
        <v>194</v>
      </c>
      <c r="J775" s="620">
        <v>3.08</v>
      </c>
      <c r="K775" s="620">
        <v>6502</v>
      </c>
      <c r="L775" s="620">
        <v>206</v>
      </c>
      <c r="M775" s="620">
        <v>3.27</v>
      </c>
      <c r="N775" s="620">
        <v>6110</v>
      </c>
      <c r="O775" s="620">
        <v>6610</v>
      </c>
      <c r="P775" s="620" t="s">
        <v>2878</v>
      </c>
      <c r="Q775" s="620" t="s">
        <v>2879</v>
      </c>
      <c r="R775" s="620">
        <v>1</v>
      </c>
      <c r="S775" s="620">
        <v>152</v>
      </c>
      <c r="T775" s="620">
        <v>6490</v>
      </c>
      <c r="U775" s="620">
        <v>6510</v>
      </c>
      <c r="V775" s="620">
        <v>4000</v>
      </c>
      <c r="W775" s="620">
        <v>1</v>
      </c>
    </row>
    <row r="776" spans="1:23" x14ac:dyDescent="0.25">
      <c r="A776" s="620" t="s">
        <v>2880</v>
      </c>
      <c r="B776" s="620" t="s">
        <v>2881</v>
      </c>
      <c r="C776" s="620">
        <v>24</v>
      </c>
      <c r="D776" s="620">
        <v>8520</v>
      </c>
      <c r="E776" s="620">
        <v>7466107050</v>
      </c>
      <c r="F776" s="620">
        <v>894087</v>
      </c>
      <c r="G776" s="620">
        <v>900005</v>
      </c>
      <c r="H776" s="620">
        <v>938000</v>
      </c>
      <c r="I776" s="620">
        <v>43913</v>
      </c>
      <c r="J776" s="620">
        <v>4.91</v>
      </c>
      <c r="K776" s="620">
        <v>876304</v>
      </c>
      <c r="L776" s="620">
        <v>-17783</v>
      </c>
      <c r="M776" s="620">
        <v>-1.99</v>
      </c>
      <c r="N776" s="620">
        <v>855100</v>
      </c>
      <c r="O776" s="620">
        <v>938000</v>
      </c>
      <c r="R776" s="620">
        <v>1</v>
      </c>
      <c r="S776" s="620">
        <v>20</v>
      </c>
      <c r="T776" s="620">
        <v>885001</v>
      </c>
      <c r="U776" s="620">
        <v>960000</v>
      </c>
      <c r="V776" s="620">
        <v>100</v>
      </c>
      <c r="W776" s="620">
        <v>1</v>
      </c>
    </row>
    <row r="777" spans="1:23" x14ac:dyDescent="0.25">
      <c r="A777" s="620" t="s">
        <v>2882</v>
      </c>
      <c r="B777" s="620" t="s">
        <v>2883</v>
      </c>
      <c r="C777" s="620">
        <v>1135</v>
      </c>
      <c r="D777" s="620">
        <v>1627149</v>
      </c>
      <c r="E777" s="620">
        <v>26753116109</v>
      </c>
      <c r="F777" s="620">
        <v>17194</v>
      </c>
      <c r="G777" s="620">
        <v>16335</v>
      </c>
      <c r="H777" s="620">
        <v>16335</v>
      </c>
      <c r="I777" s="620">
        <v>-859</v>
      </c>
      <c r="J777" s="620">
        <v>-5</v>
      </c>
      <c r="K777" s="620">
        <v>16442</v>
      </c>
      <c r="L777" s="620">
        <v>-752</v>
      </c>
      <c r="M777" s="620">
        <v>-4.37</v>
      </c>
      <c r="N777" s="620">
        <v>16335</v>
      </c>
      <c r="O777" s="620">
        <v>16999</v>
      </c>
      <c r="P777" s="620" t="s">
        <v>2216</v>
      </c>
      <c r="Q777" s="620" t="s">
        <v>2884</v>
      </c>
      <c r="R777" s="620">
        <v>1</v>
      </c>
      <c r="S777" s="620">
        <v>200</v>
      </c>
      <c r="T777" s="620">
        <v>15788</v>
      </c>
      <c r="U777" s="620">
        <v>16335</v>
      </c>
      <c r="V777" s="620">
        <v>681949</v>
      </c>
      <c r="W777" s="620">
        <v>143</v>
      </c>
    </row>
    <row r="778" spans="1:23" x14ac:dyDescent="0.25">
      <c r="A778" s="620" t="s">
        <v>2885</v>
      </c>
      <c r="B778" s="620" t="s">
        <v>2886</v>
      </c>
      <c r="C778" s="620">
        <v>0</v>
      </c>
      <c r="D778" s="620">
        <v>0</v>
      </c>
      <c r="E778" s="620">
        <v>0</v>
      </c>
      <c r="F778" s="620">
        <v>15509</v>
      </c>
      <c r="G778" s="620">
        <v>15044</v>
      </c>
      <c r="H778" s="620">
        <v>15509</v>
      </c>
      <c r="I778" s="620">
        <v>0</v>
      </c>
      <c r="J778" s="620">
        <v>0</v>
      </c>
      <c r="K778" s="620">
        <v>15509</v>
      </c>
      <c r="L778" s="620">
        <v>0</v>
      </c>
      <c r="M778" s="620">
        <v>0</v>
      </c>
      <c r="N778" s="620">
        <v>15044</v>
      </c>
      <c r="O778" s="620">
        <v>15044</v>
      </c>
      <c r="P778" s="620" t="s">
        <v>2887</v>
      </c>
      <c r="Q778" s="620" t="s">
        <v>2888</v>
      </c>
      <c r="R778" s="620">
        <v>0</v>
      </c>
      <c r="S778" s="620">
        <v>0</v>
      </c>
      <c r="T778" s="620">
        <v>0</v>
      </c>
      <c r="U778" s="620">
        <v>15044</v>
      </c>
      <c r="V778" s="620">
        <v>189455</v>
      </c>
      <c r="W778" s="620">
        <v>17</v>
      </c>
    </row>
    <row r="779" spans="1:23" x14ac:dyDescent="0.25">
      <c r="A779" s="620" t="s">
        <v>2889</v>
      </c>
      <c r="B779" s="620" t="s">
        <v>2890</v>
      </c>
      <c r="C779" s="620">
        <v>0</v>
      </c>
      <c r="D779" s="620">
        <v>0</v>
      </c>
      <c r="E779" s="620">
        <v>0</v>
      </c>
      <c r="F779" s="620">
        <v>893117</v>
      </c>
      <c r="G779" s="620">
        <v>0</v>
      </c>
      <c r="H779" s="620">
        <v>893117</v>
      </c>
      <c r="I779" s="620">
        <v>0</v>
      </c>
      <c r="J779" s="620">
        <v>0</v>
      </c>
      <c r="K779" s="620">
        <v>893117</v>
      </c>
      <c r="L779" s="620">
        <v>0</v>
      </c>
      <c r="M779" s="620">
        <v>0</v>
      </c>
      <c r="N779" s="620">
        <v>0</v>
      </c>
      <c r="O779" s="620">
        <v>0</v>
      </c>
      <c r="R779" s="620">
        <v>1</v>
      </c>
      <c r="S779" s="620">
        <v>220</v>
      </c>
      <c r="T779" s="620">
        <v>875000</v>
      </c>
      <c r="U779" s="620">
        <v>924374</v>
      </c>
      <c r="V779" s="620">
        <v>26</v>
      </c>
      <c r="W779" s="620">
        <v>1</v>
      </c>
    </row>
    <row r="780" spans="1:23" x14ac:dyDescent="0.25">
      <c r="A780" s="620" t="s">
        <v>2891</v>
      </c>
      <c r="B780" s="620" t="s">
        <v>2892</v>
      </c>
      <c r="C780" s="620">
        <v>0</v>
      </c>
      <c r="D780" s="620">
        <v>0</v>
      </c>
      <c r="E780" s="620">
        <v>0</v>
      </c>
      <c r="F780" s="620">
        <v>1</v>
      </c>
      <c r="G780" s="620">
        <v>0</v>
      </c>
      <c r="H780" s="620">
        <v>1</v>
      </c>
      <c r="I780" s="620">
        <v>0</v>
      </c>
      <c r="J780" s="620">
        <v>0</v>
      </c>
      <c r="K780" s="620">
        <v>1</v>
      </c>
      <c r="L780" s="620">
        <v>0</v>
      </c>
      <c r="M780" s="620">
        <v>0</v>
      </c>
      <c r="N780" s="620">
        <v>0</v>
      </c>
      <c r="O780" s="620">
        <v>0</v>
      </c>
      <c r="R780" s="620">
        <v>1</v>
      </c>
      <c r="S780" s="620">
        <v>5</v>
      </c>
      <c r="T780" s="620">
        <v>50</v>
      </c>
      <c r="U780" s="620">
        <v>0</v>
      </c>
      <c r="V780" s="620">
        <v>0</v>
      </c>
      <c r="W780" s="620">
        <v>0</v>
      </c>
    </row>
    <row r="781" spans="1:23" x14ac:dyDescent="0.25">
      <c r="A781" s="620" t="s">
        <v>2893</v>
      </c>
      <c r="B781" s="620" t="s">
        <v>2894</v>
      </c>
      <c r="C781" s="620">
        <v>145</v>
      </c>
      <c r="D781" s="620">
        <v>298328</v>
      </c>
      <c r="E781" s="620">
        <v>2680857246</v>
      </c>
      <c r="F781" s="620">
        <v>8761</v>
      </c>
      <c r="G781" s="620">
        <v>9023</v>
      </c>
      <c r="H781" s="620">
        <v>9023</v>
      </c>
      <c r="I781" s="620">
        <v>262</v>
      </c>
      <c r="J781" s="620">
        <v>2.99</v>
      </c>
      <c r="K781" s="620">
        <v>8986</v>
      </c>
      <c r="L781" s="620">
        <v>225</v>
      </c>
      <c r="M781" s="620">
        <v>2.57</v>
      </c>
      <c r="N781" s="620">
        <v>8840</v>
      </c>
      <c r="O781" s="620">
        <v>9023</v>
      </c>
      <c r="P781" s="620" t="s">
        <v>2895</v>
      </c>
      <c r="Q781" s="620" t="s">
        <v>2896</v>
      </c>
      <c r="R781" s="620">
        <v>11</v>
      </c>
      <c r="S781" s="620">
        <v>141266</v>
      </c>
      <c r="T781" s="620">
        <v>9023</v>
      </c>
      <c r="U781" s="620">
        <v>0</v>
      </c>
      <c r="V781" s="620">
        <v>0</v>
      </c>
      <c r="W781" s="620">
        <v>0</v>
      </c>
    </row>
    <row r="782" spans="1:23" x14ac:dyDescent="0.25">
      <c r="A782" s="620" t="s">
        <v>2897</v>
      </c>
      <c r="B782" s="620" t="s">
        <v>2898</v>
      </c>
      <c r="C782" s="620">
        <v>0</v>
      </c>
      <c r="D782" s="620">
        <v>0</v>
      </c>
      <c r="E782" s="620">
        <v>0</v>
      </c>
      <c r="F782" s="620">
        <v>571</v>
      </c>
      <c r="G782" s="620">
        <v>0</v>
      </c>
      <c r="H782" s="620">
        <v>600</v>
      </c>
      <c r="I782" s="620">
        <v>29</v>
      </c>
      <c r="J782" s="620">
        <v>5.08</v>
      </c>
      <c r="K782" s="620">
        <v>571</v>
      </c>
      <c r="L782" s="620">
        <v>0</v>
      </c>
      <c r="M782" s="620">
        <v>0</v>
      </c>
      <c r="N782" s="620">
        <v>0</v>
      </c>
      <c r="O782" s="620">
        <v>0</v>
      </c>
      <c r="R782" s="620">
        <v>1</v>
      </c>
      <c r="S782" s="620">
        <v>6</v>
      </c>
      <c r="T782" s="620">
        <v>211</v>
      </c>
      <c r="U782" s="620">
        <v>666</v>
      </c>
      <c r="V782" s="620">
        <v>7</v>
      </c>
      <c r="W782" s="620">
        <v>1</v>
      </c>
    </row>
    <row r="783" spans="1:23" x14ac:dyDescent="0.25">
      <c r="A783" s="620" t="s">
        <v>2899</v>
      </c>
      <c r="B783" s="620" t="s">
        <v>2900</v>
      </c>
      <c r="C783" s="620">
        <v>23</v>
      </c>
      <c r="D783" s="620">
        <v>1159</v>
      </c>
      <c r="E783" s="620">
        <v>377928999</v>
      </c>
      <c r="F783" s="620">
        <v>341487</v>
      </c>
      <c r="G783" s="620">
        <v>350000</v>
      </c>
      <c r="H783" s="620">
        <v>324430</v>
      </c>
      <c r="I783" s="620">
        <v>-17057</v>
      </c>
      <c r="J783" s="620">
        <v>-4.99</v>
      </c>
      <c r="K783" s="620">
        <v>326082</v>
      </c>
      <c r="L783" s="620">
        <v>-15405</v>
      </c>
      <c r="M783" s="620">
        <v>-4.51</v>
      </c>
      <c r="N783" s="620">
        <v>324413</v>
      </c>
      <c r="O783" s="620">
        <v>350000</v>
      </c>
      <c r="R783" s="620">
        <v>2</v>
      </c>
      <c r="S783" s="620">
        <v>8</v>
      </c>
      <c r="T783" s="620">
        <v>324430</v>
      </c>
      <c r="U783" s="620">
        <v>330100</v>
      </c>
      <c r="V783" s="620">
        <v>180</v>
      </c>
      <c r="W783" s="620">
        <v>2</v>
      </c>
    </row>
    <row r="784" spans="1:23" x14ac:dyDescent="0.25">
      <c r="A784" s="620" t="s">
        <v>2901</v>
      </c>
      <c r="B784" s="620" t="s">
        <v>2902</v>
      </c>
      <c r="C784" s="620">
        <v>0</v>
      </c>
      <c r="D784" s="620">
        <v>0</v>
      </c>
      <c r="E784" s="620">
        <v>0</v>
      </c>
      <c r="F784" s="620">
        <v>1</v>
      </c>
      <c r="G784" s="620">
        <v>0</v>
      </c>
      <c r="H784" s="620">
        <v>1</v>
      </c>
      <c r="I784" s="620">
        <v>0</v>
      </c>
      <c r="J784" s="620">
        <v>0</v>
      </c>
      <c r="K784" s="620">
        <v>1</v>
      </c>
      <c r="L784" s="620">
        <v>0</v>
      </c>
      <c r="M784" s="620">
        <v>0</v>
      </c>
      <c r="N784" s="620">
        <v>0</v>
      </c>
      <c r="O784" s="620">
        <v>0</v>
      </c>
      <c r="R784" s="620">
        <v>1</v>
      </c>
      <c r="S784" s="620">
        <v>100</v>
      </c>
      <c r="T784" s="620">
        <v>50</v>
      </c>
      <c r="U784" s="620">
        <v>0</v>
      </c>
      <c r="V784" s="620">
        <v>0</v>
      </c>
      <c r="W784" s="620">
        <v>0</v>
      </c>
    </row>
    <row r="785" spans="1:23" x14ac:dyDescent="0.25">
      <c r="A785" s="620" t="s">
        <v>2903</v>
      </c>
      <c r="B785" s="620" t="s">
        <v>2904</v>
      </c>
      <c r="C785" s="620">
        <v>213</v>
      </c>
      <c r="D785" s="620">
        <v>459256</v>
      </c>
      <c r="E785" s="620">
        <v>3881183249</v>
      </c>
      <c r="F785" s="620">
        <v>8792</v>
      </c>
      <c r="G785" s="620">
        <v>8353</v>
      </c>
      <c r="H785" s="620">
        <v>8353</v>
      </c>
      <c r="I785" s="620">
        <v>-439</v>
      </c>
      <c r="J785" s="620">
        <v>-4.99</v>
      </c>
      <c r="K785" s="620">
        <v>8451</v>
      </c>
      <c r="L785" s="620">
        <v>-341</v>
      </c>
      <c r="M785" s="620">
        <v>-3.88</v>
      </c>
      <c r="N785" s="620">
        <v>8353</v>
      </c>
      <c r="O785" s="620">
        <v>8948</v>
      </c>
      <c r="P785" s="620" t="s">
        <v>2377</v>
      </c>
      <c r="Q785" s="620" t="s">
        <v>2905</v>
      </c>
      <c r="R785" s="620">
        <v>0</v>
      </c>
      <c r="S785" s="620">
        <v>0</v>
      </c>
      <c r="T785" s="620">
        <v>0</v>
      </c>
      <c r="U785" s="620">
        <v>8353</v>
      </c>
      <c r="V785" s="620">
        <v>7714</v>
      </c>
      <c r="W785" s="620">
        <v>4</v>
      </c>
    </row>
    <row r="786" spans="1:23" x14ac:dyDescent="0.25">
      <c r="A786" s="620" t="s">
        <v>2906</v>
      </c>
      <c r="B786" s="620" t="s">
        <v>2907</v>
      </c>
      <c r="C786" s="620">
        <v>4</v>
      </c>
      <c r="D786" s="620">
        <v>433</v>
      </c>
      <c r="E786" s="620">
        <v>415299173</v>
      </c>
      <c r="F786" s="620">
        <v>958425</v>
      </c>
      <c r="G786" s="620">
        <v>959001</v>
      </c>
      <c r="H786" s="620">
        <v>959200</v>
      </c>
      <c r="I786" s="620">
        <v>775</v>
      </c>
      <c r="J786" s="620">
        <v>0.08</v>
      </c>
      <c r="K786" s="620">
        <v>959120</v>
      </c>
      <c r="L786" s="620">
        <v>695</v>
      </c>
      <c r="M786" s="620">
        <v>7.0000000000000007E-2</v>
      </c>
      <c r="N786" s="620">
        <v>959001</v>
      </c>
      <c r="O786" s="620">
        <v>959200</v>
      </c>
      <c r="R786" s="620">
        <v>1</v>
      </c>
      <c r="S786" s="620">
        <v>2500</v>
      </c>
      <c r="T786" s="620">
        <v>959251</v>
      </c>
      <c r="U786" s="620">
        <v>964500</v>
      </c>
      <c r="V786" s="620">
        <v>5</v>
      </c>
      <c r="W786" s="620">
        <v>1</v>
      </c>
    </row>
    <row r="787" spans="1:23" x14ac:dyDescent="0.25">
      <c r="A787" s="620" t="s">
        <v>2908</v>
      </c>
      <c r="B787" s="620" t="s">
        <v>2909</v>
      </c>
      <c r="C787" s="620">
        <v>543</v>
      </c>
      <c r="D787" s="620">
        <v>3280814</v>
      </c>
      <c r="E787" s="620">
        <v>31543380626</v>
      </c>
      <c r="F787" s="620">
        <v>10037</v>
      </c>
      <c r="G787" s="620">
        <v>9536</v>
      </c>
      <c r="H787" s="620">
        <v>9536</v>
      </c>
      <c r="I787" s="620">
        <v>-501</v>
      </c>
      <c r="J787" s="620">
        <v>-4.99</v>
      </c>
      <c r="K787" s="620">
        <v>9614</v>
      </c>
      <c r="L787" s="620">
        <v>-423</v>
      </c>
      <c r="M787" s="620">
        <v>-4.21</v>
      </c>
      <c r="N787" s="620">
        <v>9536</v>
      </c>
      <c r="O787" s="620">
        <v>9999</v>
      </c>
      <c r="P787" s="620" t="s">
        <v>1037</v>
      </c>
      <c r="Q787" s="620" t="s">
        <v>2910</v>
      </c>
      <c r="R787" s="620">
        <v>0</v>
      </c>
      <c r="S787" s="620">
        <v>0</v>
      </c>
      <c r="T787" s="620">
        <v>0</v>
      </c>
      <c r="U787" s="620">
        <v>9536</v>
      </c>
      <c r="V787" s="620">
        <v>488206</v>
      </c>
      <c r="W787" s="620">
        <v>54</v>
      </c>
    </row>
    <row r="788" spans="1:23" x14ac:dyDescent="0.25">
      <c r="A788" s="620" t="s">
        <v>2911</v>
      </c>
      <c r="B788" s="620" t="s">
        <v>2912</v>
      </c>
      <c r="C788" s="620">
        <v>971</v>
      </c>
      <c r="D788" s="620">
        <v>616899</v>
      </c>
      <c r="E788" s="620">
        <v>35991908977</v>
      </c>
      <c r="F788" s="620">
        <v>60477</v>
      </c>
      <c r="G788" s="620">
        <v>57454</v>
      </c>
      <c r="H788" s="620">
        <v>57454</v>
      </c>
      <c r="I788" s="620">
        <v>-3023</v>
      </c>
      <c r="J788" s="620">
        <v>-5</v>
      </c>
      <c r="K788" s="620">
        <v>58343</v>
      </c>
      <c r="L788" s="620">
        <v>-2134</v>
      </c>
      <c r="M788" s="620">
        <v>-3.53</v>
      </c>
      <c r="N788" s="620">
        <v>57454</v>
      </c>
      <c r="O788" s="620">
        <v>60396</v>
      </c>
      <c r="P788" s="620" t="s">
        <v>2913</v>
      </c>
      <c r="Q788" s="620" t="s">
        <v>2914</v>
      </c>
      <c r="R788" s="620">
        <v>2</v>
      </c>
      <c r="S788" s="620">
        <v>89</v>
      </c>
      <c r="T788" s="620">
        <v>56635</v>
      </c>
      <c r="U788" s="620">
        <v>57454</v>
      </c>
      <c r="V788" s="620">
        <v>112097</v>
      </c>
      <c r="W788" s="620">
        <v>30</v>
      </c>
    </row>
    <row r="789" spans="1:23" x14ac:dyDescent="0.25">
      <c r="A789" s="620" t="s">
        <v>2915</v>
      </c>
      <c r="B789" s="620" t="s">
        <v>2916</v>
      </c>
      <c r="C789" s="620">
        <v>822</v>
      </c>
      <c r="D789" s="620">
        <v>5569405</v>
      </c>
      <c r="E789" s="620">
        <v>23953976566</v>
      </c>
      <c r="F789" s="620">
        <v>4523</v>
      </c>
      <c r="G789" s="620">
        <v>4297</v>
      </c>
      <c r="H789" s="620">
        <v>4297</v>
      </c>
      <c r="I789" s="620">
        <v>-226</v>
      </c>
      <c r="J789" s="620">
        <v>-5</v>
      </c>
      <c r="K789" s="620">
        <v>4301</v>
      </c>
      <c r="L789" s="620">
        <v>-222</v>
      </c>
      <c r="M789" s="620">
        <v>-4.91</v>
      </c>
      <c r="N789" s="620">
        <v>4297</v>
      </c>
      <c r="O789" s="620">
        <v>4403</v>
      </c>
      <c r="P789" s="620" t="s">
        <v>2917</v>
      </c>
      <c r="Q789" s="620" t="s">
        <v>2918</v>
      </c>
      <c r="R789" s="620">
        <v>1</v>
      </c>
      <c r="S789" s="620">
        <v>250</v>
      </c>
      <c r="T789" s="620">
        <v>4182</v>
      </c>
      <c r="U789" s="620">
        <v>4297</v>
      </c>
      <c r="V789" s="620">
        <v>1309725</v>
      </c>
      <c r="W789" s="620">
        <v>77</v>
      </c>
    </row>
    <row r="790" spans="1:23" x14ac:dyDescent="0.25">
      <c r="A790" s="620" t="s">
        <v>2919</v>
      </c>
      <c r="B790" s="620" t="s">
        <v>2920</v>
      </c>
      <c r="C790" s="620">
        <v>165</v>
      </c>
      <c r="D790" s="620">
        <v>2242474</v>
      </c>
      <c r="E790" s="620">
        <v>41814537551</v>
      </c>
      <c r="F790" s="620">
        <v>18643</v>
      </c>
      <c r="G790" s="620">
        <v>18630</v>
      </c>
      <c r="H790" s="620">
        <v>18648</v>
      </c>
      <c r="I790" s="620">
        <v>5</v>
      </c>
      <c r="J790" s="620">
        <v>0.03</v>
      </c>
      <c r="K790" s="620">
        <v>18647</v>
      </c>
      <c r="L790" s="620">
        <v>4</v>
      </c>
      <c r="M790" s="620">
        <v>0.02</v>
      </c>
      <c r="N790" s="620">
        <v>18630</v>
      </c>
      <c r="O790" s="620">
        <v>18690</v>
      </c>
      <c r="R790" s="620">
        <v>1</v>
      </c>
      <c r="S790" s="620">
        <v>265</v>
      </c>
      <c r="T790" s="620">
        <v>18649</v>
      </c>
      <c r="U790" s="620">
        <v>18680</v>
      </c>
      <c r="V790" s="620">
        <v>100000</v>
      </c>
      <c r="W790" s="620">
        <v>1</v>
      </c>
    </row>
    <row r="791" spans="1:23" x14ac:dyDescent="0.25">
      <c r="A791" s="620" t="s">
        <v>2921</v>
      </c>
      <c r="B791" s="620" t="s">
        <v>2922</v>
      </c>
      <c r="C791" s="620">
        <v>0</v>
      </c>
      <c r="D791" s="620">
        <v>0</v>
      </c>
      <c r="E791" s="620">
        <v>0</v>
      </c>
      <c r="F791" s="620">
        <v>1</v>
      </c>
      <c r="G791" s="620">
        <v>0</v>
      </c>
      <c r="H791" s="620">
        <v>1</v>
      </c>
      <c r="I791" s="620">
        <v>0</v>
      </c>
      <c r="J791" s="620">
        <v>0</v>
      </c>
      <c r="K791" s="620">
        <v>1</v>
      </c>
      <c r="L791" s="620">
        <v>0</v>
      </c>
      <c r="M791" s="620">
        <v>0</v>
      </c>
      <c r="N791" s="620">
        <v>0</v>
      </c>
      <c r="O791" s="620">
        <v>0</v>
      </c>
      <c r="R791" s="620">
        <v>1</v>
      </c>
      <c r="S791" s="620">
        <v>5</v>
      </c>
      <c r="T791" s="620">
        <v>50</v>
      </c>
      <c r="U791" s="620">
        <v>0</v>
      </c>
      <c r="V791" s="620">
        <v>0</v>
      </c>
      <c r="W791" s="620">
        <v>0</v>
      </c>
    </row>
    <row r="792" spans="1:23" x14ac:dyDescent="0.25">
      <c r="A792" s="620" t="s">
        <v>2923</v>
      </c>
      <c r="B792" s="620" t="s">
        <v>2924</v>
      </c>
      <c r="C792" s="620">
        <v>109</v>
      </c>
      <c r="D792" s="620">
        <v>57962</v>
      </c>
      <c r="E792" s="620">
        <v>2383618938</v>
      </c>
      <c r="F792" s="620">
        <v>41165</v>
      </c>
      <c r="G792" s="620">
        <v>41040</v>
      </c>
      <c r="H792" s="620">
        <v>41779</v>
      </c>
      <c r="I792" s="620">
        <v>614</v>
      </c>
      <c r="J792" s="620">
        <v>1.49</v>
      </c>
      <c r="K792" s="620">
        <v>41124</v>
      </c>
      <c r="L792" s="620">
        <v>-41</v>
      </c>
      <c r="M792" s="620">
        <v>-0.1</v>
      </c>
      <c r="N792" s="620">
        <v>40000</v>
      </c>
      <c r="O792" s="620">
        <v>42000</v>
      </c>
      <c r="P792" s="620" t="s">
        <v>2925</v>
      </c>
      <c r="Q792" s="620" t="s">
        <v>2926</v>
      </c>
      <c r="R792" s="620">
        <v>2</v>
      </c>
      <c r="S792" s="620">
        <v>3000</v>
      </c>
      <c r="T792" s="620">
        <v>40420</v>
      </c>
      <c r="U792" s="620">
        <v>41779</v>
      </c>
      <c r="V792" s="620">
        <v>1000</v>
      </c>
      <c r="W792" s="620">
        <v>1</v>
      </c>
    </row>
    <row r="793" spans="1:23" x14ac:dyDescent="0.25">
      <c r="A793" s="620" t="s">
        <v>2927</v>
      </c>
      <c r="B793" s="620" t="s">
        <v>2928</v>
      </c>
      <c r="C793" s="620">
        <v>0</v>
      </c>
      <c r="D793" s="620">
        <v>0</v>
      </c>
      <c r="E793" s="620">
        <v>0</v>
      </c>
      <c r="F793" s="620">
        <v>1</v>
      </c>
      <c r="G793" s="620">
        <v>0</v>
      </c>
      <c r="H793" s="620">
        <v>1</v>
      </c>
      <c r="I793" s="620">
        <v>0</v>
      </c>
      <c r="J793" s="620">
        <v>0</v>
      </c>
      <c r="K793" s="620">
        <v>1</v>
      </c>
      <c r="L793" s="620">
        <v>0</v>
      </c>
      <c r="M793" s="620">
        <v>0</v>
      </c>
      <c r="N793" s="620">
        <v>0</v>
      </c>
      <c r="O793" s="620">
        <v>0</v>
      </c>
      <c r="R793" s="620">
        <v>1</v>
      </c>
      <c r="S793" s="620">
        <v>40</v>
      </c>
      <c r="T793" s="620">
        <v>362</v>
      </c>
      <c r="U793" s="620">
        <v>0</v>
      </c>
      <c r="V793" s="620">
        <v>0</v>
      </c>
      <c r="W793" s="620">
        <v>0</v>
      </c>
    </row>
    <row r="794" spans="1:23" x14ac:dyDescent="0.25">
      <c r="A794" s="620" t="s">
        <v>2929</v>
      </c>
      <c r="B794" s="620" t="s">
        <v>2930</v>
      </c>
      <c r="C794" s="620">
        <v>37</v>
      </c>
      <c r="D794" s="620">
        <v>87103</v>
      </c>
      <c r="E794" s="620">
        <v>1085825998</v>
      </c>
      <c r="F794" s="620">
        <v>12851</v>
      </c>
      <c r="G794" s="620">
        <v>12466</v>
      </c>
      <c r="H794" s="620">
        <v>12466</v>
      </c>
      <c r="I794" s="620">
        <v>-385</v>
      </c>
      <c r="J794" s="620">
        <v>-3</v>
      </c>
      <c r="K794" s="620">
        <v>12466</v>
      </c>
      <c r="L794" s="620">
        <v>-385</v>
      </c>
      <c r="M794" s="620">
        <v>-3</v>
      </c>
      <c r="N794" s="620">
        <v>12466</v>
      </c>
      <c r="O794" s="620">
        <v>12466</v>
      </c>
      <c r="P794" s="620" t="s">
        <v>2931</v>
      </c>
      <c r="Q794" s="620" t="s">
        <v>2932</v>
      </c>
      <c r="R794" s="620">
        <v>0</v>
      </c>
      <c r="S794" s="620">
        <v>0</v>
      </c>
      <c r="T794" s="620">
        <v>0</v>
      </c>
      <c r="U794" s="620">
        <v>12466</v>
      </c>
      <c r="V794" s="620">
        <v>166208</v>
      </c>
      <c r="W794" s="620">
        <v>32</v>
      </c>
    </row>
    <row r="795" spans="1:23" x14ac:dyDescent="0.25">
      <c r="A795" s="620" t="s">
        <v>2933</v>
      </c>
      <c r="B795" s="620" t="s">
        <v>2934</v>
      </c>
      <c r="C795" s="620">
        <v>234</v>
      </c>
      <c r="D795" s="620">
        <v>995738</v>
      </c>
      <c r="E795" s="620">
        <v>14316913493</v>
      </c>
      <c r="F795" s="620">
        <v>14797</v>
      </c>
      <c r="G795" s="620">
        <v>14354</v>
      </c>
      <c r="H795" s="620">
        <v>14354</v>
      </c>
      <c r="I795" s="620">
        <v>-443</v>
      </c>
      <c r="J795" s="620">
        <v>-2.99</v>
      </c>
      <c r="K795" s="620">
        <v>14378</v>
      </c>
      <c r="L795" s="620">
        <v>-419</v>
      </c>
      <c r="M795" s="620">
        <v>-2.83</v>
      </c>
      <c r="N795" s="620">
        <v>14354</v>
      </c>
      <c r="O795" s="620">
        <v>15111</v>
      </c>
      <c r="P795" s="620" t="s">
        <v>2935</v>
      </c>
      <c r="Q795" s="620" t="s">
        <v>903</v>
      </c>
      <c r="R795" s="620">
        <v>0</v>
      </c>
      <c r="S795" s="620">
        <v>0</v>
      </c>
      <c r="T795" s="620">
        <v>0</v>
      </c>
      <c r="U795" s="620">
        <v>14700</v>
      </c>
      <c r="V795" s="620">
        <v>1000</v>
      </c>
      <c r="W795" s="620">
        <v>1</v>
      </c>
    </row>
    <row r="796" spans="1:23" x14ac:dyDescent="0.25">
      <c r="A796" s="620" t="s">
        <v>2936</v>
      </c>
      <c r="B796" s="620" t="s">
        <v>2937</v>
      </c>
      <c r="C796" s="620">
        <v>0</v>
      </c>
      <c r="D796" s="620">
        <v>0</v>
      </c>
      <c r="E796" s="620">
        <v>0</v>
      </c>
      <c r="F796" s="620">
        <v>377026</v>
      </c>
      <c r="G796" s="620">
        <v>0</v>
      </c>
      <c r="H796" s="620">
        <v>377026</v>
      </c>
      <c r="I796" s="620">
        <v>0</v>
      </c>
      <c r="J796" s="620">
        <v>0</v>
      </c>
      <c r="K796" s="620">
        <v>377026</v>
      </c>
      <c r="L796" s="620">
        <v>0</v>
      </c>
      <c r="M796" s="620">
        <v>0</v>
      </c>
      <c r="N796" s="620">
        <v>0</v>
      </c>
      <c r="O796" s="620">
        <v>0</v>
      </c>
      <c r="R796" s="620">
        <v>0</v>
      </c>
      <c r="S796" s="620">
        <v>0</v>
      </c>
      <c r="T796" s="620">
        <v>0</v>
      </c>
      <c r="U796" s="620">
        <v>395877</v>
      </c>
      <c r="V796" s="620">
        <v>8</v>
      </c>
      <c r="W796" s="620">
        <v>1</v>
      </c>
    </row>
    <row r="797" spans="1:23" x14ac:dyDescent="0.25">
      <c r="A797" s="620" t="s">
        <v>2938</v>
      </c>
      <c r="B797" s="620" t="s">
        <v>2939</v>
      </c>
      <c r="C797" s="620">
        <v>172</v>
      </c>
      <c r="D797" s="620">
        <v>2414290</v>
      </c>
      <c r="E797" s="620">
        <v>8396900620</v>
      </c>
      <c r="F797" s="620">
        <v>3661</v>
      </c>
      <c r="G797" s="620">
        <v>3478</v>
      </c>
      <c r="H797" s="620">
        <v>3478</v>
      </c>
      <c r="I797" s="620">
        <v>-183</v>
      </c>
      <c r="J797" s="620">
        <v>-5</v>
      </c>
      <c r="K797" s="620">
        <v>3478</v>
      </c>
      <c r="L797" s="620">
        <v>-183</v>
      </c>
      <c r="M797" s="620">
        <v>-5</v>
      </c>
      <c r="N797" s="620">
        <v>3478</v>
      </c>
      <c r="O797" s="620">
        <v>3478</v>
      </c>
      <c r="P797" s="620" t="s">
        <v>2940</v>
      </c>
      <c r="Q797" s="620" t="s">
        <v>2941</v>
      </c>
      <c r="R797" s="620">
        <v>1</v>
      </c>
      <c r="S797" s="620">
        <v>323</v>
      </c>
      <c r="T797" s="620">
        <v>3107</v>
      </c>
      <c r="U797" s="620">
        <v>3478</v>
      </c>
      <c r="V797" s="620">
        <v>2506817</v>
      </c>
      <c r="W797" s="620">
        <v>140</v>
      </c>
    </row>
    <row r="798" spans="1:23" x14ac:dyDescent="0.25">
      <c r="A798" s="620" t="s">
        <v>2942</v>
      </c>
      <c r="B798" s="620" t="s">
        <v>2943</v>
      </c>
      <c r="C798" s="620">
        <v>0</v>
      </c>
      <c r="D798" s="620">
        <v>0</v>
      </c>
      <c r="E798" s="620">
        <v>0</v>
      </c>
      <c r="F798" s="620">
        <v>45</v>
      </c>
      <c r="G798" s="620">
        <v>0</v>
      </c>
      <c r="H798" s="620">
        <v>45</v>
      </c>
      <c r="I798" s="620">
        <v>0</v>
      </c>
      <c r="J798" s="620">
        <v>0</v>
      </c>
      <c r="K798" s="620">
        <v>45</v>
      </c>
      <c r="L798" s="620">
        <v>0</v>
      </c>
      <c r="M798" s="620">
        <v>0</v>
      </c>
      <c r="N798" s="620">
        <v>0</v>
      </c>
      <c r="O798" s="620">
        <v>0</v>
      </c>
      <c r="R798" s="620">
        <v>0</v>
      </c>
      <c r="S798" s="620">
        <v>0</v>
      </c>
      <c r="T798" s="620">
        <v>0</v>
      </c>
      <c r="U798" s="620">
        <v>400</v>
      </c>
      <c r="V798" s="620">
        <v>20</v>
      </c>
      <c r="W798" s="620">
        <v>1</v>
      </c>
    </row>
    <row r="799" spans="1:23" x14ac:dyDescent="0.25">
      <c r="A799" s="620" t="s">
        <v>2944</v>
      </c>
      <c r="B799" s="620" t="s">
        <v>2945</v>
      </c>
      <c r="C799" s="620">
        <v>0</v>
      </c>
      <c r="D799" s="620">
        <v>0</v>
      </c>
      <c r="E799" s="620">
        <v>0</v>
      </c>
      <c r="F799" s="620">
        <v>1</v>
      </c>
      <c r="G799" s="620">
        <v>0</v>
      </c>
      <c r="H799" s="620">
        <v>1</v>
      </c>
      <c r="I799" s="620">
        <v>0</v>
      </c>
      <c r="J799" s="620">
        <v>0</v>
      </c>
      <c r="K799" s="620">
        <v>1</v>
      </c>
      <c r="L799" s="620">
        <v>0</v>
      </c>
      <c r="M799" s="620">
        <v>0</v>
      </c>
      <c r="N799" s="620">
        <v>0</v>
      </c>
      <c r="O799" s="620">
        <v>0</v>
      </c>
      <c r="R799" s="620">
        <v>2</v>
      </c>
      <c r="S799" s="620">
        <v>150</v>
      </c>
      <c r="T799" s="620">
        <v>600</v>
      </c>
      <c r="U799" s="620">
        <v>0</v>
      </c>
      <c r="V799" s="620">
        <v>0</v>
      </c>
      <c r="W799" s="620">
        <v>0</v>
      </c>
    </row>
    <row r="800" spans="1:23" x14ac:dyDescent="0.25">
      <c r="A800" s="620" t="s">
        <v>2946</v>
      </c>
      <c r="B800" s="620" t="s">
        <v>2947</v>
      </c>
      <c r="C800" s="620">
        <v>0</v>
      </c>
      <c r="D800" s="620">
        <v>0</v>
      </c>
      <c r="E800" s="620">
        <v>0</v>
      </c>
      <c r="F800" s="620">
        <v>3393036</v>
      </c>
      <c r="G800" s="620">
        <v>0</v>
      </c>
      <c r="H800" s="620">
        <v>3393036</v>
      </c>
      <c r="I800" s="620">
        <v>0</v>
      </c>
      <c r="J800" s="620">
        <v>0</v>
      </c>
      <c r="K800" s="620">
        <v>3393036</v>
      </c>
      <c r="L800" s="620">
        <v>0</v>
      </c>
      <c r="M800" s="620">
        <v>0</v>
      </c>
      <c r="N800" s="620">
        <v>0</v>
      </c>
      <c r="O800" s="620">
        <v>0</v>
      </c>
      <c r="R800" s="620">
        <v>1</v>
      </c>
      <c r="S800" s="620">
        <v>10000</v>
      </c>
      <c r="T800" s="620">
        <v>3394674</v>
      </c>
      <c r="U800" s="620">
        <v>3462567</v>
      </c>
      <c r="V800" s="620">
        <v>10000</v>
      </c>
      <c r="W800" s="620">
        <v>1</v>
      </c>
    </row>
    <row r="801" spans="1:23" x14ac:dyDescent="0.25">
      <c r="A801" s="620" t="s">
        <v>2948</v>
      </c>
      <c r="B801" s="620" t="s">
        <v>2949</v>
      </c>
      <c r="C801" s="620">
        <v>57</v>
      </c>
      <c r="D801" s="620">
        <v>165941</v>
      </c>
      <c r="E801" s="620">
        <v>2315595465</v>
      </c>
      <c r="F801" s="620">
        <v>14359</v>
      </c>
      <c r="G801" s="620">
        <v>13929</v>
      </c>
      <c r="H801" s="620">
        <v>13929</v>
      </c>
      <c r="I801" s="620">
        <v>-430</v>
      </c>
      <c r="J801" s="620">
        <v>-2.99</v>
      </c>
      <c r="K801" s="620">
        <v>13954</v>
      </c>
      <c r="L801" s="620">
        <v>-405</v>
      </c>
      <c r="M801" s="620">
        <v>-2.82</v>
      </c>
      <c r="N801" s="620">
        <v>13929</v>
      </c>
      <c r="O801" s="620">
        <v>14788</v>
      </c>
      <c r="P801" s="620" t="s">
        <v>2950</v>
      </c>
      <c r="Q801" s="620" t="s">
        <v>2951</v>
      </c>
      <c r="R801" s="620">
        <v>0</v>
      </c>
      <c r="S801" s="620">
        <v>0</v>
      </c>
      <c r="T801" s="620">
        <v>0</v>
      </c>
      <c r="U801" s="620">
        <v>13929</v>
      </c>
      <c r="V801" s="620">
        <v>44891</v>
      </c>
      <c r="W801" s="620">
        <v>4</v>
      </c>
    </row>
    <row r="802" spans="1:23" x14ac:dyDescent="0.25">
      <c r="A802" s="620" t="s">
        <v>2952</v>
      </c>
      <c r="B802" s="620" t="s">
        <v>2953</v>
      </c>
      <c r="C802" s="620">
        <v>920</v>
      </c>
      <c r="D802" s="620">
        <v>2358112</v>
      </c>
      <c r="E802" s="620">
        <v>58391327371</v>
      </c>
      <c r="F802" s="620">
        <v>25995</v>
      </c>
      <c r="G802" s="620">
        <v>24696</v>
      </c>
      <c r="H802" s="620">
        <v>24696</v>
      </c>
      <c r="I802" s="620">
        <v>-1299</v>
      </c>
      <c r="J802" s="620">
        <v>-5</v>
      </c>
      <c r="K802" s="620">
        <v>24762</v>
      </c>
      <c r="L802" s="620">
        <v>-1233</v>
      </c>
      <c r="M802" s="620">
        <v>-4.74</v>
      </c>
      <c r="N802" s="620">
        <v>24696</v>
      </c>
      <c r="O802" s="620">
        <v>25599</v>
      </c>
      <c r="P802" s="620" t="s">
        <v>2954</v>
      </c>
      <c r="Q802" s="620" t="s">
        <v>2955</v>
      </c>
      <c r="R802" s="620">
        <v>0</v>
      </c>
      <c r="S802" s="620">
        <v>0</v>
      </c>
      <c r="T802" s="620">
        <v>0</v>
      </c>
      <c r="U802" s="620">
        <v>24696</v>
      </c>
      <c r="V802" s="620">
        <v>69186</v>
      </c>
      <c r="W802" s="620">
        <v>5</v>
      </c>
    </row>
    <row r="803" spans="1:23" x14ac:dyDescent="0.25">
      <c r="A803" s="620" t="s">
        <v>2956</v>
      </c>
      <c r="B803" s="620" t="s">
        <v>2957</v>
      </c>
      <c r="C803" s="620">
        <v>2</v>
      </c>
      <c r="D803" s="620">
        <v>2014</v>
      </c>
      <c r="E803" s="620">
        <v>39941648</v>
      </c>
      <c r="F803" s="620">
        <v>19444</v>
      </c>
      <c r="G803" s="620">
        <v>19832</v>
      </c>
      <c r="H803" s="620">
        <v>19832</v>
      </c>
      <c r="I803" s="620">
        <v>388</v>
      </c>
      <c r="J803" s="620">
        <v>2</v>
      </c>
      <c r="K803" s="620">
        <v>19832</v>
      </c>
      <c r="L803" s="620">
        <v>388</v>
      </c>
      <c r="M803" s="620">
        <v>2</v>
      </c>
      <c r="N803" s="620">
        <v>19832</v>
      </c>
      <c r="O803" s="620">
        <v>19832</v>
      </c>
      <c r="P803" s="620" t="s">
        <v>2958</v>
      </c>
      <c r="Q803" s="620" t="s">
        <v>2959</v>
      </c>
      <c r="R803" s="620">
        <v>2</v>
      </c>
      <c r="S803" s="620">
        <v>352</v>
      </c>
      <c r="T803" s="620">
        <v>19832</v>
      </c>
      <c r="U803" s="620">
        <v>0</v>
      </c>
      <c r="V803" s="620">
        <v>0</v>
      </c>
      <c r="W803" s="620">
        <v>0</v>
      </c>
    </row>
    <row r="804" spans="1:23" x14ac:dyDescent="0.25">
      <c r="A804" s="620" t="s">
        <v>2960</v>
      </c>
      <c r="B804" s="620" t="s">
        <v>2961</v>
      </c>
      <c r="C804" s="620">
        <v>84</v>
      </c>
      <c r="D804" s="620">
        <v>62887</v>
      </c>
      <c r="E804" s="620">
        <v>785898839</v>
      </c>
      <c r="F804" s="620">
        <v>13154</v>
      </c>
      <c r="G804" s="620">
        <v>12497</v>
      </c>
      <c r="H804" s="620">
        <v>12497</v>
      </c>
      <c r="I804" s="620">
        <v>-657</v>
      </c>
      <c r="J804" s="620">
        <v>-4.99</v>
      </c>
      <c r="K804" s="620">
        <v>13036</v>
      </c>
      <c r="L804" s="620">
        <v>-118</v>
      </c>
      <c r="M804" s="620">
        <v>-0.9</v>
      </c>
      <c r="N804" s="620">
        <v>12497</v>
      </c>
      <c r="O804" s="620">
        <v>12497</v>
      </c>
      <c r="P804" s="620" t="s">
        <v>2962</v>
      </c>
      <c r="Q804" s="620" t="s">
        <v>2963</v>
      </c>
      <c r="R804" s="620">
        <v>1</v>
      </c>
      <c r="S804" s="620">
        <v>200</v>
      </c>
      <c r="T804" s="620">
        <v>7635</v>
      </c>
      <c r="U804" s="620">
        <v>12497</v>
      </c>
      <c r="V804" s="620">
        <v>1546758</v>
      </c>
      <c r="W804" s="620">
        <v>204</v>
      </c>
    </row>
    <row r="805" spans="1:23" x14ac:dyDescent="0.25">
      <c r="A805" s="620" t="s">
        <v>2964</v>
      </c>
      <c r="B805" s="620" t="s">
        <v>2965</v>
      </c>
      <c r="C805" s="620">
        <v>93</v>
      </c>
      <c r="D805" s="620">
        <v>483150</v>
      </c>
      <c r="E805" s="620">
        <v>5510808900</v>
      </c>
      <c r="F805" s="620">
        <v>12006</v>
      </c>
      <c r="G805" s="620">
        <v>11406</v>
      </c>
      <c r="H805" s="620">
        <v>11406</v>
      </c>
      <c r="I805" s="620">
        <v>-600</v>
      </c>
      <c r="J805" s="620">
        <v>-5</v>
      </c>
      <c r="K805" s="620">
        <v>11406</v>
      </c>
      <c r="L805" s="620">
        <v>-600</v>
      </c>
      <c r="M805" s="620">
        <v>-5</v>
      </c>
      <c r="N805" s="620">
        <v>11406</v>
      </c>
      <c r="O805" s="620">
        <v>11406</v>
      </c>
      <c r="P805" s="620" t="s">
        <v>2966</v>
      </c>
      <c r="Q805" s="620" t="s">
        <v>2967</v>
      </c>
      <c r="R805" s="620">
        <v>0</v>
      </c>
      <c r="S805" s="620">
        <v>0</v>
      </c>
      <c r="T805" s="620">
        <v>0</v>
      </c>
      <c r="U805" s="620">
        <v>11406</v>
      </c>
      <c r="V805" s="620">
        <v>1815248</v>
      </c>
      <c r="W805" s="620">
        <v>153</v>
      </c>
    </row>
    <row r="806" spans="1:23" x14ac:dyDescent="0.25">
      <c r="A806" s="620" t="s">
        <v>2968</v>
      </c>
      <c r="B806" s="620" t="s">
        <v>2969</v>
      </c>
      <c r="C806" s="620">
        <v>3824</v>
      </c>
      <c r="D806" s="620">
        <v>59759521</v>
      </c>
      <c r="E806" s="620">
        <v>50214045474</v>
      </c>
      <c r="F806" s="620">
        <v>865</v>
      </c>
      <c r="G806" s="620">
        <v>840</v>
      </c>
      <c r="H806" s="620">
        <v>840</v>
      </c>
      <c r="I806" s="620">
        <v>-25</v>
      </c>
      <c r="J806" s="620">
        <v>-2.89</v>
      </c>
      <c r="K806" s="620">
        <v>840</v>
      </c>
      <c r="L806" s="620">
        <v>-25</v>
      </c>
      <c r="M806" s="620">
        <v>-2.89</v>
      </c>
      <c r="N806" s="620">
        <v>840</v>
      </c>
      <c r="O806" s="620">
        <v>859</v>
      </c>
      <c r="P806" s="620" t="s">
        <v>1417</v>
      </c>
      <c r="Q806" s="620" t="s">
        <v>2970</v>
      </c>
      <c r="R806" s="620">
        <v>1</v>
      </c>
      <c r="S806" s="620">
        <v>3000</v>
      </c>
      <c r="T806" s="620">
        <v>814</v>
      </c>
      <c r="U806" s="620">
        <v>840</v>
      </c>
      <c r="V806" s="620">
        <v>13124827</v>
      </c>
      <c r="W806" s="620">
        <v>333</v>
      </c>
    </row>
    <row r="807" spans="1:23" x14ac:dyDescent="0.25">
      <c r="A807" s="620" t="s">
        <v>2971</v>
      </c>
      <c r="B807" s="620" t="s">
        <v>2972</v>
      </c>
      <c r="C807" s="620">
        <v>0</v>
      </c>
      <c r="D807" s="620">
        <v>0</v>
      </c>
      <c r="E807" s="620">
        <v>0</v>
      </c>
      <c r="F807" s="620">
        <v>2450</v>
      </c>
      <c r="G807" s="620">
        <v>800</v>
      </c>
      <c r="H807" s="620">
        <v>2450</v>
      </c>
      <c r="I807" s="620">
        <v>0</v>
      </c>
      <c r="J807" s="620">
        <v>0</v>
      </c>
      <c r="K807" s="620">
        <v>2450</v>
      </c>
      <c r="L807" s="620">
        <v>0</v>
      </c>
      <c r="M807" s="620">
        <v>0</v>
      </c>
      <c r="N807" s="620">
        <v>800</v>
      </c>
      <c r="O807" s="620">
        <v>800</v>
      </c>
      <c r="R807" s="620">
        <v>1</v>
      </c>
      <c r="S807" s="620">
        <v>30</v>
      </c>
      <c r="T807" s="620">
        <v>1200</v>
      </c>
      <c r="U807" s="620">
        <v>0</v>
      </c>
      <c r="V807" s="620">
        <v>0</v>
      </c>
      <c r="W807" s="620">
        <v>0</v>
      </c>
    </row>
    <row r="808" spans="1:23" x14ac:dyDescent="0.25">
      <c r="A808" s="620" t="s">
        <v>2973</v>
      </c>
      <c r="B808" s="620" t="s">
        <v>2974</v>
      </c>
      <c r="C808" s="620">
        <v>203</v>
      </c>
      <c r="D808" s="620">
        <v>445500</v>
      </c>
      <c r="E808" s="620">
        <v>3120919111</v>
      </c>
      <c r="F808" s="620">
        <v>7367</v>
      </c>
      <c r="G808" s="620">
        <v>6999</v>
      </c>
      <c r="H808" s="620">
        <v>6999</v>
      </c>
      <c r="I808" s="620">
        <v>-368</v>
      </c>
      <c r="J808" s="620">
        <v>-5</v>
      </c>
      <c r="K808" s="620">
        <v>7099</v>
      </c>
      <c r="L808" s="620">
        <v>-268</v>
      </c>
      <c r="M808" s="620">
        <v>-3.64</v>
      </c>
      <c r="N808" s="620">
        <v>6999</v>
      </c>
      <c r="O808" s="620">
        <v>7185</v>
      </c>
      <c r="P808" s="620" t="s">
        <v>2066</v>
      </c>
      <c r="Q808" s="620" t="s">
        <v>2975</v>
      </c>
      <c r="R808" s="620">
        <v>0</v>
      </c>
      <c r="S808" s="620">
        <v>0</v>
      </c>
      <c r="T808" s="620">
        <v>0</v>
      </c>
      <c r="U808" s="620">
        <v>6999</v>
      </c>
      <c r="V808" s="620">
        <v>185326</v>
      </c>
      <c r="W808" s="620">
        <v>23</v>
      </c>
    </row>
    <row r="809" spans="1:23" x14ac:dyDescent="0.25">
      <c r="A809" s="620" t="s">
        <v>2976</v>
      </c>
      <c r="B809" s="620" t="s">
        <v>2977</v>
      </c>
      <c r="C809" s="620">
        <v>0</v>
      </c>
      <c r="D809" s="620">
        <v>0</v>
      </c>
      <c r="E809" s="620">
        <v>0</v>
      </c>
      <c r="F809" s="620">
        <v>980000</v>
      </c>
      <c r="G809" s="620">
        <v>0</v>
      </c>
      <c r="H809" s="620">
        <v>980000</v>
      </c>
      <c r="I809" s="620">
        <v>0</v>
      </c>
      <c r="J809" s="620">
        <v>0</v>
      </c>
      <c r="K809" s="620">
        <v>980000</v>
      </c>
      <c r="L809" s="620">
        <v>0</v>
      </c>
      <c r="M809" s="620">
        <v>0</v>
      </c>
      <c r="N809" s="620">
        <v>0</v>
      </c>
      <c r="O809" s="620">
        <v>0</v>
      </c>
      <c r="R809" s="620">
        <v>1</v>
      </c>
      <c r="S809" s="620">
        <v>1500</v>
      </c>
      <c r="T809" s="620">
        <v>980500</v>
      </c>
      <c r="U809" s="620">
        <v>1000000</v>
      </c>
      <c r="V809" s="620">
        <v>449</v>
      </c>
      <c r="W809" s="620">
        <v>1</v>
      </c>
    </row>
    <row r="810" spans="1:23" x14ac:dyDescent="0.25">
      <c r="A810" s="620" t="s">
        <v>2978</v>
      </c>
      <c r="B810" s="620" t="s">
        <v>2273</v>
      </c>
      <c r="C810" s="620">
        <v>2</v>
      </c>
      <c r="D810" s="620">
        <v>47817679</v>
      </c>
      <c r="E810" s="620">
        <v>130685716707</v>
      </c>
      <c r="F810" s="620">
        <v>2817</v>
      </c>
      <c r="G810" s="620">
        <v>2733</v>
      </c>
      <c r="H810" s="620">
        <v>2733</v>
      </c>
      <c r="I810" s="620">
        <v>-84</v>
      </c>
      <c r="J810" s="620">
        <v>-2.98</v>
      </c>
      <c r="K810" s="620">
        <v>2733</v>
      </c>
      <c r="L810" s="620">
        <v>-84</v>
      </c>
      <c r="M810" s="620">
        <v>-2.98</v>
      </c>
      <c r="N810" s="620">
        <v>2733</v>
      </c>
      <c r="O810" s="620">
        <v>2733</v>
      </c>
      <c r="P810" s="620" t="s">
        <v>2274</v>
      </c>
      <c r="Q810" s="620" t="s">
        <v>2275</v>
      </c>
      <c r="R810" s="620">
        <v>0</v>
      </c>
      <c r="S810" s="620">
        <v>0</v>
      </c>
      <c r="T810" s="620">
        <v>0</v>
      </c>
      <c r="U810" s="620">
        <v>0</v>
      </c>
      <c r="V810" s="620">
        <v>0</v>
      </c>
      <c r="W810" s="620">
        <v>0</v>
      </c>
    </row>
    <row r="811" spans="1:23" x14ac:dyDescent="0.25">
      <c r="A811" s="620" t="s">
        <v>2979</v>
      </c>
      <c r="B811" s="620" t="s">
        <v>2980</v>
      </c>
      <c r="C811" s="620">
        <v>0</v>
      </c>
      <c r="D811" s="620">
        <v>0</v>
      </c>
      <c r="E811" s="620">
        <v>0</v>
      </c>
      <c r="F811" s="620">
        <v>960213</v>
      </c>
      <c r="G811" s="620">
        <v>0</v>
      </c>
      <c r="H811" s="620">
        <v>960213</v>
      </c>
      <c r="I811" s="620">
        <v>0</v>
      </c>
      <c r="J811" s="620">
        <v>0</v>
      </c>
      <c r="K811" s="620">
        <v>960213</v>
      </c>
      <c r="L811" s="620">
        <v>0</v>
      </c>
      <c r="M811" s="620">
        <v>0</v>
      </c>
      <c r="N811" s="620">
        <v>0</v>
      </c>
      <c r="O811" s="620">
        <v>0</v>
      </c>
      <c r="R811" s="620">
        <v>1</v>
      </c>
      <c r="S811" s="620">
        <v>400</v>
      </c>
      <c r="T811" s="620">
        <v>960213</v>
      </c>
      <c r="U811" s="620">
        <v>969913</v>
      </c>
      <c r="V811" s="620">
        <v>400</v>
      </c>
      <c r="W811" s="620">
        <v>1</v>
      </c>
    </row>
    <row r="812" spans="1:23" x14ac:dyDescent="0.25">
      <c r="A812" s="620" t="s">
        <v>2981</v>
      </c>
      <c r="B812" s="620" t="s">
        <v>2982</v>
      </c>
      <c r="C812" s="620">
        <v>0</v>
      </c>
      <c r="D812" s="620">
        <v>0</v>
      </c>
      <c r="E812" s="620">
        <v>0</v>
      </c>
      <c r="F812" s="620">
        <v>900</v>
      </c>
      <c r="G812" s="620">
        <v>0</v>
      </c>
      <c r="H812" s="620">
        <v>900</v>
      </c>
      <c r="I812" s="620">
        <v>0</v>
      </c>
      <c r="J812" s="620">
        <v>0</v>
      </c>
      <c r="K812" s="620">
        <v>900</v>
      </c>
      <c r="L812" s="620">
        <v>0</v>
      </c>
      <c r="M812" s="620">
        <v>0</v>
      </c>
      <c r="N812" s="620">
        <v>0</v>
      </c>
      <c r="O812" s="620">
        <v>0</v>
      </c>
      <c r="R812" s="620">
        <v>1</v>
      </c>
      <c r="S812" s="620">
        <v>100</v>
      </c>
      <c r="T812" s="620">
        <v>200</v>
      </c>
      <c r="U812" s="620">
        <v>0</v>
      </c>
      <c r="V812" s="620">
        <v>0</v>
      </c>
      <c r="W812" s="620">
        <v>0</v>
      </c>
    </row>
    <row r="813" spans="1:23" x14ac:dyDescent="0.25">
      <c r="A813" s="620" t="s">
        <v>2983</v>
      </c>
      <c r="B813" s="620" t="s">
        <v>2984</v>
      </c>
      <c r="C813" s="620">
        <v>38</v>
      </c>
      <c r="D813" s="620">
        <v>20446</v>
      </c>
      <c r="E813" s="620">
        <v>109038518</v>
      </c>
      <c r="F813" s="620">
        <v>5497</v>
      </c>
      <c r="G813" s="620">
        <v>5333</v>
      </c>
      <c r="H813" s="620">
        <v>5333</v>
      </c>
      <c r="I813" s="620">
        <v>-164</v>
      </c>
      <c r="J813" s="620">
        <v>-2.98</v>
      </c>
      <c r="K813" s="620">
        <v>5333</v>
      </c>
      <c r="L813" s="620">
        <v>-164</v>
      </c>
      <c r="M813" s="620">
        <v>-2.98</v>
      </c>
      <c r="N813" s="620">
        <v>5333</v>
      </c>
      <c r="O813" s="620">
        <v>5333</v>
      </c>
      <c r="P813" s="620" t="s">
        <v>841</v>
      </c>
      <c r="Q813" s="620" t="s">
        <v>2985</v>
      </c>
      <c r="R813" s="620">
        <v>0</v>
      </c>
      <c r="S813" s="620">
        <v>0</v>
      </c>
      <c r="T813" s="620">
        <v>0</v>
      </c>
      <c r="U813" s="620">
        <v>5333</v>
      </c>
      <c r="V813" s="620">
        <v>166258</v>
      </c>
      <c r="W813" s="620">
        <v>27</v>
      </c>
    </row>
    <row r="814" spans="1:23" x14ac:dyDescent="0.25">
      <c r="A814" s="620" t="s">
        <v>2986</v>
      </c>
      <c r="B814" s="620" t="s">
        <v>2987</v>
      </c>
      <c r="C814" s="620">
        <v>798</v>
      </c>
      <c r="D814" s="620">
        <v>1272564</v>
      </c>
      <c r="E814" s="620">
        <v>17336689403</v>
      </c>
      <c r="F814" s="620">
        <v>14220</v>
      </c>
      <c r="G814" s="620">
        <v>13601</v>
      </c>
      <c r="H814" s="620">
        <v>13509</v>
      </c>
      <c r="I814" s="620">
        <v>-711</v>
      </c>
      <c r="J814" s="620">
        <v>-5</v>
      </c>
      <c r="K814" s="620">
        <v>13623</v>
      </c>
      <c r="L814" s="620">
        <v>-597</v>
      </c>
      <c r="M814" s="620">
        <v>-4.2</v>
      </c>
      <c r="N814" s="620">
        <v>13509</v>
      </c>
      <c r="O814" s="620">
        <v>14700</v>
      </c>
      <c r="P814" s="620" t="s">
        <v>2988</v>
      </c>
      <c r="Q814" s="620" t="s">
        <v>1535</v>
      </c>
      <c r="R814" s="620">
        <v>1</v>
      </c>
      <c r="S814" s="620">
        <v>75</v>
      </c>
      <c r="T814" s="620">
        <v>13509</v>
      </c>
      <c r="U814" s="620">
        <v>13509</v>
      </c>
      <c r="V814" s="620">
        <v>13509</v>
      </c>
      <c r="W814" s="620">
        <v>1</v>
      </c>
    </row>
    <row r="815" spans="1:23" x14ac:dyDescent="0.25">
      <c r="A815" s="620" t="s">
        <v>2989</v>
      </c>
      <c r="B815" s="620" t="s">
        <v>2990</v>
      </c>
      <c r="C815" s="620">
        <v>0</v>
      </c>
      <c r="D815" s="620">
        <v>0</v>
      </c>
      <c r="E815" s="620">
        <v>0</v>
      </c>
      <c r="F815" s="620">
        <v>933809</v>
      </c>
      <c r="G815" s="620">
        <v>0</v>
      </c>
      <c r="H815" s="620">
        <v>933198</v>
      </c>
      <c r="I815" s="620">
        <v>-611</v>
      </c>
      <c r="J815" s="620">
        <v>-7.0000000000000007E-2</v>
      </c>
      <c r="K815" s="620">
        <v>933809</v>
      </c>
      <c r="L815" s="620">
        <v>0</v>
      </c>
      <c r="M815" s="620">
        <v>0</v>
      </c>
      <c r="N815" s="620">
        <v>0</v>
      </c>
      <c r="O815" s="620">
        <v>0</v>
      </c>
      <c r="R815" s="620">
        <v>1</v>
      </c>
      <c r="S815" s="620">
        <v>3000</v>
      </c>
      <c r="T815" s="620">
        <v>959600</v>
      </c>
      <c r="U815" s="620">
        <v>969095</v>
      </c>
      <c r="V815" s="620">
        <v>2380</v>
      </c>
      <c r="W815" s="620">
        <v>1</v>
      </c>
    </row>
    <row r="816" spans="1:23" x14ac:dyDescent="0.25">
      <c r="A816" s="620" t="s">
        <v>2991</v>
      </c>
      <c r="B816" s="620" t="s">
        <v>2992</v>
      </c>
      <c r="C816" s="620">
        <v>128</v>
      </c>
      <c r="D816" s="620">
        <v>1159</v>
      </c>
      <c r="E816" s="620">
        <v>440399548</v>
      </c>
      <c r="F816" s="620">
        <v>380761</v>
      </c>
      <c r="G816" s="620">
        <v>388777</v>
      </c>
      <c r="H816" s="620">
        <v>379566</v>
      </c>
      <c r="I816" s="620">
        <v>-1195</v>
      </c>
      <c r="J816" s="620">
        <v>-0.31</v>
      </c>
      <c r="K816" s="620">
        <v>379982</v>
      </c>
      <c r="L816" s="620">
        <v>-779</v>
      </c>
      <c r="M816" s="620">
        <v>-0.2</v>
      </c>
      <c r="N816" s="620">
        <v>368340</v>
      </c>
      <c r="O816" s="620">
        <v>388777</v>
      </c>
      <c r="R816" s="620">
        <v>1</v>
      </c>
      <c r="S816" s="620">
        <v>30</v>
      </c>
      <c r="T816" s="620">
        <v>380000</v>
      </c>
      <c r="U816" s="620">
        <v>380000</v>
      </c>
      <c r="V816" s="620">
        <v>2</v>
      </c>
      <c r="W816" s="620">
        <v>1</v>
      </c>
    </row>
    <row r="817" spans="1:23" x14ac:dyDescent="0.25">
      <c r="A817" s="620" t="s">
        <v>2993</v>
      </c>
      <c r="B817" s="620" t="s">
        <v>2994</v>
      </c>
      <c r="C817" s="620">
        <v>65</v>
      </c>
      <c r="D817" s="620">
        <v>192258</v>
      </c>
      <c r="E817" s="620">
        <v>1513070460</v>
      </c>
      <c r="F817" s="620">
        <v>8284</v>
      </c>
      <c r="G817" s="620">
        <v>7870</v>
      </c>
      <c r="H817" s="620">
        <v>7870</v>
      </c>
      <c r="I817" s="620">
        <v>-414</v>
      </c>
      <c r="J817" s="620">
        <v>-5</v>
      </c>
      <c r="K817" s="620">
        <v>7870</v>
      </c>
      <c r="L817" s="620">
        <v>-414</v>
      </c>
      <c r="M817" s="620">
        <v>-5</v>
      </c>
      <c r="N817" s="620">
        <v>7870</v>
      </c>
      <c r="O817" s="620">
        <v>7870</v>
      </c>
      <c r="P817" s="620" t="s">
        <v>2995</v>
      </c>
      <c r="Q817" s="620" t="s">
        <v>2996</v>
      </c>
      <c r="R817" s="620">
        <v>1</v>
      </c>
      <c r="S817" s="620">
        <v>2500</v>
      </c>
      <c r="T817" s="620">
        <v>5816</v>
      </c>
      <c r="U817" s="620">
        <v>7870</v>
      </c>
      <c r="V817" s="620">
        <v>543195</v>
      </c>
      <c r="W817" s="620">
        <v>78</v>
      </c>
    </row>
    <row r="818" spans="1:23" x14ac:dyDescent="0.25">
      <c r="A818" s="620" t="s">
        <v>2997</v>
      </c>
      <c r="B818" s="620" t="s">
        <v>2998</v>
      </c>
      <c r="C818" s="620">
        <v>0</v>
      </c>
      <c r="D818" s="620">
        <v>0</v>
      </c>
      <c r="E818" s="620">
        <v>0</v>
      </c>
      <c r="F818" s="620">
        <v>1</v>
      </c>
      <c r="G818" s="620">
        <v>0</v>
      </c>
      <c r="H818" s="620">
        <v>1</v>
      </c>
      <c r="I818" s="620">
        <v>0</v>
      </c>
      <c r="J818" s="620">
        <v>0</v>
      </c>
      <c r="K818" s="620">
        <v>1</v>
      </c>
      <c r="L818" s="620">
        <v>0</v>
      </c>
      <c r="M818" s="620">
        <v>0</v>
      </c>
      <c r="N818" s="620">
        <v>0</v>
      </c>
      <c r="O818" s="620">
        <v>0</v>
      </c>
      <c r="R818" s="620">
        <v>1</v>
      </c>
      <c r="S818" s="620">
        <v>100</v>
      </c>
      <c r="T818" s="620">
        <v>120</v>
      </c>
      <c r="U818" s="620">
        <v>0</v>
      </c>
      <c r="V818" s="620">
        <v>0</v>
      </c>
      <c r="W818" s="620">
        <v>0</v>
      </c>
    </row>
    <row r="819" spans="1:23" x14ac:dyDescent="0.25">
      <c r="A819" s="620" t="s">
        <v>2999</v>
      </c>
      <c r="B819" s="620" t="s">
        <v>3000</v>
      </c>
      <c r="C819" s="620">
        <v>112</v>
      </c>
      <c r="D819" s="620">
        <v>1011381</v>
      </c>
      <c r="E819" s="620">
        <v>3585345645</v>
      </c>
      <c r="F819" s="620">
        <v>3654</v>
      </c>
      <c r="G819" s="620">
        <v>3545</v>
      </c>
      <c r="H819" s="620">
        <v>3545</v>
      </c>
      <c r="I819" s="620">
        <v>-109</v>
      </c>
      <c r="J819" s="620">
        <v>-2.98</v>
      </c>
      <c r="K819" s="620">
        <v>3545</v>
      </c>
      <c r="L819" s="620">
        <v>-109</v>
      </c>
      <c r="M819" s="620">
        <v>-2.98</v>
      </c>
      <c r="N819" s="620">
        <v>3545</v>
      </c>
      <c r="O819" s="620">
        <v>3545</v>
      </c>
      <c r="P819" s="620" t="s">
        <v>3001</v>
      </c>
      <c r="Q819" s="620" t="s">
        <v>3002</v>
      </c>
      <c r="R819" s="620">
        <v>0</v>
      </c>
      <c r="S819" s="620">
        <v>0</v>
      </c>
      <c r="T819" s="620">
        <v>0</v>
      </c>
      <c r="U819" s="620">
        <v>3545</v>
      </c>
      <c r="V819" s="620">
        <v>50000</v>
      </c>
      <c r="W819" s="620">
        <v>1</v>
      </c>
    </row>
    <row r="820" spans="1:23" x14ac:dyDescent="0.25">
      <c r="A820" s="620" t="s">
        <v>3003</v>
      </c>
      <c r="B820" s="620" t="s">
        <v>3004</v>
      </c>
      <c r="C820" s="620">
        <v>112</v>
      </c>
      <c r="D820" s="620">
        <v>158784</v>
      </c>
      <c r="E820" s="620">
        <v>112683917679</v>
      </c>
      <c r="F820" s="620">
        <v>707850</v>
      </c>
      <c r="G820" s="620">
        <v>707000</v>
      </c>
      <c r="H820" s="620">
        <v>711500</v>
      </c>
      <c r="I820" s="620">
        <v>3650</v>
      </c>
      <c r="J820" s="620">
        <v>0.52</v>
      </c>
      <c r="K820" s="620">
        <v>709668</v>
      </c>
      <c r="L820" s="620">
        <v>1818</v>
      </c>
      <c r="M820" s="620">
        <v>0.26</v>
      </c>
      <c r="N820" s="620">
        <v>707000</v>
      </c>
      <c r="O820" s="620">
        <v>713900</v>
      </c>
      <c r="R820" s="620">
        <v>1</v>
      </c>
      <c r="S820" s="620">
        <v>1000</v>
      </c>
      <c r="T820" s="620">
        <v>711020</v>
      </c>
      <c r="U820" s="620">
        <v>713880</v>
      </c>
      <c r="V820" s="620">
        <v>8</v>
      </c>
      <c r="W820" s="620">
        <v>1</v>
      </c>
    </row>
    <row r="821" spans="1:23" x14ac:dyDescent="0.25">
      <c r="A821" s="620" t="s">
        <v>3005</v>
      </c>
      <c r="B821" s="620" t="s">
        <v>3006</v>
      </c>
      <c r="C821" s="620">
        <v>0</v>
      </c>
      <c r="D821" s="620">
        <v>0</v>
      </c>
      <c r="E821" s="620">
        <v>0</v>
      </c>
      <c r="F821" s="620">
        <v>1509</v>
      </c>
      <c r="G821" s="620">
        <v>0</v>
      </c>
      <c r="H821" s="620">
        <v>1509</v>
      </c>
      <c r="I821" s="620">
        <v>0</v>
      </c>
      <c r="J821" s="620">
        <v>0</v>
      </c>
      <c r="K821" s="620">
        <v>1509</v>
      </c>
      <c r="L821" s="620">
        <v>0</v>
      </c>
      <c r="M821" s="620">
        <v>0</v>
      </c>
      <c r="N821" s="620">
        <v>0</v>
      </c>
      <c r="O821" s="620">
        <v>0</v>
      </c>
      <c r="P821" s="620" t="s">
        <v>3007</v>
      </c>
      <c r="Q821" s="620" t="s">
        <v>3008</v>
      </c>
      <c r="R821" s="620">
        <v>40</v>
      </c>
      <c r="S821" s="620">
        <v>1760423</v>
      </c>
      <c r="T821" s="620">
        <v>1554</v>
      </c>
      <c r="U821" s="620">
        <v>0</v>
      </c>
      <c r="V821" s="620">
        <v>0</v>
      </c>
      <c r="W821" s="620">
        <v>0</v>
      </c>
    </row>
    <row r="822" spans="1:23" x14ac:dyDescent="0.25">
      <c r="A822" s="620" t="s">
        <v>3009</v>
      </c>
      <c r="B822" s="620" t="s">
        <v>3010</v>
      </c>
      <c r="C822" s="620">
        <v>37</v>
      </c>
      <c r="D822" s="620">
        <v>70846</v>
      </c>
      <c r="E822" s="620">
        <v>1184615966</v>
      </c>
      <c r="F822" s="620">
        <v>17238</v>
      </c>
      <c r="G822" s="620">
        <v>16721</v>
      </c>
      <c r="H822" s="620">
        <v>16721</v>
      </c>
      <c r="I822" s="620">
        <v>-517</v>
      </c>
      <c r="J822" s="620">
        <v>-3</v>
      </c>
      <c r="K822" s="620">
        <v>16721</v>
      </c>
      <c r="L822" s="620">
        <v>-517</v>
      </c>
      <c r="M822" s="620">
        <v>-3</v>
      </c>
      <c r="N822" s="620">
        <v>16721</v>
      </c>
      <c r="O822" s="620">
        <v>16721</v>
      </c>
      <c r="P822" s="620" t="s">
        <v>1222</v>
      </c>
      <c r="Q822" s="620" t="s">
        <v>3011</v>
      </c>
      <c r="R822" s="620">
        <v>0</v>
      </c>
      <c r="S822" s="620">
        <v>0</v>
      </c>
      <c r="T822" s="620">
        <v>0</v>
      </c>
      <c r="U822" s="620">
        <v>16721</v>
      </c>
      <c r="V822" s="620">
        <v>97092</v>
      </c>
      <c r="W822" s="620">
        <v>27</v>
      </c>
    </row>
    <row r="823" spans="1:23" x14ac:dyDescent="0.25">
      <c r="A823" s="620" t="s">
        <v>3012</v>
      </c>
      <c r="B823" s="620" t="s">
        <v>3013</v>
      </c>
      <c r="C823" s="620">
        <v>0</v>
      </c>
      <c r="D823" s="620">
        <v>0</v>
      </c>
      <c r="E823" s="620">
        <v>0</v>
      </c>
      <c r="F823" s="620">
        <v>991000</v>
      </c>
      <c r="G823" s="620">
        <v>0</v>
      </c>
      <c r="H823" s="620">
        <v>991000</v>
      </c>
      <c r="I823" s="620">
        <v>0</v>
      </c>
      <c r="J823" s="620">
        <v>0</v>
      </c>
      <c r="K823" s="620">
        <v>991000</v>
      </c>
      <c r="L823" s="620">
        <v>0</v>
      </c>
      <c r="M823" s="620">
        <v>0</v>
      </c>
      <c r="N823" s="620">
        <v>0</v>
      </c>
      <c r="O823" s="620">
        <v>0</v>
      </c>
      <c r="R823" s="620">
        <v>1</v>
      </c>
      <c r="S823" s="620">
        <v>210</v>
      </c>
      <c r="T823" s="620">
        <v>970000</v>
      </c>
      <c r="U823" s="620">
        <v>0</v>
      </c>
      <c r="V823" s="620">
        <v>0</v>
      </c>
      <c r="W823" s="620">
        <v>0</v>
      </c>
    </row>
    <row r="824" spans="1:23" x14ac:dyDescent="0.25">
      <c r="A824" s="620" t="s">
        <v>3014</v>
      </c>
      <c r="B824" s="620" t="s">
        <v>3015</v>
      </c>
      <c r="C824" s="620">
        <v>24</v>
      </c>
      <c r="D824" s="620">
        <v>2586</v>
      </c>
      <c r="E824" s="620">
        <v>203851008</v>
      </c>
      <c r="F824" s="620">
        <v>78780</v>
      </c>
      <c r="G824" s="620">
        <v>74841</v>
      </c>
      <c r="H824" s="620">
        <v>79000</v>
      </c>
      <c r="I824" s="620">
        <v>220</v>
      </c>
      <c r="J824" s="620">
        <v>0.28000000000000003</v>
      </c>
      <c r="K824" s="620">
        <v>78829</v>
      </c>
      <c r="L824" s="620">
        <v>49</v>
      </c>
      <c r="M824" s="620">
        <v>0.06</v>
      </c>
      <c r="N824" s="620">
        <v>74841</v>
      </c>
      <c r="O824" s="620">
        <v>79510</v>
      </c>
      <c r="R824" s="620">
        <v>1</v>
      </c>
      <c r="S824" s="620">
        <v>100</v>
      </c>
      <c r="T824" s="620">
        <v>76500</v>
      </c>
      <c r="U824" s="620">
        <v>79000</v>
      </c>
      <c r="V824" s="620">
        <v>4164</v>
      </c>
      <c r="W824" s="620">
        <v>2</v>
      </c>
    </row>
    <row r="825" spans="1:23" x14ac:dyDescent="0.25">
      <c r="A825" s="620" t="s">
        <v>346</v>
      </c>
      <c r="B825" s="620" t="s">
        <v>3016</v>
      </c>
      <c r="C825" s="620">
        <v>47</v>
      </c>
      <c r="D825" s="620">
        <v>75605</v>
      </c>
      <c r="E825" s="620">
        <v>1717164813</v>
      </c>
      <c r="F825" s="620">
        <v>23900</v>
      </c>
      <c r="G825" s="620">
        <v>22705</v>
      </c>
      <c r="H825" s="620">
        <v>22705</v>
      </c>
      <c r="I825" s="620">
        <v>-1195</v>
      </c>
      <c r="J825" s="620">
        <v>-5</v>
      </c>
      <c r="K825" s="620">
        <v>22712</v>
      </c>
      <c r="L825" s="620">
        <v>-1188</v>
      </c>
      <c r="M825" s="620">
        <v>-4.97</v>
      </c>
      <c r="N825" s="620">
        <v>22705</v>
      </c>
      <c r="O825" s="620">
        <v>23900</v>
      </c>
      <c r="P825" s="620" t="s">
        <v>3017</v>
      </c>
      <c r="Q825" s="620" t="s">
        <v>3018</v>
      </c>
      <c r="R825" s="620">
        <v>1</v>
      </c>
      <c r="S825" s="620">
        <v>150</v>
      </c>
      <c r="T825" s="620">
        <v>22712</v>
      </c>
      <c r="U825" s="620">
        <v>23390</v>
      </c>
      <c r="V825" s="620">
        <v>400</v>
      </c>
      <c r="W825" s="620">
        <v>1</v>
      </c>
    </row>
    <row r="826" spans="1:23" x14ac:dyDescent="0.25">
      <c r="A826" s="620" t="s">
        <v>3019</v>
      </c>
      <c r="B826" s="620" t="s">
        <v>3020</v>
      </c>
      <c r="C826" s="620">
        <v>0</v>
      </c>
      <c r="D826" s="620">
        <v>0</v>
      </c>
      <c r="E826" s="620">
        <v>0</v>
      </c>
      <c r="F826" s="620">
        <v>1</v>
      </c>
      <c r="G826" s="620">
        <v>0</v>
      </c>
      <c r="H826" s="620">
        <v>1</v>
      </c>
      <c r="I826" s="620">
        <v>0</v>
      </c>
      <c r="J826" s="620">
        <v>0</v>
      </c>
      <c r="K826" s="620">
        <v>1</v>
      </c>
      <c r="L826" s="620">
        <v>0</v>
      </c>
      <c r="M826" s="620">
        <v>0</v>
      </c>
      <c r="N826" s="620">
        <v>0</v>
      </c>
      <c r="O826" s="620">
        <v>0</v>
      </c>
      <c r="R826" s="620">
        <v>5</v>
      </c>
      <c r="S826" s="620">
        <v>500</v>
      </c>
      <c r="T826" s="620">
        <v>1</v>
      </c>
      <c r="U826" s="620">
        <v>0</v>
      </c>
      <c r="V826" s="620">
        <v>0</v>
      </c>
      <c r="W826" s="620">
        <v>0</v>
      </c>
    </row>
    <row r="827" spans="1:23" x14ac:dyDescent="0.25">
      <c r="A827" s="620" t="s">
        <v>3021</v>
      </c>
      <c r="B827" s="620" t="s">
        <v>1693</v>
      </c>
      <c r="C827" s="620">
        <v>1193</v>
      </c>
      <c r="D827" s="620">
        <v>7738531</v>
      </c>
      <c r="E827" s="620">
        <v>23615630892</v>
      </c>
      <c r="F827" s="620">
        <v>3102</v>
      </c>
      <c r="G827" s="620">
        <v>3040</v>
      </c>
      <c r="H827" s="620">
        <v>3020</v>
      </c>
      <c r="I827" s="620">
        <v>-82</v>
      </c>
      <c r="J827" s="620">
        <v>-2.64</v>
      </c>
      <c r="K827" s="620">
        <v>3052</v>
      </c>
      <c r="L827" s="620">
        <v>-50</v>
      </c>
      <c r="M827" s="620">
        <v>-1.61</v>
      </c>
      <c r="N827" s="620">
        <v>3010</v>
      </c>
      <c r="O827" s="620">
        <v>3149</v>
      </c>
      <c r="P827" s="620" t="s">
        <v>1210</v>
      </c>
      <c r="Q827" s="620" t="s">
        <v>3022</v>
      </c>
      <c r="R827" s="620">
        <v>1</v>
      </c>
      <c r="S827" s="620">
        <v>5000</v>
      </c>
      <c r="T827" s="620">
        <v>3019</v>
      </c>
      <c r="U827" s="620">
        <v>3019</v>
      </c>
      <c r="V827" s="620">
        <v>10000</v>
      </c>
      <c r="W827" s="620">
        <v>1</v>
      </c>
    </row>
    <row r="828" spans="1:23" x14ac:dyDescent="0.25">
      <c r="A828" s="620" t="s">
        <v>3023</v>
      </c>
      <c r="B828" s="620" t="s">
        <v>3024</v>
      </c>
      <c r="C828" s="620">
        <v>998</v>
      </c>
      <c r="D828" s="620">
        <v>2589723</v>
      </c>
      <c r="E828" s="620">
        <v>68983668038</v>
      </c>
      <c r="F828" s="620">
        <v>28035</v>
      </c>
      <c r="G828" s="620">
        <v>26634</v>
      </c>
      <c r="H828" s="620">
        <v>26634</v>
      </c>
      <c r="I828" s="620">
        <v>-1401</v>
      </c>
      <c r="J828" s="620">
        <v>-5</v>
      </c>
      <c r="K828" s="620">
        <v>26637</v>
      </c>
      <c r="L828" s="620">
        <v>-1398</v>
      </c>
      <c r="M828" s="620">
        <v>-4.99</v>
      </c>
      <c r="N828" s="620">
        <v>26634</v>
      </c>
      <c r="O828" s="620">
        <v>26998</v>
      </c>
      <c r="P828" s="620" t="s">
        <v>3025</v>
      </c>
      <c r="Q828" s="620" t="s">
        <v>3026</v>
      </c>
      <c r="R828" s="620">
        <v>1</v>
      </c>
      <c r="S828" s="620">
        <v>1000</v>
      </c>
      <c r="T828" s="620">
        <v>14320</v>
      </c>
      <c r="U828" s="620">
        <v>26634</v>
      </c>
      <c r="V828" s="620">
        <v>101369</v>
      </c>
      <c r="W828" s="620">
        <v>20</v>
      </c>
    </row>
    <row r="829" spans="1:23" x14ac:dyDescent="0.25">
      <c r="A829" s="620" t="s">
        <v>3027</v>
      </c>
      <c r="B829" s="620" t="s">
        <v>3028</v>
      </c>
      <c r="C829" s="620">
        <v>21</v>
      </c>
      <c r="D829" s="620">
        <v>15596</v>
      </c>
      <c r="E829" s="620">
        <v>369815793</v>
      </c>
      <c r="F829" s="620">
        <v>23085</v>
      </c>
      <c r="G829" s="620">
        <v>23500</v>
      </c>
      <c r="H829" s="620">
        <v>23609</v>
      </c>
      <c r="I829" s="620">
        <v>524</v>
      </c>
      <c r="J829" s="620">
        <v>2.27</v>
      </c>
      <c r="K829" s="620">
        <v>23712</v>
      </c>
      <c r="L829" s="620">
        <v>627</v>
      </c>
      <c r="M829" s="620">
        <v>2.72</v>
      </c>
      <c r="N829" s="620">
        <v>23500</v>
      </c>
      <c r="O829" s="620">
        <v>23989</v>
      </c>
      <c r="R829" s="620">
        <v>1</v>
      </c>
      <c r="S829" s="620">
        <v>5000</v>
      </c>
      <c r="T829" s="620">
        <v>23600</v>
      </c>
      <c r="U829" s="620">
        <v>23988</v>
      </c>
      <c r="V829" s="620">
        <v>2000</v>
      </c>
      <c r="W829" s="620">
        <v>2</v>
      </c>
    </row>
    <row r="830" spans="1:23" x14ac:dyDescent="0.25">
      <c r="A830" s="620" t="s">
        <v>3029</v>
      </c>
      <c r="B830" s="620" t="s">
        <v>3030</v>
      </c>
      <c r="C830" s="620">
        <v>23</v>
      </c>
      <c r="D830" s="620">
        <v>14952</v>
      </c>
      <c r="E830" s="620">
        <v>270007803</v>
      </c>
      <c r="F830" s="620">
        <v>17569</v>
      </c>
      <c r="G830" s="620">
        <v>18096</v>
      </c>
      <c r="H830" s="620">
        <v>18096</v>
      </c>
      <c r="I830" s="620">
        <v>527</v>
      </c>
      <c r="J830" s="620">
        <v>3</v>
      </c>
      <c r="K830" s="620">
        <v>18058</v>
      </c>
      <c r="L830" s="620">
        <v>489</v>
      </c>
      <c r="M830" s="620">
        <v>2.78</v>
      </c>
      <c r="N830" s="620">
        <v>17569</v>
      </c>
      <c r="O830" s="620">
        <v>18096</v>
      </c>
      <c r="P830" s="620" t="s">
        <v>3031</v>
      </c>
      <c r="Q830" s="620" t="s">
        <v>3032</v>
      </c>
      <c r="R830" s="620">
        <v>1</v>
      </c>
      <c r="S830" s="620">
        <v>1696</v>
      </c>
      <c r="T830" s="620">
        <v>17611</v>
      </c>
      <c r="U830" s="620">
        <v>18096</v>
      </c>
      <c r="V830" s="620">
        <v>10716</v>
      </c>
      <c r="W830" s="620">
        <v>1</v>
      </c>
    </row>
    <row r="831" spans="1:23" x14ac:dyDescent="0.25">
      <c r="A831" s="620" t="s">
        <v>3033</v>
      </c>
      <c r="B831" s="620" t="s">
        <v>3034</v>
      </c>
      <c r="C831" s="620">
        <v>99</v>
      </c>
      <c r="D831" s="620">
        <v>788659</v>
      </c>
      <c r="E831" s="620">
        <v>1476369648</v>
      </c>
      <c r="F831" s="620">
        <v>1929</v>
      </c>
      <c r="G831" s="620">
        <v>1872</v>
      </c>
      <c r="H831" s="620">
        <v>1872</v>
      </c>
      <c r="I831" s="620">
        <v>-57</v>
      </c>
      <c r="J831" s="620">
        <v>-2.95</v>
      </c>
      <c r="K831" s="620">
        <v>1872</v>
      </c>
      <c r="L831" s="620">
        <v>-57</v>
      </c>
      <c r="M831" s="620">
        <v>-2.95</v>
      </c>
      <c r="N831" s="620">
        <v>1872</v>
      </c>
      <c r="O831" s="620">
        <v>1872</v>
      </c>
      <c r="P831" s="620" t="s">
        <v>3035</v>
      </c>
      <c r="Q831" s="620" t="s">
        <v>3036</v>
      </c>
      <c r="R831" s="620">
        <v>0</v>
      </c>
      <c r="S831" s="620">
        <v>0</v>
      </c>
      <c r="T831" s="620">
        <v>0</v>
      </c>
      <c r="U831" s="620">
        <v>1872</v>
      </c>
      <c r="V831" s="620">
        <v>449310</v>
      </c>
      <c r="W831" s="620">
        <v>36</v>
      </c>
    </row>
    <row r="832" spans="1:23" x14ac:dyDescent="0.25">
      <c r="A832" s="620" t="s">
        <v>3037</v>
      </c>
      <c r="B832" s="620" t="s">
        <v>3038</v>
      </c>
      <c r="C832" s="620">
        <v>0</v>
      </c>
      <c r="D832" s="620">
        <v>0</v>
      </c>
      <c r="E832" s="620">
        <v>0</v>
      </c>
      <c r="F832" s="620">
        <v>1</v>
      </c>
      <c r="G832" s="620">
        <v>0</v>
      </c>
      <c r="H832" s="620">
        <v>1</v>
      </c>
      <c r="I832" s="620">
        <v>0</v>
      </c>
      <c r="J832" s="620">
        <v>0</v>
      </c>
      <c r="K832" s="620">
        <v>1</v>
      </c>
      <c r="L832" s="620">
        <v>0</v>
      </c>
      <c r="M832" s="620">
        <v>0</v>
      </c>
      <c r="N832" s="620">
        <v>0</v>
      </c>
      <c r="O832" s="620">
        <v>0</v>
      </c>
      <c r="R832" s="620">
        <v>1</v>
      </c>
      <c r="S832" s="620">
        <v>100</v>
      </c>
      <c r="T832" s="620">
        <v>2</v>
      </c>
      <c r="U832" s="620">
        <v>0</v>
      </c>
      <c r="V832" s="620">
        <v>0</v>
      </c>
      <c r="W832" s="620">
        <v>0</v>
      </c>
    </row>
    <row r="833" spans="1:23" x14ac:dyDescent="0.25">
      <c r="A833" s="620" t="s">
        <v>3039</v>
      </c>
      <c r="B833" s="620" t="s">
        <v>3040</v>
      </c>
      <c r="C833" s="620">
        <v>748</v>
      </c>
      <c r="D833" s="620">
        <v>3113956</v>
      </c>
      <c r="E833" s="620">
        <v>9748494488</v>
      </c>
      <c r="F833" s="620">
        <v>3234</v>
      </c>
      <c r="G833" s="620">
        <v>3073</v>
      </c>
      <c r="H833" s="620">
        <v>3163</v>
      </c>
      <c r="I833" s="620">
        <v>-71</v>
      </c>
      <c r="J833" s="620">
        <v>-2.2000000000000002</v>
      </c>
      <c r="K833" s="620">
        <v>3131</v>
      </c>
      <c r="L833" s="620">
        <v>-103</v>
      </c>
      <c r="M833" s="620">
        <v>-3.18</v>
      </c>
      <c r="N833" s="620">
        <v>3073</v>
      </c>
      <c r="O833" s="620">
        <v>3333</v>
      </c>
      <c r="R833" s="620">
        <v>1</v>
      </c>
      <c r="S833" s="620">
        <v>500</v>
      </c>
      <c r="T833" s="620">
        <v>3165</v>
      </c>
      <c r="U833" s="620">
        <v>3238</v>
      </c>
      <c r="V833" s="620">
        <v>2700</v>
      </c>
      <c r="W833" s="620">
        <v>2</v>
      </c>
    </row>
    <row r="834" spans="1:23" x14ac:dyDescent="0.25">
      <c r="A834" s="620" t="s">
        <v>3041</v>
      </c>
      <c r="B834" s="620" t="s">
        <v>3042</v>
      </c>
      <c r="C834" s="620">
        <v>643</v>
      </c>
      <c r="D834" s="620">
        <v>3566347</v>
      </c>
      <c r="E834" s="620">
        <v>24677207241</v>
      </c>
      <c r="F834" s="620">
        <v>7025</v>
      </c>
      <c r="G834" s="620">
        <v>6851</v>
      </c>
      <c r="H834" s="620">
        <v>6954</v>
      </c>
      <c r="I834" s="620">
        <v>-71</v>
      </c>
      <c r="J834" s="620">
        <v>-1.01</v>
      </c>
      <c r="K834" s="620">
        <v>6919</v>
      </c>
      <c r="L834" s="620">
        <v>-106</v>
      </c>
      <c r="M834" s="620">
        <v>-1.51</v>
      </c>
      <c r="N834" s="620">
        <v>6836</v>
      </c>
      <c r="O834" s="620">
        <v>7230</v>
      </c>
      <c r="P834" s="620" t="s">
        <v>3043</v>
      </c>
      <c r="Q834" s="620" t="s">
        <v>3044</v>
      </c>
      <c r="R834" s="620">
        <v>1</v>
      </c>
      <c r="S834" s="620">
        <v>4745</v>
      </c>
      <c r="T834" s="620">
        <v>6850</v>
      </c>
      <c r="U834" s="620">
        <v>6955</v>
      </c>
      <c r="V834" s="620">
        <v>8757</v>
      </c>
      <c r="W834" s="620">
        <v>2</v>
      </c>
    </row>
    <row r="835" spans="1:23" x14ac:dyDescent="0.25">
      <c r="A835" s="620" t="s">
        <v>3045</v>
      </c>
      <c r="B835" s="620" t="s">
        <v>3046</v>
      </c>
      <c r="C835" s="620">
        <v>127</v>
      </c>
      <c r="D835" s="620">
        <v>363525</v>
      </c>
      <c r="E835" s="620">
        <v>3968238900</v>
      </c>
      <c r="F835" s="620">
        <v>11490</v>
      </c>
      <c r="G835" s="620">
        <v>10916</v>
      </c>
      <c r="H835" s="620">
        <v>10916</v>
      </c>
      <c r="I835" s="620">
        <v>-574</v>
      </c>
      <c r="J835" s="620">
        <v>-5</v>
      </c>
      <c r="K835" s="620">
        <v>10916</v>
      </c>
      <c r="L835" s="620">
        <v>-574</v>
      </c>
      <c r="M835" s="620">
        <v>-5</v>
      </c>
      <c r="N835" s="620">
        <v>10916</v>
      </c>
      <c r="O835" s="620">
        <v>10916</v>
      </c>
      <c r="P835" s="620" t="s">
        <v>3047</v>
      </c>
      <c r="Q835" s="620" t="s">
        <v>3048</v>
      </c>
      <c r="R835" s="620">
        <v>1</v>
      </c>
      <c r="S835" s="620">
        <v>5000</v>
      </c>
      <c r="T835" s="620">
        <v>9120</v>
      </c>
      <c r="U835" s="620">
        <v>10916</v>
      </c>
      <c r="V835" s="620">
        <v>448995</v>
      </c>
      <c r="W835" s="620">
        <v>40</v>
      </c>
    </row>
    <row r="836" spans="1:23" x14ac:dyDescent="0.25">
      <c r="A836" s="620" t="s">
        <v>3049</v>
      </c>
      <c r="B836" s="620" t="s">
        <v>3050</v>
      </c>
      <c r="C836" s="620">
        <v>0</v>
      </c>
      <c r="D836" s="620">
        <v>0</v>
      </c>
      <c r="E836" s="620">
        <v>0</v>
      </c>
      <c r="F836" s="620">
        <v>190019</v>
      </c>
      <c r="G836" s="620">
        <v>0</v>
      </c>
      <c r="H836" s="620">
        <v>190000</v>
      </c>
      <c r="I836" s="620">
        <v>-19</v>
      </c>
      <c r="J836" s="620">
        <v>-0.01</v>
      </c>
      <c r="K836" s="620">
        <v>190019</v>
      </c>
      <c r="L836" s="620">
        <v>0</v>
      </c>
      <c r="M836" s="620">
        <v>0</v>
      </c>
      <c r="N836" s="620">
        <v>0</v>
      </c>
      <c r="O836" s="620">
        <v>0</v>
      </c>
      <c r="R836" s="620">
        <v>0</v>
      </c>
      <c r="S836" s="620">
        <v>0</v>
      </c>
      <c r="T836" s="620">
        <v>0</v>
      </c>
      <c r="U836" s="620">
        <v>180519</v>
      </c>
      <c r="V836" s="620">
        <v>6</v>
      </c>
      <c r="W836" s="620">
        <v>2</v>
      </c>
    </row>
    <row r="837" spans="1:23" x14ac:dyDescent="0.25">
      <c r="A837" s="620" t="s">
        <v>3051</v>
      </c>
      <c r="B837" s="620" t="s">
        <v>3052</v>
      </c>
      <c r="C837" s="620">
        <v>25</v>
      </c>
      <c r="D837" s="620">
        <v>3848</v>
      </c>
      <c r="E837" s="620">
        <v>3645793864</v>
      </c>
      <c r="F837" s="620">
        <v>945889</v>
      </c>
      <c r="G837" s="620">
        <v>944501</v>
      </c>
      <c r="H837" s="620">
        <v>952358</v>
      </c>
      <c r="I837" s="620">
        <v>6469</v>
      </c>
      <c r="J837" s="620">
        <v>0.68</v>
      </c>
      <c r="K837" s="620">
        <v>947452</v>
      </c>
      <c r="L837" s="620">
        <v>1563</v>
      </c>
      <c r="M837" s="620">
        <v>0.17</v>
      </c>
      <c r="N837" s="620">
        <v>944501</v>
      </c>
      <c r="O837" s="620">
        <v>953049</v>
      </c>
      <c r="R837" s="620">
        <v>1</v>
      </c>
      <c r="S837" s="620">
        <v>5</v>
      </c>
      <c r="T837" s="620">
        <v>946510</v>
      </c>
      <c r="U837" s="620">
        <v>952358</v>
      </c>
      <c r="V837" s="620">
        <v>474</v>
      </c>
      <c r="W837" s="620">
        <v>1</v>
      </c>
    </row>
    <row r="838" spans="1:23" x14ac:dyDescent="0.25">
      <c r="A838" s="620" t="s">
        <v>3053</v>
      </c>
      <c r="B838" s="620" t="s">
        <v>2845</v>
      </c>
      <c r="C838" s="620">
        <v>1</v>
      </c>
      <c r="D838" s="620">
        <v>420000</v>
      </c>
      <c r="E838" s="620">
        <v>414414000000</v>
      </c>
      <c r="F838" s="620">
        <v>985820</v>
      </c>
      <c r="G838" s="620">
        <v>986700</v>
      </c>
      <c r="H838" s="620">
        <v>986700</v>
      </c>
      <c r="I838" s="620">
        <v>880</v>
      </c>
      <c r="J838" s="620">
        <v>0.09</v>
      </c>
      <c r="K838" s="620">
        <v>986700</v>
      </c>
      <c r="L838" s="620">
        <v>880</v>
      </c>
      <c r="M838" s="620">
        <v>0.09</v>
      </c>
      <c r="N838" s="620">
        <v>986700</v>
      </c>
      <c r="O838" s="620">
        <v>986700</v>
      </c>
      <c r="R838" s="620">
        <v>0</v>
      </c>
      <c r="S838" s="620">
        <v>0</v>
      </c>
      <c r="T838" s="620">
        <v>0</v>
      </c>
      <c r="U838" s="620">
        <v>0</v>
      </c>
      <c r="V838" s="620">
        <v>0</v>
      </c>
      <c r="W838" s="620">
        <v>0</v>
      </c>
    </row>
    <row r="839" spans="1:23" x14ac:dyDescent="0.25">
      <c r="A839" s="620" t="s">
        <v>3054</v>
      </c>
      <c r="B839" s="620" t="s">
        <v>3055</v>
      </c>
      <c r="C839" s="620">
        <v>0</v>
      </c>
      <c r="D839" s="620">
        <v>0</v>
      </c>
      <c r="E839" s="620">
        <v>0</v>
      </c>
      <c r="F839" s="620">
        <v>1</v>
      </c>
      <c r="G839" s="620">
        <v>0</v>
      </c>
      <c r="H839" s="620">
        <v>1</v>
      </c>
      <c r="I839" s="620">
        <v>0</v>
      </c>
      <c r="J839" s="620">
        <v>0</v>
      </c>
      <c r="K839" s="620">
        <v>1</v>
      </c>
      <c r="L839" s="620">
        <v>0</v>
      </c>
      <c r="M839" s="620">
        <v>0</v>
      </c>
      <c r="N839" s="620">
        <v>0</v>
      </c>
      <c r="O839" s="620">
        <v>0</v>
      </c>
      <c r="R839" s="620">
        <v>1</v>
      </c>
      <c r="S839" s="620">
        <v>5</v>
      </c>
      <c r="T839" s="620">
        <v>52</v>
      </c>
      <c r="U839" s="620">
        <v>0</v>
      </c>
      <c r="V839" s="620">
        <v>0</v>
      </c>
      <c r="W839" s="620">
        <v>0</v>
      </c>
    </row>
    <row r="840" spans="1:23" x14ac:dyDescent="0.25">
      <c r="A840" s="620" t="s">
        <v>3056</v>
      </c>
      <c r="B840" s="620" t="s">
        <v>3057</v>
      </c>
      <c r="C840" s="620">
        <v>0</v>
      </c>
      <c r="D840" s="620">
        <v>0</v>
      </c>
      <c r="E840" s="620">
        <v>0</v>
      </c>
      <c r="F840" s="620">
        <v>950000</v>
      </c>
      <c r="G840" s="620">
        <v>0</v>
      </c>
      <c r="H840" s="620">
        <v>950000</v>
      </c>
      <c r="I840" s="620">
        <v>0</v>
      </c>
      <c r="J840" s="620">
        <v>0</v>
      </c>
      <c r="K840" s="620">
        <v>950000</v>
      </c>
      <c r="L840" s="620">
        <v>0</v>
      </c>
      <c r="M840" s="620">
        <v>0</v>
      </c>
      <c r="N840" s="620">
        <v>0</v>
      </c>
      <c r="O840" s="620">
        <v>0</v>
      </c>
      <c r="R840" s="620">
        <v>1</v>
      </c>
      <c r="S840" s="620">
        <v>375</v>
      </c>
      <c r="T840" s="620">
        <v>992000</v>
      </c>
      <c r="U840" s="620">
        <v>1011840</v>
      </c>
      <c r="V840" s="620">
        <v>375</v>
      </c>
      <c r="W840" s="620">
        <v>1</v>
      </c>
    </row>
    <row r="841" spans="1:23" x14ac:dyDescent="0.25">
      <c r="A841" s="620" t="s">
        <v>3058</v>
      </c>
      <c r="B841" s="620" t="s">
        <v>3059</v>
      </c>
      <c r="C841" s="620">
        <v>13</v>
      </c>
      <c r="D841" s="620">
        <v>3370</v>
      </c>
      <c r="E841" s="620">
        <v>2797127326</v>
      </c>
      <c r="F841" s="620">
        <v>826018</v>
      </c>
      <c r="G841" s="620">
        <v>830099</v>
      </c>
      <c r="H841" s="620">
        <v>830000</v>
      </c>
      <c r="I841" s="620">
        <v>3982</v>
      </c>
      <c r="J841" s="620">
        <v>0.48</v>
      </c>
      <c r="K841" s="620">
        <v>830008</v>
      </c>
      <c r="L841" s="620">
        <v>3990</v>
      </c>
      <c r="M841" s="620">
        <v>0.48</v>
      </c>
      <c r="N841" s="620">
        <v>830000</v>
      </c>
      <c r="O841" s="620">
        <v>840000</v>
      </c>
      <c r="R841" s="620">
        <v>1</v>
      </c>
      <c r="S841" s="620">
        <v>15</v>
      </c>
      <c r="T841" s="620">
        <v>825002</v>
      </c>
      <c r="U841" s="620">
        <v>838888</v>
      </c>
      <c r="V841" s="620">
        <v>1113</v>
      </c>
      <c r="W841" s="620">
        <v>1</v>
      </c>
    </row>
    <row r="842" spans="1:23" x14ac:dyDescent="0.25">
      <c r="A842" s="620" t="s">
        <v>3060</v>
      </c>
      <c r="B842" s="620" t="s">
        <v>3061</v>
      </c>
      <c r="C842" s="620">
        <v>481</v>
      </c>
      <c r="D842" s="620">
        <v>2705850</v>
      </c>
      <c r="E842" s="620">
        <v>22039148250</v>
      </c>
      <c r="F842" s="620">
        <v>8573</v>
      </c>
      <c r="G842" s="620">
        <v>8145</v>
      </c>
      <c r="H842" s="620">
        <v>8145</v>
      </c>
      <c r="I842" s="620">
        <v>-428</v>
      </c>
      <c r="J842" s="620">
        <v>-4.99</v>
      </c>
      <c r="K842" s="620">
        <v>8145</v>
      </c>
      <c r="L842" s="620">
        <v>-428</v>
      </c>
      <c r="M842" s="620">
        <v>-4.99</v>
      </c>
      <c r="N842" s="620">
        <v>8145</v>
      </c>
      <c r="O842" s="620">
        <v>8145</v>
      </c>
      <c r="P842" s="620" t="s">
        <v>3062</v>
      </c>
      <c r="Q842" s="620" t="s">
        <v>3063</v>
      </c>
      <c r="R842" s="620">
        <v>1</v>
      </c>
      <c r="S842" s="620">
        <v>139</v>
      </c>
      <c r="T842" s="620">
        <v>7224</v>
      </c>
      <c r="U842" s="620">
        <v>8145</v>
      </c>
      <c r="V842" s="620">
        <v>1133372</v>
      </c>
      <c r="W842" s="620">
        <v>82</v>
      </c>
    </row>
    <row r="843" spans="1:23" x14ac:dyDescent="0.25">
      <c r="A843" s="620" t="s">
        <v>3064</v>
      </c>
      <c r="B843" s="620" t="s">
        <v>3065</v>
      </c>
      <c r="C843" s="620">
        <v>12</v>
      </c>
      <c r="D843" s="620">
        <v>551</v>
      </c>
      <c r="E843" s="620">
        <v>488743000</v>
      </c>
      <c r="F843" s="620">
        <v>1400</v>
      </c>
      <c r="G843" s="620">
        <v>1100</v>
      </c>
      <c r="H843" s="620">
        <v>760</v>
      </c>
      <c r="I843" s="620">
        <v>-640</v>
      </c>
      <c r="J843" s="620">
        <v>-45.71</v>
      </c>
      <c r="K843" s="620">
        <v>887</v>
      </c>
      <c r="L843" s="620">
        <v>-513</v>
      </c>
      <c r="M843" s="620">
        <v>-36.64</v>
      </c>
      <c r="N843" s="620">
        <v>760</v>
      </c>
      <c r="O843" s="620">
        <v>1100</v>
      </c>
      <c r="R843" s="620">
        <v>10</v>
      </c>
      <c r="S843" s="620">
        <v>1000</v>
      </c>
      <c r="T843" s="620">
        <v>750</v>
      </c>
      <c r="U843" s="620">
        <v>1100</v>
      </c>
      <c r="V843" s="620">
        <v>90</v>
      </c>
      <c r="W843" s="620">
        <v>1</v>
      </c>
    </row>
    <row r="844" spans="1:23" x14ac:dyDescent="0.25">
      <c r="A844" s="620" t="s">
        <v>3066</v>
      </c>
      <c r="B844" s="620" t="s">
        <v>3067</v>
      </c>
      <c r="C844" s="620">
        <v>563</v>
      </c>
      <c r="D844" s="620">
        <v>2101173</v>
      </c>
      <c r="E844" s="620">
        <v>10924795743</v>
      </c>
      <c r="F844" s="620">
        <v>5409</v>
      </c>
      <c r="G844" s="620">
        <v>5231</v>
      </c>
      <c r="H844" s="620">
        <v>5139</v>
      </c>
      <c r="I844" s="620">
        <v>-270</v>
      </c>
      <c r="J844" s="620">
        <v>-4.99</v>
      </c>
      <c r="K844" s="620">
        <v>5199</v>
      </c>
      <c r="L844" s="620">
        <v>-210</v>
      </c>
      <c r="M844" s="620">
        <v>-3.88</v>
      </c>
      <c r="N844" s="620">
        <v>5139</v>
      </c>
      <c r="O844" s="620">
        <v>5364</v>
      </c>
      <c r="P844" s="620" t="s">
        <v>3068</v>
      </c>
      <c r="Q844" s="620" t="s">
        <v>3069</v>
      </c>
      <c r="R844" s="620">
        <v>1</v>
      </c>
      <c r="S844" s="620">
        <v>500</v>
      </c>
      <c r="T844" s="620">
        <v>4709</v>
      </c>
      <c r="U844" s="620">
        <v>5139</v>
      </c>
      <c r="V844" s="620">
        <v>285043</v>
      </c>
      <c r="W844" s="620">
        <v>15</v>
      </c>
    </row>
    <row r="845" spans="1:23" x14ac:dyDescent="0.25">
      <c r="A845" s="620" t="s">
        <v>3070</v>
      </c>
      <c r="B845" s="620" t="s">
        <v>3071</v>
      </c>
      <c r="C845" s="620">
        <v>676</v>
      </c>
      <c r="D845" s="620">
        <v>6972253</v>
      </c>
      <c r="E845" s="620">
        <v>20160350253</v>
      </c>
      <c r="F845" s="620">
        <v>2874</v>
      </c>
      <c r="G845" s="620">
        <v>2899</v>
      </c>
      <c r="H845" s="620">
        <v>2900</v>
      </c>
      <c r="I845" s="620">
        <v>26</v>
      </c>
      <c r="J845" s="620">
        <v>0.9</v>
      </c>
      <c r="K845" s="620">
        <v>2892</v>
      </c>
      <c r="L845" s="620">
        <v>18</v>
      </c>
      <c r="M845" s="620">
        <v>0.63</v>
      </c>
      <c r="N845" s="620">
        <v>2807</v>
      </c>
      <c r="O845" s="620">
        <v>2990</v>
      </c>
      <c r="P845" s="620" t="s">
        <v>3072</v>
      </c>
      <c r="Q845" s="620" t="s">
        <v>3073</v>
      </c>
      <c r="R845" s="620">
        <v>1</v>
      </c>
      <c r="S845" s="620">
        <v>1000</v>
      </c>
      <c r="T845" s="620">
        <v>2869</v>
      </c>
      <c r="U845" s="620">
        <v>2880</v>
      </c>
      <c r="V845" s="620">
        <v>100000</v>
      </c>
      <c r="W845" s="620">
        <v>1</v>
      </c>
    </row>
    <row r="846" spans="1:23" x14ac:dyDescent="0.25">
      <c r="A846" s="620" t="s">
        <v>3074</v>
      </c>
      <c r="B846" s="620" t="s">
        <v>3075</v>
      </c>
      <c r="C846" s="620">
        <v>0</v>
      </c>
      <c r="D846" s="620">
        <v>0</v>
      </c>
      <c r="E846" s="620">
        <v>0</v>
      </c>
      <c r="F846" s="620">
        <v>1000001</v>
      </c>
      <c r="G846" s="620">
        <v>0</v>
      </c>
      <c r="H846" s="620">
        <v>1000001</v>
      </c>
      <c r="I846" s="620">
        <v>0</v>
      </c>
      <c r="J846" s="620">
        <v>0</v>
      </c>
      <c r="K846" s="620">
        <v>1000001</v>
      </c>
      <c r="L846" s="620">
        <v>0</v>
      </c>
      <c r="M846" s="620">
        <v>0</v>
      </c>
      <c r="N846" s="620">
        <v>0</v>
      </c>
      <c r="O846" s="620">
        <v>0</v>
      </c>
      <c r="R846" s="620">
        <v>1</v>
      </c>
      <c r="S846" s="620">
        <v>1000</v>
      </c>
      <c r="T846" s="620">
        <v>1000001</v>
      </c>
      <c r="U846" s="620">
        <v>1010000</v>
      </c>
      <c r="V846" s="620">
        <v>500</v>
      </c>
      <c r="W846" s="620">
        <v>1</v>
      </c>
    </row>
    <row r="847" spans="1:23" x14ac:dyDescent="0.25">
      <c r="A847" s="620" t="s">
        <v>3076</v>
      </c>
      <c r="B847" s="620" t="s">
        <v>3077</v>
      </c>
      <c r="C847" s="620">
        <v>4</v>
      </c>
      <c r="D847" s="620">
        <v>10576</v>
      </c>
      <c r="E847" s="620">
        <v>9136159964</v>
      </c>
      <c r="F847" s="620">
        <v>861001</v>
      </c>
      <c r="G847" s="620">
        <v>861851</v>
      </c>
      <c r="H847" s="620">
        <v>870000</v>
      </c>
      <c r="I847" s="620">
        <v>8999</v>
      </c>
      <c r="J847" s="620">
        <v>1.05</v>
      </c>
      <c r="K847" s="620">
        <v>863858</v>
      </c>
      <c r="L847" s="620">
        <v>2857</v>
      </c>
      <c r="M847" s="620">
        <v>0.33</v>
      </c>
      <c r="N847" s="620">
        <v>861851</v>
      </c>
      <c r="O847" s="620">
        <v>870000</v>
      </c>
      <c r="R847" s="620">
        <v>1</v>
      </c>
      <c r="S847" s="620">
        <v>10</v>
      </c>
      <c r="T847" s="620">
        <v>829999</v>
      </c>
      <c r="U847" s="620">
        <v>870000</v>
      </c>
      <c r="V847" s="620">
        <v>433</v>
      </c>
      <c r="W847" s="620">
        <v>1</v>
      </c>
    </row>
    <row r="848" spans="1:23" x14ac:dyDescent="0.25">
      <c r="A848" s="620" t="s">
        <v>3078</v>
      </c>
      <c r="B848" s="620" t="s">
        <v>3079</v>
      </c>
      <c r="C848" s="620">
        <v>0</v>
      </c>
      <c r="D848" s="620">
        <v>0</v>
      </c>
      <c r="E848" s="620">
        <v>0</v>
      </c>
      <c r="F848" s="620">
        <v>1</v>
      </c>
      <c r="G848" s="620">
        <v>0</v>
      </c>
      <c r="H848" s="620">
        <v>1</v>
      </c>
      <c r="I848" s="620">
        <v>0</v>
      </c>
      <c r="J848" s="620">
        <v>0</v>
      </c>
      <c r="K848" s="620">
        <v>1</v>
      </c>
      <c r="L848" s="620">
        <v>0</v>
      </c>
      <c r="M848" s="620">
        <v>0</v>
      </c>
      <c r="N848" s="620">
        <v>0</v>
      </c>
      <c r="O848" s="620">
        <v>0</v>
      </c>
      <c r="R848" s="620">
        <v>1</v>
      </c>
      <c r="S848" s="620">
        <v>100</v>
      </c>
      <c r="T848" s="620">
        <v>40</v>
      </c>
      <c r="U848" s="620">
        <v>0</v>
      </c>
      <c r="V848" s="620">
        <v>0</v>
      </c>
      <c r="W848" s="620">
        <v>0</v>
      </c>
    </row>
    <row r="849" spans="1:23" x14ac:dyDescent="0.25">
      <c r="A849" s="620" t="s">
        <v>3080</v>
      </c>
      <c r="B849" s="620" t="s">
        <v>3081</v>
      </c>
      <c r="C849" s="620">
        <v>5</v>
      </c>
      <c r="D849" s="620">
        <v>247950</v>
      </c>
      <c r="E849" s="620">
        <v>686821500</v>
      </c>
      <c r="F849" s="620">
        <v>2522</v>
      </c>
      <c r="G849" s="620">
        <v>2770</v>
      </c>
      <c r="H849" s="620">
        <v>2770</v>
      </c>
      <c r="I849" s="620">
        <v>248</v>
      </c>
      <c r="J849" s="620">
        <v>9.83</v>
      </c>
      <c r="K849" s="620">
        <v>2770</v>
      </c>
      <c r="L849" s="620">
        <v>248</v>
      </c>
      <c r="M849" s="620">
        <v>9.83</v>
      </c>
      <c r="N849" s="620">
        <v>2770</v>
      </c>
      <c r="O849" s="620">
        <v>2770</v>
      </c>
      <c r="P849" s="620" t="s">
        <v>3082</v>
      </c>
      <c r="Q849" s="620" t="s">
        <v>3083</v>
      </c>
      <c r="R849" s="620">
        <v>6</v>
      </c>
      <c r="S849" s="620">
        <v>208850</v>
      </c>
      <c r="T849" s="620">
        <v>2770</v>
      </c>
      <c r="U849" s="620">
        <v>0</v>
      </c>
      <c r="V849" s="620">
        <v>0</v>
      </c>
      <c r="W849" s="620">
        <v>0</v>
      </c>
    </row>
    <row r="850" spans="1:23" x14ac:dyDescent="0.25">
      <c r="A850" s="620" t="s">
        <v>3084</v>
      </c>
      <c r="B850" s="620" t="s">
        <v>3085</v>
      </c>
      <c r="C850" s="620">
        <v>46</v>
      </c>
      <c r="D850" s="620">
        <v>36260</v>
      </c>
      <c r="E850" s="620">
        <v>296969400</v>
      </c>
      <c r="F850" s="620">
        <v>8443</v>
      </c>
      <c r="G850" s="620">
        <v>8190</v>
      </c>
      <c r="H850" s="620">
        <v>8190</v>
      </c>
      <c r="I850" s="620">
        <v>-253</v>
      </c>
      <c r="J850" s="620">
        <v>-3</v>
      </c>
      <c r="K850" s="620">
        <v>8190</v>
      </c>
      <c r="L850" s="620">
        <v>-253</v>
      </c>
      <c r="M850" s="620">
        <v>-3</v>
      </c>
      <c r="N850" s="620">
        <v>8190</v>
      </c>
      <c r="O850" s="620">
        <v>8190</v>
      </c>
      <c r="P850" s="620" t="s">
        <v>3086</v>
      </c>
      <c r="Q850" s="620" t="s">
        <v>2716</v>
      </c>
      <c r="R850" s="620">
        <v>0</v>
      </c>
      <c r="S850" s="620">
        <v>0</v>
      </c>
      <c r="T850" s="620">
        <v>0</v>
      </c>
      <c r="U850" s="620">
        <v>8190</v>
      </c>
      <c r="V850" s="620">
        <v>397986</v>
      </c>
      <c r="W850" s="620">
        <v>54</v>
      </c>
    </row>
    <row r="851" spans="1:23" x14ac:dyDescent="0.25">
      <c r="A851" s="620" t="s">
        <v>3087</v>
      </c>
      <c r="B851" s="620" t="s">
        <v>3088</v>
      </c>
      <c r="C851" s="620">
        <v>329</v>
      </c>
      <c r="D851" s="620">
        <v>406581</v>
      </c>
      <c r="E851" s="620">
        <v>10078438356</v>
      </c>
      <c r="F851" s="620">
        <v>25326</v>
      </c>
      <c r="G851" s="620">
        <v>24200</v>
      </c>
      <c r="H851" s="620">
        <v>24060</v>
      </c>
      <c r="I851" s="620">
        <v>-1266</v>
      </c>
      <c r="J851" s="620">
        <v>-5</v>
      </c>
      <c r="K851" s="620">
        <v>24788</v>
      </c>
      <c r="L851" s="620">
        <v>-538</v>
      </c>
      <c r="M851" s="620">
        <v>-2.12</v>
      </c>
      <c r="N851" s="620">
        <v>24060</v>
      </c>
      <c r="O851" s="620">
        <v>26390</v>
      </c>
      <c r="P851" s="620" t="s">
        <v>789</v>
      </c>
      <c r="Q851" s="620" t="s">
        <v>3089</v>
      </c>
      <c r="R851" s="620">
        <v>0</v>
      </c>
      <c r="S851" s="620">
        <v>0</v>
      </c>
      <c r="T851" s="620">
        <v>0</v>
      </c>
      <c r="U851" s="620">
        <v>24060</v>
      </c>
      <c r="V851" s="620">
        <v>22262</v>
      </c>
      <c r="W851" s="620">
        <v>3</v>
      </c>
    </row>
    <row r="852" spans="1:23" x14ac:dyDescent="0.25">
      <c r="A852" s="620" t="s">
        <v>3090</v>
      </c>
      <c r="B852" s="620" t="s">
        <v>3091</v>
      </c>
      <c r="C852" s="620">
        <v>18</v>
      </c>
      <c r="D852" s="620">
        <v>5025</v>
      </c>
      <c r="E852" s="620">
        <v>409465640</v>
      </c>
      <c r="F852" s="620">
        <v>80809</v>
      </c>
      <c r="G852" s="620">
        <v>80500</v>
      </c>
      <c r="H852" s="620">
        <v>81500</v>
      </c>
      <c r="I852" s="620">
        <v>691</v>
      </c>
      <c r="J852" s="620">
        <v>0.86</v>
      </c>
      <c r="K852" s="620">
        <v>81486</v>
      </c>
      <c r="L852" s="620">
        <v>677</v>
      </c>
      <c r="M852" s="620">
        <v>0.84</v>
      </c>
      <c r="N852" s="620">
        <v>80500</v>
      </c>
      <c r="O852" s="620">
        <v>81500</v>
      </c>
      <c r="R852" s="620">
        <v>1</v>
      </c>
      <c r="S852" s="620">
        <v>100</v>
      </c>
      <c r="T852" s="620">
        <v>80001</v>
      </c>
      <c r="U852" s="620">
        <v>81500</v>
      </c>
      <c r="V852" s="620">
        <v>57</v>
      </c>
      <c r="W852" s="620">
        <v>1</v>
      </c>
    </row>
    <row r="853" spans="1:23" x14ac:dyDescent="0.25">
      <c r="A853" s="620" t="s">
        <v>3092</v>
      </c>
      <c r="B853" s="620" t="s">
        <v>3093</v>
      </c>
      <c r="C853" s="620">
        <v>303</v>
      </c>
      <c r="D853" s="620">
        <v>1951608</v>
      </c>
      <c r="E853" s="620">
        <v>6149616792</v>
      </c>
      <c r="F853" s="620">
        <v>3315</v>
      </c>
      <c r="G853" s="620">
        <v>3150</v>
      </c>
      <c r="H853" s="620">
        <v>3150</v>
      </c>
      <c r="I853" s="620">
        <v>-165</v>
      </c>
      <c r="J853" s="620">
        <v>-4.9800000000000004</v>
      </c>
      <c r="K853" s="620">
        <v>3151</v>
      </c>
      <c r="L853" s="620">
        <v>-164</v>
      </c>
      <c r="M853" s="620">
        <v>-4.95</v>
      </c>
      <c r="N853" s="620">
        <v>3150</v>
      </c>
      <c r="O853" s="620">
        <v>3196</v>
      </c>
      <c r="P853" s="620" t="s">
        <v>3094</v>
      </c>
      <c r="Q853" s="620" t="s">
        <v>3095</v>
      </c>
      <c r="R853" s="620">
        <v>0</v>
      </c>
      <c r="S853" s="620">
        <v>0</v>
      </c>
      <c r="T853" s="620">
        <v>0</v>
      </c>
      <c r="U853" s="620">
        <v>3150</v>
      </c>
      <c r="V853" s="620">
        <v>584496</v>
      </c>
      <c r="W853" s="620">
        <v>31</v>
      </c>
    </row>
    <row r="854" spans="1:23" x14ac:dyDescent="0.25">
      <c r="A854" s="620" t="s">
        <v>3096</v>
      </c>
      <c r="B854" s="620" t="s">
        <v>2447</v>
      </c>
      <c r="C854" s="620">
        <v>467</v>
      </c>
      <c r="D854" s="620">
        <v>4958008</v>
      </c>
      <c r="E854" s="620">
        <v>64685327101</v>
      </c>
      <c r="F854" s="620">
        <v>13118</v>
      </c>
      <c r="G854" s="620">
        <v>13054</v>
      </c>
      <c r="H854" s="620">
        <v>13032</v>
      </c>
      <c r="I854" s="620">
        <v>-86</v>
      </c>
      <c r="J854" s="620">
        <v>-0.66</v>
      </c>
      <c r="K854" s="620">
        <v>13047</v>
      </c>
      <c r="L854" s="620">
        <v>-71</v>
      </c>
      <c r="M854" s="620">
        <v>-0.54</v>
      </c>
      <c r="N854" s="620">
        <v>13003</v>
      </c>
      <c r="O854" s="620">
        <v>13224</v>
      </c>
      <c r="R854" s="620">
        <v>1</v>
      </c>
      <c r="S854" s="620">
        <v>8000</v>
      </c>
      <c r="T854" s="620">
        <v>13002</v>
      </c>
      <c r="U854" s="620">
        <v>13197</v>
      </c>
      <c r="V854" s="620">
        <v>50000</v>
      </c>
      <c r="W854" s="620">
        <v>1</v>
      </c>
    </row>
    <row r="855" spans="1:23" x14ac:dyDescent="0.25">
      <c r="A855" s="620" t="s">
        <v>3097</v>
      </c>
      <c r="B855" s="620" t="s">
        <v>3098</v>
      </c>
      <c r="C855" s="620">
        <v>692</v>
      </c>
      <c r="D855" s="620">
        <v>5438792</v>
      </c>
      <c r="E855" s="620">
        <v>24216634250</v>
      </c>
      <c r="F855" s="620">
        <v>4686</v>
      </c>
      <c r="G855" s="620">
        <v>4452</v>
      </c>
      <c r="H855" s="620">
        <v>4452</v>
      </c>
      <c r="I855" s="620">
        <v>-234</v>
      </c>
      <c r="J855" s="620">
        <v>-4.99</v>
      </c>
      <c r="K855" s="620">
        <v>4453</v>
      </c>
      <c r="L855" s="620">
        <v>-233</v>
      </c>
      <c r="M855" s="620">
        <v>-4.97</v>
      </c>
      <c r="N855" s="620">
        <v>4452</v>
      </c>
      <c r="O855" s="620">
        <v>4622</v>
      </c>
      <c r="P855" s="620" t="s">
        <v>3099</v>
      </c>
      <c r="Q855" s="620" t="s">
        <v>3100</v>
      </c>
      <c r="R855" s="620">
        <v>1</v>
      </c>
      <c r="S855" s="620">
        <v>229</v>
      </c>
      <c r="T855" s="620">
        <v>4380</v>
      </c>
      <c r="U855" s="620">
        <v>4452</v>
      </c>
      <c r="V855" s="620">
        <v>967960</v>
      </c>
      <c r="W855" s="620">
        <v>59</v>
      </c>
    </row>
    <row r="856" spans="1:23" x14ac:dyDescent="0.25">
      <c r="A856" s="620" t="s">
        <v>3101</v>
      </c>
      <c r="B856" s="620" t="s">
        <v>3102</v>
      </c>
      <c r="C856" s="620">
        <v>297</v>
      </c>
      <c r="D856" s="620">
        <v>2035693</v>
      </c>
      <c r="E856" s="620">
        <v>11198347193</v>
      </c>
      <c r="F856" s="620">
        <v>5790</v>
      </c>
      <c r="G856" s="620">
        <v>5501</v>
      </c>
      <c r="H856" s="620">
        <v>5501</v>
      </c>
      <c r="I856" s="620">
        <v>-289</v>
      </c>
      <c r="J856" s="620">
        <v>-4.99</v>
      </c>
      <c r="K856" s="620">
        <v>5501</v>
      </c>
      <c r="L856" s="620">
        <v>-289</v>
      </c>
      <c r="M856" s="620">
        <v>-4.99</v>
      </c>
      <c r="N856" s="620">
        <v>5501</v>
      </c>
      <c r="O856" s="620">
        <v>5501</v>
      </c>
      <c r="P856" s="620" t="s">
        <v>3103</v>
      </c>
      <c r="Q856" s="620" t="s">
        <v>2546</v>
      </c>
      <c r="R856" s="620">
        <v>1</v>
      </c>
      <c r="S856" s="620">
        <v>961</v>
      </c>
      <c r="T856" s="620">
        <v>4081</v>
      </c>
      <c r="U856" s="620">
        <v>5501</v>
      </c>
      <c r="V856" s="620">
        <v>6341824</v>
      </c>
      <c r="W856" s="620">
        <v>406</v>
      </c>
    </row>
    <row r="857" spans="1:23" x14ac:dyDescent="0.25">
      <c r="A857" s="620" t="s">
        <v>3104</v>
      </c>
      <c r="B857" s="620" t="s">
        <v>3105</v>
      </c>
      <c r="C857" s="620">
        <v>12</v>
      </c>
      <c r="D857" s="620">
        <v>3565</v>
      </c>
      <c r="E857" s="620">
        <v>28790940</v>
      </c>
      <c r="F857" s="620">
        <v>8325</v>
      </c>
      <c r="G857" s="620">
        <v>8076</v>
      </c>
      <c r="H857" s="620">
        <v>8076</v>
      </c>
      <c r="I857" s="620">
        <v>-249</v>
      </c>
      <c r="J857" s="620">
        <v>-2.99</v>
      </c>
      <c r="K857" s="620">
        <v>8076</v>
      </c>
      <c r="L857" s="620">
        <v>-249</v>
      </c>
      <c r="M857" s="620">
        <v>-2.99</v>
      </c>
      <c r="N857" s="620">
        <v>8076</v>
      </c>
      <c r="O857" s="620">
        <v>8076</v>
      </c>
      <c r="P857" s="620" t="s">
        <v>3106</v>
      </c>
      <c r="Q857" s="620" t="s">
        <v>3107</v>
      </c>
      <c r="R857" s="620">
        <v>0</v>
      </c>
      <c r="S857" s="620">
        <v>0</v>
      </c>
      <c r="T857" s="620">
        <v>0</v>
      </c>
      <c r="U857" s="620">
        <v>8076</v>
      </c>
      <c r="V857" s="620">
        <v>5476</v>
      </c>
      <c r="W857" s="620">
        <v>3</v>
      </c>
    </row>
    <row r="858" spans="1:23" x14ac:dyDescent="0.25">
      <c r="A858" s="620" t="s">
        <v>3108</v>
      </c>
      <c r="B858" s="620" t="s">
        <v>3109</v>
      </c>
      <c r="C858" s="620">
        <v>50</v>
      </c>
      <c r="D858" s="620">
        <v>179682</v>
      </c>
      <c r="E858" s="620">
        <v>1289757396</v>
      </c>
      <c r="F858" s="620">
        <v>7400</v>
      </c>
      <c r="G858" s="620">
        <v>7178</v>
      </c>
      <c r="H858" s="620">
        <v>7178</v>
      </c>
      <c r="I858" s="620">
        <v>-222</v>
      </c>
      <c r="J858" s="620">
        <v>-3</v>
      </c>
      <c r="K858" s="620">
        <v>7178</v>
      </c>
      <c r="L858" s="620">
        <v>-222</v>
      </c>
      <c r="M858" s="620">
        <v>-3</v>
      </c>
      <c r="N858" s="620">
        <v>7178</v>
      </c>
      <c r="O858" s="620">
        <v>7178</v>
      </c>
      <c r="P858" s="620" t="s">
        <v>3110</v>
      </c>
      <c r="Q858" s="620" t="s">
        <v>3111</v>
      </c>
      <c r="R858" s="620">
        <v>0</v>
      </c>
      <c r="S858" s="620">
        <v>0</v>
      </c>
      <c r="T858" s="620">
        <v>0</v>
      </c>
      <c r="U858" s="620">
        <v>7178</v>
      </c>
      <c r="V858" s="620">
        <v>653755</v>
      </c>
      <c r="W858" s="620">
        <v>65</v>
      </c>
    </row>
    <row r="859" spans="1:23" x14ac:dyDescent="0.25">
      <c r="A859" s="620" t="s">
        <v>3112</v>
      </c>
      <c r="B859" s="620" t="s">
        <v>3113</v>
      </c>
      <c r="C859" s="620">
        <v>0</v>
      </c>
      <c r="D859" s="620">
        <v>0</v>
      </c>
      <c r="E859" s="620">
        <v>0</v>
      </c>
      <c r="F859" s="620">
        <v>1</v>
      </c>
      <c r="G859" s="620">
        <v>0</v>
      </c>
      <c r="H859" s="620">
        <v>1</v>
      </c>
      <c r="I859" s="620">
        <v>0</v>
      </c>
      <c r="J859" s="620">
        <v>0</v>
      </c>
      <c r="K859" s="620">
        <v>1</v>
      </c>
      <c r="L859" s="620">
        <v>0</v>
      </c>
      <c r="M859" s="620">
        <v>0</v>
      </c>
      <c r="N859" s="620">
        <v>0</v>
      </c>
      <c r="O859" s="620">
        <v>0</v>
      </c>
      <c r="R859" s="620">
        <v>1</v>
      </c>
      <c r="S859" s="620">
        <v>100</v>
      </c>
      <c r="T859" s="620">
        <v>100</v>
      </c>
      <c r="U859" s="620">
        <v>0</v>
      </c>
      <c r="V859" s="620">
        <v>0</v>
      </c>
      <c r="W859" s="620">
        <v>0</v>
      </c>
    </row>
    <row r="860" spans="1:23" x14ac:dyDescent="0.25">
      <c r="A860" s="620" t="s">
        <v>3114</v>
      </c>
      <c r="B860" s="620" t="s">
        <v>3115</v>
      </c>
      <c r="C860" s="620">
        <v>0</v>
      </c>
      <c r="D860" s="620">
        <v>0</v>
      </c>
      <c r="E860" s="620">
        <v>0</v>
      </c>
      <c r="F860" s="620">
        <v>773</v>
      </c>
      <c r="G860" s="620">
        <v>0</v>
      </c>
      <c r="H860" s="620">
        <v>776</v>
      </c>
      <c r="I860" s="620">
        <v>3</v>
      </c>
      <c r="J860" s="620">
        <v>0.39</v>
      </c>
      <c r="K860" s="620">
        <v>773</v>
      </c>
      <c r="L860" s="620">
        <v>0</v>
      </c>
      <c r="M860" s="620">
        <v>0</v>
      </c>
      <c r="N860" s="620">
        <v>0</v>
      </c>
      <c r="O860" s="620">
        <v>0</v>
      </c>
      <c r="R860" s="620">
        <v>2</v>
      </c>
      <c r="S860" s="620">
        <v>30</v>
      </c>
      <c r="T860" s="620">
        <v>13</v>
      </c>
      <c r="U860" s="620">
        <v>0</v>
      </c>
      <c r="V860" s="620">
        <v>0</v>
      </c>
      <c r="W860" s="620">
        <v>0</v>
      </c>
    </row>
    <row r="861" spans="1:23" x14ac:dyDescent="0.25">
      <c r="A861" s="620" t="s">
        <v>3116</v>
      </c>
      <c r="B861" s="620" t="s">
        <v>3117</v>
      </c>
      <c r="C861" s="620">
        <v>2</v>
      </c>
      <c r="D861" s="620">
        <v>30</v>
      </c>
      <c r="E861" s="620">
        <v>5805330</v>
      </c>
      <c r="F861" s="620">
        <v>184297</v>
      </c>
      <c r="G861" s="620">
        <v>193511</v>
      </c>
      <c r="H861" s="620">
        <v>193511</v>
      </c>
      <c r="I861" s="620">
        <v>9214</v>
      </c>
      <c r="J861" s="620">
        <v>5</v>
      </c>
      <c r="K861" s="620">
        <v>193511</v>
      </c>
      <c r="L861" s="620">
        <v>9214</v>
      </c>
      <c r="M861" s="620">
        <v>5</v>
      </c>
      <c r="N861" s="620">
        <v>193511</v>
      </c>
      <c r="O861" s="620">
        <v>193511</v>
      </c>
      <c r="R861" s="620">
        <v>0</v>
      </c>
      <c r="S861" s="620">
        <v>0</v>
      </c>
      <c r="T861" s="620">
        <v>0</v>
      </c>
      <c r="U861" s="620">
        <v>0</v>
      </c>
      <c r="V861" s="620">
        <v>0</v>
      </c>
      <c r="W861" s="620">
        <v>0</v>
      </c>
    </row>
    <row r="862" spans="1:23" x14ac:dyDescent="0.25">
      <c r="A862" s="620" t="s">
        <v>3118</v>
      </c>
      <c r="B862" s="620" t="s">
        <v>3119</v>
      </c>
      <c r="C862" s="620">
        <v>0</v>
      </c>
      <c r="D862" s="620">
        <v>0</v>
      </c>
      <c r="E862" s="620">
        <v>0</v>
      </c>
      <c r="F862" s="620">
        <v>1</v>
      </c>
      <c r="G862" s="620">
        <v>0</v>
      </c>
      <c r="H862" s="620">
        <v>1</v>
      </c>
      <c r="I862" s="620">
        <v>0</v>
      </c>
      <c r="J862" s="620">
        <v>0</v>
      </c>
      <c r="K862" s="620">
        <v>1</v>
      </c>
      <c r="L862" s="620">
        <v>0</v>
      </c>
      <c r="M862" s="620">
        <v>0</v>
      </c>
      <c r="N862" s="620">
        <v>0</v>
      </c>
      <c r="O862" s="620">
        <v>0</v>
      </c>
      <c r="R862" s="620">
        <v>1</v>
      </c>
      <c r="S862" s="620">
        <v>50</v>
      </c>
      <c r="T862" s="620">
        <v>1</v>
      </c>
      <c r="U862" s="620">
        <v>0</v>
      </c>
      <c r="V862" s="620">
        <v>0</v>
      </c>
      <c r="W862" s="620">
        <v>0</v>
      </c>
    </row>
    <row r="863" spans="1:23" x14ac:dyDescent="0.25">
      <c r="A863" s="620" t="s">
        <v>3120</v>
      </c>
      <c r="B863" s="620" t="s">
        <v>3121</v>
      </c>
      <c r="C863" s="620">
        <v>0</v>
      </c>
      <c r="D863" s="620">
        <v>0</v>
      </c>
      <c r="E863" s="620">
        <v>0</v>
      </c>
      <c r="F863" s="620">
        <v>6391</v>
      </c>
      <c r="G863" s="620">
        <v>0</v>
      </c>
      <c r="H863" s="620">
        <v>6386</v>
      </c>
      <c r="I863" s="620">
        <v>-5</v>
      </c>
      <c r="J863" s="620">
        <v>-0.08</v>
      </c>
      <c r="K863" s="620">
        <v>6391</v>
      </c>
      <c r="L863" s="620">
        <v>0</v>
      </c>
      <c r="M863" s="620">
        <v>0</v>
      </c>
      <c r="N863" s="620">
        <v>0</v>
      </c>
      <c r="O863" s="620">
        <v>0</v>
      </c>
      <c r="P863" s="620" t="s">
        <v>3122</v>
      </c>
      <c r="Q863" s="620" t="s">
        <v>3123</v>
      </c>
      <c r="R863" s="620">
        <v>0</v>
      </c>
      <c r="S863" s="620">
        <v>0</v>
      </c>
      <c r="T863" s="620">
        <v>0</v>
      </c>
      <c r="U863" s="620">
        <v>6264</v>
      </c>
      <c r="V863" s="620">
        <v>5751</v>
      </c>
      <c r="W863" s="620">
        <v>3</v>
      </c>
    </row>
    <row r="864" spans="1:23" x14ac:dyDescent="0.25">
      <c r="A864" s="620" t="s">
        <v>3124</v>
      </c>
      <c r="B864" s="620" t="s">
        <v>3125</v>
      </c>
      <c r="C864" s="620">
        <v>0</v>
      </c>
      <c r="D864" s="620">
        <v>0</v>
      </c>
      <c r="E864" s="620">
        <v>0</v>
      </c>
      <c r="F864" s="620">
        <v>1</v>
      </c>
      <c r="G864" s="620">
        <v>0</v>
      </c>
      <c r="H864" s="620">
        <v>1</v>
      </c>
      <c r="I864" s="620">
        <v>0</v>
      </c>
      <c r="J864" s="620">
        <v>0</v>
      </c>
      <c r="K864" s="620">
        <v>1</v>
      </c>
      <c r="L864" s="620">
        <v>0</v>
      </c>
      <c r="M864" s="620">
        <v>0</v>
      </c>
      <c r="N864" s="620">
        <v>0</v>
      </c>
      <c r="O864" s="620">
        <v>0</v>
      </c>
      <c r="R864" s="620">
        <v>1</v>
      </c>
      <c r="S864" s="620">
        <v>100</v>
      </c>
      <c r="T864" s="620">
        <v>101</v>
      </c>
      <c r="U864" s="620">
        <v>0</v>
      </c>
      <c r="V864" s="620">
        <v>0</v>
      </c>
      <c r="W864" s="620">
        <v>0</v>
      </c>
    </row>
    <row r="865" spans="1:23" x14ac:dyDescent="0.25">
      <c r="A865" s="620" t="s">
        <v>482</v>
      </c>
      <c r="B865" s="620" t="s">
        <v>3126</v>
      </c>
      <c r="C865" s="620">
        <v>4288</v>
      </c>
      <c r="D865" s="620">
        <v>34975571</v>
      </c>
      <c r="E865" s="620">
        <v>166589514252</v>
      </c>
      <c r="F865" s="620">
        <v>4640</v>
      </c>
      <c r="G865" s="620">
        <v>4555</v>
      </c>
      <c r="H865" s="620">
        <v>4700</v>
      </c>
      <c r="I865" s="620">
        <v>60</v>
      </c>
      <c r="J865" s="620">
        <v>1.29</v>
      </c>
      <c r="K865" s="620">
        <v>4763</v>
      </c>
      <c r="L865" s="620">
        <v>123</v>
      </c>
      <c r="M865" s="620">
        <v>2.65</v>
      </c>
      <c r="N865" s="620">
        <v>4510</v>
      </c>
      <c r="O865" s="620">
        <v>4872</v>
      </c>
      <c r="P865" s="620" t="s">
        <v>3127</v>
      </c>
      <c r="Q865" s="620" t="s">
        <v>2071</v>
      </c>
      <c r="R865" s="620">
        <v>1</v>
      </c>
      <c r="S865" s="620">
        <v>1189</v>
      </c>
      <c r="T865" s="620">
        <v>4698</v>
      </c>
      <c r="U865" s="620">
        <v>4698</v>
      </c>
      <c r="V865" s="620">
        <v>10000</v>
      </c>
      <c r="W865" s="620">
        <v>1</v>
      </c>
    </row>
    <row r="866" spans="1:23" x14ac:dyDescent="0.25">
      <c r="A866" s="620" t="s">
        <v>3128</v>
      </c>
      <c r="B866" s="620" t="s">
        <v>3129</v>
      </c>
      <c r="C866" s="620">
        <v>0</v>
      </c>
      <c r="D866" s="620">
        <v>0</v>
      </c>
      <c r="E866" s="620">
        <v>0</v>
      </c>
      <c r="F866" s="620">
        <v>1</v>
      </c>
      <c r="G866" s="620">
        <v>0</v>
      </c>
      <c r="H866" s="620">
        <v>1</v>
      </c>
      <c r="I866" s="620">
        <v>0</v>
      </c>
      <c r="J866" s="620">
        <v>0</v>
      </c>
      <c r="K866" s="620">
        <v>1</v>
      </c>
      <c r="L866" s="620">
        <v>0</v>
      </c>
      <c r="M866" s="620">
        <v>0</v>
      </c>
      <c r="N866" s="620">
        <v>0</v>
      </c>
      <c r="O866" s="620">
        <v>0</v>
      </c>
      <c r="R866" s="620">
        <v>1</v>
      </c>
      <c r="S866" s="620">
        <v>5</v>
      </c>
      <c r="T866" s="620">
        <v>50</v>
      </c>
      <c r="U866" s="620">
        <v>0</v>
      </c>
      <c r="V866" s="620">
        <v>0</v>
      </c>
      <c r="W866" s="620">
        <v>0</v>
      </c>
    </row>
    <row r="867" spans="1:23" x14ac:dyDescent="0.25">
      <c r="A867" s="620" t="s">
        <v>3130</v>
      </c>
      <c r="B867" s="620" t="s">
        <v>3131</v>
      </c>
      <c r="C867" s="620">
        <v>274</v>
      </c>
      <c r="D867" s="620">
        <v>1744219</v>
      </c>
      <c r="E867" s="620">
        <v>5190581908</v>
      </c>
      <c r="F867" s="620">
        <v>2981</v>
      </c>
      <c r="G867" s="620">
        <v>2975</v>
      </c>
      <c r="H867" s="620">
        <v>3000</v>
      </c>
      <c r="I867" s="620">
        <v>19</v>
      </c>
      <c r="J867" s="620">
        <v>0.64</v>
      </c>
      <c r="K867" s="620">
        <v>2977</v>
      </c>
      <c r="L867" s="620">
        <v>-4</v>
      </c>
      <c r="M867" s="620">
        <v>-0.13</v>
      </c>
      <c r="N867" s="620">
        <v>2880</v>
      </c>
      <c r="O867" s="620">
        <v>3010</v>
      </c>
      <c r="P867" s="620" t="s">
        <v>2319</v>
      </c>
      <c r="Q867" s="620" t="s">
        <v>3132</v>
      </c>
      <c r="R867" s="620">
        <v>1</v>
      </c>
      <c r="S867" s="620">
        <v>23861</v>
      </c>
      <c r="T867" s="620">
        <v>2971</v>
      </c>
      <c r="U867" s="620">
        <v>3000</v>
      </c>
      <c r="V867" s="620">
        <v>7724</v>
      </c>
      <c r="W867" s="620">
        <v>2</v>
      </c>
    </row>
    <row r="868" spans="1:23" x14ac:dyDescent="0.25">
      <c r="A868" s="620" t="s">
        <v>3133</v>
      </c>
      <c r="B868" s="620" t="s">
        <v>3134</v>
      </c>
      <c r="C868" s="620">
        <v>0</v>
      </c>
      <c r="D868" s="620">
        <v>0</v>
      </c>
      <c r="E868" s="620">
        <v>0</v>
      </c>
      <c r="F868" s="620">
        <v>1000000</v>
      </c>
      <c r="G868" s="620">
        <v>0</v>
      </c>
      <c r="H868" s="620">
        <v>1000000</v>
      </c>
      <c r="I868" s="620">
        <v>0</v>
      </c>
      <c r="J868" s="620">
        <v>0</v>
      </c>
      <c r="K868" s="620">
        <v>1000000</v>
      </c>
      <c r="L868" s="620">
        <v>0</v>
      </c>
      <c r="M868" s="620">
        <v>0</v>
      </c>
      <c r="N868" s="620">
        <v>0</v>
      </c>
      <c r="O868" s="620">
        <v>0</v>
      </c>
      <c r="R868" s="620">
        <v>1</v>
      </c>
      <c r="S868" s="620">
        <v>7500</v>
      </c>
      <c r="T868" s="620">
        <v>912656</v>
      </c>
      <c r="U868" s="620">
        <v>921783</v>
      </c>
      <c r="V868" s="620">
        <v>7500</v>
      </c>
      <c r="W868" s="620">
        <v>1</v>
      </c>
    </row>
    <row r="869" spans="1:23" x14ac:dyDescent="0.25">
      <c r="A869" s="620" t="s">
        <v>3135</v>
      </c>
      <c r="B869" s="620" t="s">
        <v>3136</v>
      </c>
      <c r="C869" s="620">
        <v>472</v>
      </c>
      <c r="D869" s="620">
        <v>2922631</v>
      </c>
      <c r="E869" s="620">
        <v>10214826615</v>
      </c>
      <c r="F869" s="620">
        <v>3668</v>
      </c>
      <c r="G869" s="620">
        <v>3485</v>
      </c>
      <c r="H869" s="620">
        <v>3485</v>
      </c>
      <c r="I869" s="620">
        <v>-183</v>
      </c>
      <c r="J869" s="620">
        <v>-4.99</v>
      </c>
      <c r="K869" s="620">
        <v>3495</v>
      </c>
      <c r="L869" s="620">
        <v>-173</v>
      </c>
      <c r="M869" s="620">
        <v>-4.72</v>
      </c>
      <c r="N869" s="620">
        <v>3485</v>
      </c>
      <c r="O869" s="620">
        <v>3599</v>
      </c>
      <c r="P869" s="620" t="s">
        <v>3137</v>
      </c>
      <c r="Q869" s="620" t="s">
        <v>3138</v>
      </c>
      <c r="R869" s="620">
        <v>1</v>
      </c>
      <c r="S869" s="620">
        <v>600</v>
      </c>
      <c r="T869" s="620">
        <v>2345</v>
      </c>
      <c r="U869" s="620">
        <v>3485</v>
      </c>
      <c r="V869" s="620">
        <v>566036</v>
      </c>
      <c r="W869" s="620">
        <v>31</v>
      </c>
    </row>
    <row r="870" spans="1:23" x14ac:dyDescent="0.25">
      <c r="A870" s="620" t="s">
        <v>345</v>
      </c>
      <c r="B870" s="620" t="s">
        <v>3139</v>
      </c>
      <c r="C870" s="620">
        <v>1343</v>
      </c>
      <c r="D870" s="620">
        <v>7449213</v>
      </c>
      <c r="E870" s="620">
        <v>33211602860</v>
      </c>
      <c r="F870" s="620">
        <v>4463</v>
      </c>
      <c r="G870" s="620">
        <v>4270</v>
      </c>
      <c r="H870" s="620">
        <v>4618</v>
      </c>
      <c r="I870" s="620">
        <v>155</v>
      </c>
      <c r="J870" s="620">
        <v>3.47</v>
      </c>
      <c r="K870" s="620">
        <v>4458</v>
      </c>
      <c r="L870" s="620">
        <v>-5</v>
      </c>
      <c r="M870" s="620">
        <v>-0.11</v>
      </c>
      <c r="N870" s="620">
        <v>4240</v>
      </c>
      <c r="O870" s="620">
        <v>4680</v>
      </c>
      <c r="P870" s="620" t="s">
        <v>3140</v>
      </c>
      <c r="Q870" s="620" t="s">
        <v>3141</v>
      </c>
      <c r="R870" s="620">
        <v>1</v>
      </c>
      <c r="S870" s="620">
        <v>500</v>
      </c>
      <c r="T870" s="620">
        <v>4618</v>
      </c>
      <c r="U870" s="620">
        <v>4618</v>
      </c>
      <c r="V870" s="620">
        <v>2600</v>
      </c>
      <c r="W870" s="620">
        <v>1</v>
      </c>
    </row>
    <row r="871" spans="1:23" x14ac:dyDescent="0.25">
      <c r="A871" s="620" t="s">
        <v>3142</v>
      </c>
      <c r="B871" s="620" t="s">
        <v>3143</v>
      </c>
      <c r="C871" s="620">
        <v>35</v>
      </c>
      <c r="D871" s="620">
        <v>65402</v>
      </c>
      <c r="E871" s="620">
        <v>607192168</v>
      </c>
      <c r="F871" s="620">
        <v>9571</v>
      </c>
      <c r="G871" s="620">
        <v>9284</v>
      </c>
      <c r="H871" s="620">
        <v>9284</v>
      </c>
      <c r="I871" s="620">
        <v>-287</v>
      </c>
      <c r="J871" s="620">
        <v>-3</v>
      </c>
      <c r="K871" s="620">
        <v>9284</v>
      </c>
      <c r="L871" s="620">
        <v>-287</v>
      </c>
      <c r="M871" s="620">
        <v>-3</v>
      </c>
      <c r="N871" s="620">
        <v>9284</v>
      </c>
      <c r="O871" s="620">
        <v>9284</v>
      </c>
      <c r="P871" s="620" t="s">
        <v>1838</v>
      </c>
      <c r="Q871" s="620" t="s">
        <v>3144</v>
      </c>
      <c r="R871" s="620">
        <v>0</v>
      </c>
      <c r="S871" s="620">
        <v>0</v>
      </c>
      <c r="T871" s="620">
        <v>0</v>
      </c>
      <c r="U871" s="620">
        <v>9284</v>
      </c>
      <c r="V871" s="620">
        <v>73993</v>
      </c>
      <c r="W871" s="620">
        <v>8</v>
      </c>
    </row>
    <row r="872" spans="1:23" x14ac:dyDescent="0.25">
      <c r="A872" s="620" t="s">
        <v>3145</v>
      </c>
      <c r="B872" s="620" t="s">
        <v>3146</v>
      </c>
      <c r="C872" s="620">
        <v>1</v>
      </c>
      <c r="D872" s="620">
        <v>10</v>
      </c>
      <c r="E872" s="620">
        <v>10000000</v>
      </c>
      <c r="F872" s="620">
        <v>1000</v>
      </c>
      <c r="G872" s="620">
        <v>1000</v>
      </c>
      <c r="H872" s="620">
        <v>1000</v>
      </c>
      <c r="I872" s="620">
        <v>0</v>
      </c>
      <c r="J872" s="620">
        <v>0</v>
      </c>
      <c r="K872" s="620">
        <v>1000</v>
      </c>
      <c r="L872" s="620">
        <v>0</v>
      </c>
      <c r="M872" s="620">
        <v>0</v>
      </c>
      <c r="N872" s="620">
        <v>1000</v>
      </c>
      <c r="O872" s="620">
        <v>1000</v>
      </c>
      <c r="R872" s="620">
        <v>1</v>
      </c>
      <c r="S872" s="620">
        <v>10</v>
      </c>
      <c r="T872" s="620">
        <v>800</v>
      </c>
      <c r="U872" s="620">
        <v>1544</v>
      </c>
      <c r="V872" s="620">
        <v>100</v>
      </c>
      <c r="W872" s="620">
        <v>1</v>
      </c>
    </row>
    <row r="873" spans="1:23" x14ac:dyDescent="0.25">
      <c r="A873" s="620" t="s">
        <v>3147</v>
      </c>
      <c r="B873" s="620" t="s">
        <v>3148</v>
      </c>
      <c r="C873" s="620">
        <v>0</v>
      </c>
      <c r="D873" s="620">
        <v>0</v>
      </c>
      <c r="E873" s="620">
        <v>0</v>
      </c>
      <c r="F873" s="620">
        <v>1</v>
      </c>
      <c r="G873" s="620">
        <v>0</v>
      </c>
      <c r="H873" s="620">
        <v>1</v>
      </c>
      <c r="I873" s="620">
        <v>0</v>
      </c>
      <c r="J873" s="620">
        <v>0</v>
      </c>
      <c r="K873" s="620">
        <v>1</v>
      </c>
      <c r="L873" s="620">
        <v>0</v>
      </c>
      <c r="M873" s="620">
        <v>0</v>
      </c>
      <c r="N873" s="620">
        <v>0</v>
      </c>
      <c r="O873" s="620">
        <v>0</v>
      </c>
      <c r="R873" s="620">
        <v>1</v>
      </c>
      <c r="S873" s="620">
        <v>100</v>
      </c>
      <c r="T873" s="620">
        <v>1</v>
      </c>
      <c r="U873" s="620">
        <v>0</v>
      </c>
      <c r="V873" s="620">
        <v>0</v>
      </c>
      <c r="W873" s="620">
        <v>0</v>
      </c>
    </row>
    <row r="874" spans="1:23" x14ac:dyDescent="0.25">
      <c r="A874" s="620" t="s">
        <v>3149</v>
      </c>
      <c r="B874" s="620" t="s">
        <v>3150</v>
      </c>
      <c r="C874" s="620">
        <v>602</v>
      </c>
      <c r="D874" s="620">
        <v>8310959</v>
      </c>
      <c r="E874" s="620">
        <v>56916318476</v>
      </c>
      <c r="F874" s="620">
        <v>7201</v>
      </c>
      <c r="G874" s="620">
        <v>6841</v>
      </c>
      <c r="H874" s="620">
        <v>6841</v>
      </c>
      <c r="I874" s="620">
        <v>-360</v>
      </c>
      <c r="J874" s="620">
        <v>-5</v>
      </c>
      <c r="K874" s="620">
        <v>6848</v>
      </c>
      <c r="L874" s="620">
        <v>-353</v>
      </c>
      <c r="M874" s="620">
        <v>-4.9000000000000004</v>
      </c>
      <c r="N874" s="620">
        <v>6841</v>
      </c>
      <c r="O874" s="620">
        <v>6978</v>
      </c>
      <c r="P874" s="620" t="s">
        <v>3151</v>
      </c>
      <c r="Q874" s="620" t="s">
        <v>3152</v>
      </c>
      <c r="R874" s="620">
        <v>1</v>
      </c>
      <c r="S874" s="620">
        <v>200</v>
      </c>
      <c r="T874" s="620">
        <v>5681</v>
      </c>
      <c r="U874" s="620">
        <v>6841</v>
      </c>
      <c r="V874" s="620">
        <v>1536306</v>
      </c>
      <c r="W874" s="620">
        <v>45</v>
      </c>
    </row>
    <row r="875" spans="1:23" x14ac:dyDescent="0.25">
      <c r="A875" s="620" t="s">
        <v>3153</v>
      </c>
      <c r="B875" s="620" t="s">
        <v>3154</v>
      </c>
      <c r="C875" s="620">
        <v>0</v>
      </c>
      <c r="D875" s="620">
        <v>0</v>
      </c>
      <c r="E875" s="620">
        <v>0</v>
      </c>
      <c r="F875" s="620">
        <v>976110</v>
      </c>
      <c r="G875" s="620">
        <v>0</v>
      </c>
      <c r="H875" s="620">
        <v>976110</v>
      </c>
      <c r="I875" s="620">
        <v>0</v>
      </c>
      <c r="J875" s="620">
        <v>0</v>
      </c>
      <c r="K875" s="620">
        <v>976110</v>
      </c>
      <c r="L875" s="620">
        <v>0</v>
      </c>
      <c r="M875" s="620">
        <v>0</v>
      </c>
      <c r="N875" s="620">
        <v>0</v>
      </c>
      <c r="O875" s="620">
        <v>0</v>
      </c>
      <c r="R875" s="620">
        <v>1</v>
      </c>
      <c r="S875" s="620">
        <v>2000</v>
      </c>
      <c r="T875" s="620">
        <v>966349</v>
      </c>
      <c r="U875" s="620">
        <v>976110</v>
      </c>
      <c r="V875" s="620">
        <v>2000</v>
      </c>
      <c r="W875" s="620">
        <v>1</v>
      </c>
    </row>
    <row r="876" spans="1:23" x14ac:dyDescent="0.25">
      <c r="A876" s="620" t="s">
        <v>3155</v>
      </c>
      <c r="B876" s="620" t="s">
        <v>3156</v>
      </c>
      <c r="C876" s="620">
        <v>6</v>
      </c>
      <c r="D876" s="620">
        <v>20580</v>
      </c>
      <c r="E876" s="620">
        <v>219661980</v>
      </c>
      <c r="F876" s="620">
        <v>10704</v>
      </c>
      <c r="G876" s="620">
        <v>10663</v>
      </c>
      <c r="H876" s="620">
        <v>10675</v>
      </c>
      <c r="I876" s="620">
        <v>-29</v>
      </c>
      <c r="J876" s="620">
        <v>-0.27</v>
      </c>
      <c r="K876" s="620">
        <v>10674</v>
      </c>
      <c r="L876" s="620">
        <v>-30</v>
      </c>
      <c r="M876" s="620">
        <v>-0.28000000000000003</v>
      </c>
      <c r="N876" s="620">
        <v>10663</v>
      </c>
      <c r="O876" s="620">
        <v>10675</v>
      </c>
      <c r="R876" s="620">
        <v>1</v>
      </c>
      <c r="S876" s="620">
        <v>200</v>
      </c>
      <c r="T876" s="620">
        <v>10664</v>
      </c>
      <c r="U876" s="620">
        <v>10675</v>
      </c>
      <c r="V876" s="620">
        <v>81880</v>
      </c>
      <c r="W876" s="620">
        <v>1</v>
      </c>
    </row>
    <row r="877" spans="1:23" x14ac:dyDescent="0.25">
      <c r="A877" s="620" t="s">
        <v>3157</v>
      </c>
      <c r="B877" s="620" t="s">
        <v>3158</v>
      </c>
      <c r="C877" s="620">
        <v>335</v>
      </c>
      <c r="D877" s="620">
        <v>827102</v>
      </c>
      <c r="E877" s="620">
        <v>14741621521</v>
      </c>
      <c r="F877" s="620">
        <v>18574</v>
      </c>
      <c r="G877" s="620">
        <v>17646</v>
      </c>
      <c r="H877" s="620">
        <v>17646</v>
      </c>
      <c r="I877" s="620">
        <v>-928</v>
      </c>
      <c r="J877" s="620">
        <v>-5</v>
      </c>
      <c r="K877" s="620">
        <v>17823</v>
      </c>
      <c r="L877" s="620">
        <v>-751</v>
      </c>
      <c r="M877" s="620">
        <v>-4.04</v>
      </c>
      <c r="N877" s="620">
        <v>17646</v>
      </c>
      <c r="O877" s="620">
        <v>18574</v>
      </c>
      <c r="P877" s="620" t="s">
        <v>3159</v>
      </c>
      <c r="Q877" s="620" t="s">
        <v>3160</v>
      </c>
      <c r="R877" s="620">
        <v>1</v>
      </c>
      <c r="S877" s="620">
        <v>100</v>
      </c>
      <c r="T877" s="620">
        <v>14260</v>
      </c>
      <c r="U877" s="620">
        <v>17646</v>
      </c>
      <c r="V877" s="620">
        <v>101113</v>
      </c>
      <c r="W877" s="620">
        <v>14</v>
      </c>
    </row>
    <row r="878" spans="1:23" x14ac:dyDescent="0.25">
      <c r="A878" s="620" t="s">
        <v>3161</v>
      </c>
      <c r="B878" s="620" t="s">
        <v>3162</v>
      </c>
      <c r="C878" s="620">
        <v>33</v>
      </c>
      <c r="D878" s="620">
        <v>66154</v>
      </c>
      <c r="E878" s="620">
        <v>337980786</v>
      </c>
      <c r="F878" s="620">
        <v>5377</v>
      </c>
      <c r="G878" s="620">
        <v>5109</v>
      </c>
      <c r="H878" s="620">
        <v>5109</v>
      </c>
      <c r="I878" s="620">
        <v>-268</v>
      </c>
      <c r="J878" s="620">
        <v>-4.9800000000000004</v>
      </c>
      <c r="K878" s="620">
        <v>5192</v>
      </c>
      <c r="L878" s="620">
        <v>-185</v>
      </c>
      <c r="M878" s="620">
        <v>-3.44</v>
      </c>
      <c r="N878" s="620">
        <v>5109</v>
      </c>
      <c r="O878" s="620">
        <v>5109</v>
      </c>
      <c r="P878" s="620" t="s">
        <v>3163</v>
      </c>
      <c r="Q878" s="620" t="s">
        <v>3164</v>
      </c>
      <c r="R878" s="620">
        <v>0</v>
      </c>
      <c r="S878" s="620">
        <v>0</v>
      </c>
      <c r="T878" s="620">
        <v>0</v>
      </c>
      <c r="U878" s="620">
        <v>5109</v>
      </c>
      <c r="V878" s="620">
        <v>720546</v>
      </c>
      <c r="W878" s="620">
        <v>41</v>
      </c>
    </row>
    <row r="879" spans="1:23" x14ac:dyDescent="0.25">
      <c r="A879" s="620" t="s">
        <v>3165</v>
      </c>
      <c r="B879" s="620" t="s">
        <v>3166</v>
      </c>
      <c r="C879" s="620">
        <v>5</v>
      </c>
      <c r="D879" s="620">
        <v>1904</v>
      </c>
      <c r="E879" s="620">
        <v>60086432</v>
      </c>
      <c r="F879" s="620">
        <v>32202</v>
      </c>
      <c r="G879" s="620">
        <v>31558</v>
      </c>
      <c r="H879" s="620">
        <v>31558</v>
      </c>
      <c r="I879" s="620">
        <v>-644</v>
      </c>
      <c r="J879" s="620">
        <v>-2</v>
      </c>
      <c r="K879" s="620">
        <v>31558</v>
      </c>
      <c r="L879" s="620">
        <v>-644</v>
      </c>
      <c r="M879" s="620">
        <v>-2</v>
      </c>
      <c r="N879" s="620">
        <v>31558</v>
      </c>
      <c r="O879" s="620">
        <v>31558</v>
      </c>
      <c r="P879" s="620" t="s">
        <v>3167</v>
      </c>
      <c r="Q879" s="620" t="s">
        <v>3168</v>
      </c>
      <c r="R879" s="620">
        <v>0</v>
      </c>
      <c r="S879" s="620">
        <v>0</v>
      </c>
      <c r="T879" s="620">
        <v>0</v>
      </c>
      <c r="U879" s="620">
        <v>31558</v>
      </c>
      <c r="V879" s="620">
        <v>44608</v>
      </c>
      <c r="W879" s="620">
        <v>31</v>
      </c>
    </row>
    <row r="880" spans="1:23" x14ac:dyDescent="0.25">
      <c r="A880" s="620" t="s">
        <v>3169</v>
      </c>
      <c r="B880" s="620" t="s">
        <v>3170</v>
      </c>
      <c r="C880" s="620">
        <v>8</v>
      </c>
      <c r="D880" s="620">
        <v>744</v>
      </c>
      <c r="E880" s="620">
        <v>9321576</v>
      </c>
      <c r="F880" s="620">
        <v>12916</v>
      </c>
      <c r="G880" s="620">
        <v>12529</v>
      </c>
      <c r="H880" s="620">
        <v>12529</v>
      </c>
      <c r="I880" s="620">
        <v>-387</v>
      </c>
      <c r="J880" s="620">
        <v>-3</v>
      </c>
      <c r="K880" s="620">
        <v>12529</v>
      </c>
      <c r="L880" s="620">
        <v>-387</v>
      </c>
      <c r="M880" s="620">
        <v>-3</v>
      </c>
      <c r="N880" s="620">
        <v>12529</v>
      </c>
      <c r="O880" s="620">
        <v>12529</v>
      </c>
      <c r="P880" s="620" t="s">
        <v>3171</v>
      </c>
      <c r="Q880" s="620" t="s">
        <v>3172</v>
      </c>
      <c r="R880" s="620">
        <v>0</v>
      </c>
      <c r="S880" s="620">
        <v>0</v>
      </c>
      <c r="T880" s="620">
        <v>0</v>
      </c>
      <c r="U880" s="620">
        <v>12529</v>
      </c>
      <c r="V880" s="620">
        <v>3833735</v>
      </c>
      <c r="W880" s="620">
        <v>420</v>
      </c>
    </row>
    <row r="881" spans="1:23" x14ac:dyDescent="0.25">
      <c r="A881" s="620" t="s">
        <v>3173</v>
      </c>
      <c r="B881" s="620" t="s">
        <v>3174</v>
      </c>
      <c r="C881" s="620">
        <v>21</v>
      </c>
      <c r="D881" s="620">
        <v>6677</v>
      </c>
      <c r="E881" s="620">
        <v>123451053</v>
      </c>
      <c r="F881" s="620">
        <v>17951</v>
      </c>
      <c r="G881" s="620">
        <v>18489</v>
      </c>
      <c r="H881" s="620">
        <v>18489</v>
      </c>
      <c r="I881" s="620">
        <v>538</v>
      </c>
      <c r="J881" s="620">
        <v>3</v>
      </c>
      <c r="K881" s="620">
        <v>18489</v>
      </c>
      <c r="L881" s="620">
        <v>538</v>
      </c>
      <c r="M881" s="620">
        <v>3</v>
      </c>
      <c r="N881" s="620">
        <v>18489</v>
      </c>
      <c r="O881" s="620">
        <v>18489</v>
      </c>
      <c r="P881" s="620" t="s">
        <v>2486</v>
      </c>
      <c r="Q881" s="620" t="s">
        <v>3175</v>
      </c>
      <c r="R881" s="620">
        <v>28</v>
      </c>
      <c r="S881" s="620">
        <v>20680</v>
      </c>
      <c r="T881" s="620">
        <v>18489</v>
      </c>
      <c r="U881" s="620">
        <v>0</v>
      </c>
      <c r="V881" s="620">
        <v>0</v>
      </c>
      <c r="W881" s="620">
        <v>0</v>
      </c>
    </row>
    <row r="882" spans="1:23" x14ac:dyDescent="0.25">
      <c r="A882" s="620" t="s">
        <v>3176</v>
      </c>
      <c r="B882" s="620" t="s">
        <v>3177</v>
      </c>
      <c r="C882" s="620">
        <v>729</v>
      </c>
      <c r="D882" s="620">
        <v>7139344</v>
      </c>
      <c r="E882" s="620">
        <v>14613976635</v>
      </c>
      <c r="F882" s="620">
        <v>2143</v>
      </c>
      <c r="G882" s="620">
        <v>2052</v>
      </c>
      <c r="H882" s="620">
        <v>2038</v>
      </c>
      <c r="I882" s="620">
        <v>-105</v>
      </c>
      <c r="J882" s="620">
        <v>-4.9000000000000004</v>
      </c>
      <c r="K882" s="620">
        <v>2047</v>
      </c>
      <c r="L882" s="620">
        <v>-96</v>
      </c>
      <c r="M882" s="620">
        <v>-4.4800000000000004</v>
      </c>
      <c r="N882" s="620">
        <v>2036</v>
      </c>
      <c r="O882" s="620">
        <v>2120</v>
      </c>
      <c r="P882" s="620" t="s">
        <v>3178</v>
      </c>
      <c r="Q882" s="620" t="s">
        <v>3179</v>
      </c>
      <c r="R882" s="620">
        <v>0</v>
      </c>
      <c r="S882" s="620">
        <v>0</v>
      </c>
      <c r="T882" s="620">
        <v>0</v>
      </c>
      <c r="U882" s="620">
        <v>2036</v>
      </c>
      <c r="V882" s="620">
        <v>50000</v>
      </c>
      <c r="W882" s="620">
        <v>1</v>
      </c>
    </row>
    <row r="883" spans="1:23" x14ac:dyDescent="0.25">
      <c r="A883" s="620" t="s">
        <v>3180</v>
      </c>
      <c r="B883" s="620" t="s">
        <v>3181</v>
      </c>
      <c r="C883" s="620">
        <v>174</v>
      </c>
      <c r="D883" s="620">
        <v>660009</v>
      </c>
      <c r="E883" s="620">
        <v>3997014504</v>
      </c>
      <c r="F883" s="620">
        <v>6374</v>
      </c>
      <c r="G883" s="620">
        <v>6056</v>
      </c>
      <c r="H883" s="620">
        <v>6056</v>
      </c>
      <c r="I883" s="620">
        <v>-318</v>
      </c>
      <c r="J883" s="620">
        <v>-4.99</v>
      </c>
      <c r="K883" s="620">
        <v>6056</v>
      </c>
      <c r="L883" s="620">
        <v>-318</v>
      </c>
      <c r="M883" s="620">
        <v>-4.99</v>
      </c>
      <c r="N883" s="620">
        <v>6056</v>
      </c>
      <c r="O883" s="620">
        <v>6056</v>
      </c>
      <c r="P883" s="620" t="s">
        <v>3182</v>
      </c>
      <c r="Q883" s="620" t="s">
        <v>3183</v>
      </c>
      <c r="R883" s="620">
        <v>1</v>
      </c>
      <c r="S883" s="620">
        <v>1149</v>
      </c>
      <c r="T883" s="620">
        <v>5691</v>
      </c>
      <c r="U883" s="620">
        <v>6056</v>
      </c>
      <c r="V883" s="620">
        <v>1078265</v>
      </c>
      <c r="W883" s="620">
        <v>93</v>
      </c>
    </row>
    <row r="884" spans="1:23" x14ac:dyDescent="0.25">
      <c r="A884" s="620" t="s">
        <v>3184</v>
      </c>
      <c r="B884" s="620" t="s">
        <v>3185</v>
      </c>
      <c r="C884" s="620">
        <v>0</v>
      </c>
      <c r="D884" s="620">
        <v>0</v>
      </c>
      <c r="E884" s="620">
        <v>0</v>
      </c>
      <c r="F884" s="620">
        <v>4075</v>
      </c>
      <c r="G884" s="620">
        <v>0</v>
      </c>
      <c r="H884" s="620">
        <v>4277</v>
      </c>
      <c r="I884" s="620">
        <v>202</v>
      </c>
      <c r="J884" s="620">
        <v>4.96</v>
      </c>
      <c r="K884" s="620">
        <v>4075</v>
      </c>
      <c r="L884" s="620">
        <v>0</v>
      </c>
      <c r="M884" s="620">
        <v>0</v>
      </c>
      <c r="N884" s="620">
        <v>0</v>
      </c>
      <c r="O884" s="620">
        <v>0</v>
      </c>
      <c r="P884" s="620" t="s">
        <v>3186</v>
      </c>
      <c r="Q884" s="620" t="s">
        <v>3187</v>
      </c>
      <c r="R884" s="620">
        <v>46</v>
      </c>
      <c r="S884" s="620">
        <v>1787050</v>
      </c>
      <c r="T884" s="620">
        <v>4278</v>
      </c>
      <c r="U884" s="620">
        <v>0</v>
      </c>
      <c r="V884" s="620">
        <v>0</v>
      </c>
      <c r="W884" s="620">
        <v>0</v>
      </c>
    </row>
    <row r="885" spans="1:23" x14ac:dyDescent="0.25">
      <c r="A885" s="620" t="s">
        <v>3188</v>
      </c>
      <c r="B885" s="620" t="s">
        <v>3189</v>
      </c>
      <c r="C885" s="620">
        <v>150</v>
      </c>
      <c r="D885" s="620">
        <v>973746</v>
      </c>
      <c r="E885" s="620">
        <v>2412663204</v>
      </c>
      <c r="F885" s="620">
        <v>2513</v>
      </c>
      <c r="G885" s="620">
        <v>2463</v>
      </c>
      <c r="H885" s="620">
        <v>2550</v>
      </c>
      <c r="I885" s="620">
        <v>37</v>
      </c>
      <c r="J885" s="620">
        <v>1.47</v>
      </c>
      <c r="K885" s="620">
        <v>2478</v>
      </c>
      <c r="L885" s="620">
        <v>-35</v>
      </c>
      <c r="M885" s="620">
        <v>-1.39</v>
      </c>
      <c r="N885" s="620">
        <v>2463</v>
      </c>
      <c r="O885" s="620">
        <v>2563</v>
      </c>
      <c r="P885" s="620" t="s">
        <v>3190</v>
      </c>
      <c r="Q885" s="620" t="s">
        <v>3191</v>
      </c>
      <c r="R885" s="620">
        <v>1</v>
      </c>
      <c r="S885" s="620">
        <v>3200</v>
      </c>
      <c r="T885" s="620">
        <v>2469</v>
      </c>
      <c r="U885" s="620">
        <v>2550</v>
      </c>
      <c r="V885" s="620">
        <v>8213</v>
      </c>
      <c r="W885" s="620">
        <v>2</v>
      </c>
    </row>
    <row r="886" spans="1:23" x14ac:dyDescent="0.25">
      <c r="A886" s="620" t="s">
        <v>3192</v>
      </c>
      <c r="B886" s="620" t="s">
        <v>3193</v>
      </c>
      <c r="C886" s="620">
        <v>668</v>
      </c>
      <c r="D886" s="620">
        <v>964827</v>
      </c>
      <c r="E886" s="620">
        <v>38829834598</v>
      </c>
      <c r="F886" s="620">
        <v>41725</v>
      </c>
      <c r="G886" s="620">
        <v>39639</v>
      </c>
      <c r="H886" s="620">
        <v>39639</v>
      </c>
      <c r="I886" s="620">
        <v>-2086</v>
      </c>
      <c r="J886" s="620">
        <v>-5</v>
      </c>
      <c r="K886" s="620">
        <v>40245</v>
      </c>
      <c r="L886" s="620">
        <v>-1480</v>
      </c>
      <c r="M886" s="620">
        <v>-3.55</v>
      </c>
      <c r="N886" s="620">
        <v>39639</v>
      </c>
      <c r="O886" s="620">
        <v>42400</v>
      </c>
      <c r="P886" s="620" t="s">
        <v>3194</v>
      </c>
      <c r="Q886" s="620" t="s">
        <v>2028</v>
      </c>
      <c r="R886" s="620">
        <v>0</v>
      </c>
      <c r="S886" s="620">
        <v>0</v>
      </c>
      <c r="T886" s="620">
        <v>0</v>
      </c>
      <c r="U886" s="620">
        <v>39639</v>
      </c>
      <c r="V886" s="620">
        <v>62277</v>
      </c>
      <c r="W886" s="620">
        <v>15</v>
      </c>
    </row>
    <row r="887" spans="1:23" x14ac:dyDescent="0.25">
      <c r="A887" s="620" t="s">
        <v>3195</v>
      </c>
      <c r="B887" s="620" t="s">
        <v>3196</v>
      </c>
      <c r="C887" s="620">
        <v>0</v>
      </c>
      <c r="D887" s="620">
        <v>0</v>
      </c>
      <c r="E887" s="620">
        <v>0</v>
      </c>
      <c r="F887" s="620">
        <v>950000</v>
      </c>
      <c r="G887" s="620">
        <v>0</v>
      </c>
      <c r="H887" s="620">
        <v>950000</v>
      </c>
      <c r="I887" s="620">
        <v>0</v>
      </c>
      <c r="J887" s="620">
        <v>0</v>
      </c>
      <c r="K887" s="620">
        <v>950000</v>
      </c>
      <c r="L887" s="620">
        <v>0</v>
      </c>
      <c r="M887" s="620">
        <v>0</v>
      </c>
      <c r="N887" s="620">
        <v>0</v>
      </c>
      <c r="O887" s="620">
        <v>0</v>
      </c>
      <c r="R887" s="620">
        <v>1</v>
      </c>
      <c r="S887" s="620">
        <v>8750</v>
      </c>
      <c r="T887" s="620">
        <v>960000</v>
      </c>
      <c r="U887" s="620">
        <v>1000000</v>
      </c>
      <c r="V887" s="620">
        <v>153</v>
      </c>
      <c r="W887" s="620">
        <v>1</v>
      </c>
    </row>
    <row r="888" spans="1:23" x14ac:dyDescent="0.25">
      <c r="A888" s="620" t="s">
        <v>3197</v>
      </c>
      <c r="B888" s="620" t="s">
        <v>3198</v>
      </c>
      <c r="C888" s="620">
        <v>1245</v>
      </c>
      <c r="D888" s="620">
        <v>5948556</v>
      </c>
      <c r="E888" s="620">
        <v>34477649980</v>
      </c>
      <c r="F888" s="620">
        <v>5676</v>
      </c>
      <c r="G888" s="620">
        <v>5626</v>
      </c>
      <c r="H888" s="620">
        <v>5799</v>
      </c>
      <c r="I888" s="620">
        <v>123</v>
      </c>
      <c r="J888" s="620">
        <v>2.17</v>
      </c>
      <c r="K888" s="620">
        <v>5796</v>
      </c>
      <c r="L888" s="620">
        <v>120</v>
      </c>
      <c r="M888" s="620">
        <v>2.11</v>
      </c>
      <c r="N888" s="620">
        <v>5626</v>
      </c>
      <c r="O888" s="620">
        <v>5850</v>
      </c>
      <c r="P888" s="620" t="s">
        <v>2258</v>
      </c>
      <c r="Q888" s="620" t="s">
        <v>3199</v>
      </c>
      <c r="R888" s="620">
        <v>1</v>
      </c>
      <c r="S888" s="620">
        <v>1000</v>
      </c>
      <c r="T888" s="620">
        <v>5790</v>
      </c>
      <c r="U888" s="620">
        <v>5799</v>
      </c>
      <c r="V888" s="620">
        <v>8900</v>
      </c>
      <c r="W888" s="620">
        <v>1</v>
      </c>
    </row>
    <row r="889" spans="1:23" x14ac:dyDescent="0.25">
      <c r="A889" s="620" t="s">
        <v>3200</v>
      </c>
      <c r="B889" s="620" t="s">
        <v>3201</v>
      </c>
      <c r="C889" s="620">
        <v>140</v>
      </c>
      <c r="D889" s="620">
        <v>279126</v>
      </c>
      <c r="E889" s="620">
        <v>3473164818</v>
      </c>
      <c r="F889" s="620">
        <v>13097</v>
      </c>
      <c r="G889" s="620">
        <v>12443</v>
      </c>
      <c r="H889" s="620">
        <v>12443</v>
      </c>
      <c r="I889" s="620">
        <v>-654</v>
      </c>
      <c r="J889" s="620">
        <v>-4.99</v>
      </c>
      <c r="K889" s="620">
        <v>12829</v>
      </c>
      <c r="L889" s="620">
        <v>-268</v>
      </c>
      <c r="M889" s="620">
        <v>-2.0499999999999998</v>
      </c>
      <c r="N889" s="620">
        <v>12443</v>
      </c>
      <c r="O889" s="620">
        <v>12443</v>
      </c>
      <c r="P889" s="620" t="s">
        <v>3202</v>
      </c>
      <c r="Q889" s="620" t="s">
        <v>3203</v>
      </c>
      <c r="R889" s="620">
        <v>1</v>
      </c>
      <c r="S889" s="620">
        <v>347</v>
      </c>
      <c r="T889" s="620">
        <v>6664</v>
      </c>
      <c r="U889" s="620">
        <v>12443</v>
      </c>
      <c r="V889" s="620">
        <v>2178595</v>
      </c>
      <c r="W889" s="620">
        <v>394</v>
      </c>
    </row>
    <row r="890" spans="1:23" x14ac:dyDescent="0.25">
      <c r="A890" s="620" t="s">
        <v>3204</v>
      </c>
      <c r="B890" s="620" t="s">
        <v>3205</v>
      </c>
      <c r="C890" s="620">
        <v>764</v>
      </c>
      <c r="D890" s="620">
        <v>2089148</v>
      </c>
      <c r="E890" s="620">
        <v>23120274062</v>
      </c>
      <c r="F890" s="620">
        <v>11495</v>
      </c>
      <c r="G890" s="620">
        <v>11135</v>
      </c>
      <c r="H890" s="620">
        <v>11113</v>
      </c>
      <c r="I890" s="620">
        <v>-382</v>
      </c>
      <c r="J890" s="620">
        <v>-3.32</v>
      </c>
      <c r="K890" s="620">
        <v>11067</v>
      </c>
      <c r="L890" s="620">
        <v>-428</v>
      </c>
      <c r="M890" s="620">
        <v>-3.72</v>
      </c>
      <c r="N890" s="620">
        <v>10921</v>
      </c>
      <c r="O890" s="620">
        <v>11988</v>
      </c>
      <c r="P890" s="620" t="s">
        <v>2241</v>
      </c>
      <c r="Q890" s="620" t="s">
        <v>3206</v>
      </c>
      <c r="R890" s="620">
        <v>1</v>
      </c>
      <c r="S890" s="620">
        <v>1000</v>
      </c>
      <c r="T890" s="620">
        <v>11114</v>
      </c>
      <c r="U890" s="620">
        <v>11297</v>
      </c>
      <c r="V890" s="620">
        <v>5000</v>
      </c>
      <c r="W890" s="620">
        <v>1</v>
      </c>
    </row>
    <row r="891" spans="1:23" x14ac:dyDescent="0.25">
      <c r="A891" s="620" t="s">
        <v>3207</v>
      </c>
      <c r="B891" s="620" t="s">
        <v>3208</v>
      </c>
      <c r="C891" s="620">
        <v>3</v>
      </c>
      <c r="D891" s="620">
        <v>310</v>
      </c>
      <c r="E891" s="620">
        <v>310828900</v>
      </c>
      <c r="F891" s="620">
        <v>1012547</v>
      </c>
      <c r="G891" s="620">
        <v>1017850</v>
      </c>
      <c r="H891" s="620">
        <v>1002002</v>
      </c>
      <c r="I891" s="620">
        <v>-10545</v>
      </c>
      <c r="J891" s="620">
        <v>-1.04</v>
      </c>
      <c r="K891" s="620">
        <v>1002674</v>
      </c>
      <c r="L891" s="620">
        <v>-9873</v>
      </c>
      <c r="M891" s="620">
        <v>-0.98</v>
      </c>
      <c r="N891" s="620">
        <v>1002002</v>
      </c>
      <c r="O891" s="620">
        <v>1017850</v>
      </c>
      <c r="R891" s="620">
        <v>1</v>
      </c>
      <c r="S891" s="620">
        <v>5</v>
      </c>
      <c r="T891" s="620">
        <v>1001109</v>
      </c>
      <c r="U891" s="620">
        <v>1017850</v>
      </c>
      <c r="V891" s="620">
        <v>20</v>
      </c>
      <c r="W891" s="620">
        <v>2</v>
      </c>
    </row>
    <row r="892" spans="1:23" x14ac:dyDescent="0.25">
      <c r="A892" s="620" t="s">
        <v>3209</v>
      </c>
      <c r="B892" s="620" t="s">
        <v>3210</v>
      </c>
      <c r="C892" s="620">
        <v>2401</v>
      </c>
      <c r="D892" s="620">
        <v>14021538</v>
      </c>
      <c r="E892" s="620">
        <v>85173331522</v>
      </c>
      <c r="F892" s="620">
        <v>6164</v>
      </c>
      <c r="G892" s="620">
        <v>6001</v>
      </c>
      <c r="H892" s="620">
        <v>6085</v>
      </c>
      <c r="I892" s="620">
        <v>-79</v>
      </c>
      <c r="J892" s="620">
        <v>-1.28</v>
      </c>
      <c r="K892" s="620">
        <v>6074</v>
      </c>
      <c r="L892" s="620">
        <v>-90</v>
      </c>
      <c r="M892" s="620">
        <v>-1.46</v>
      </c>
      <c r="N892" s="620">
        <v>5932</v>
      </c>
      <c r="O892" s="620">
        <v>6248</v>
      </c>
      <c r="P892" s="620" t="s">
        <v>1648</v>
      </c>
      <c r="Q892" s="620" t="s">
        <v>703</v>
      </c>
      <c r="R892" s="620">
        <v>2</v>
      </c>
      <c r="S892" s="620">
        <v>2500</v>
      </c>
      <c r="T892" s="620">
        <v>6085</v>
      </c>
      <c r="U892" s="620">
        <v>6100</v>
      </c>
      <c r="V892" s="620">
        <v>47982</v>
      </c>
      <c r="W892" s="620">
        <v>3</v>
      </c>
    </row>
    <row r="893" spans="1:23" x14ac:dyDescent="0.25">
      <c r="A893" s="620" t="s">
        <v>3211</v>
      </c>
      <c r="B893" s="620" t="s">
        <v>3212</v>
      </c>
      <c r="C893" s="620">
        <v>307</v>
      </c>
      <c r="D893" s="620">
        <v>1300927</v>
      </c>
      <c r="E893" s="620">
        <v>7870215848</v>
      </c>
      <c r="F893" s="620">
        <v>6054</v>
      </c>
      <c r="G893" s="620">
        <v>6055</v>
      </c>
      <c r="H893" s="620">
        <v>6054</v>
      </c>
      <c r="I893" s="620">
        <v>0</v>
      </c>
      <c r="J893" s="620">
        <v>0</v>
      </c>
      <c r="K893" s="620">
        <v>6050</v>
      </c>
      <c r="L893" s="620">
        <v>-4</v>
      </c>
      <c r="M893" s="620">
        <v>-7.0000000000000007E-2</v>
      </c>
      <c r="N893" s="620">
        <v>5951</v>
      </c>
      <c r="O893" s="620">
        <v>6123</v>
      </c>
      <c r="P893" s="620" t="s">
        <v>3213</v>
      </c>
      <c r="Q893" s="620" t="s">
        <v>3214</v>
      </c>
      <c r="R893" s="620">
        <v>1</v>
      </c>
      <c r="S893" s="620">
        <v>400</v>
      </c>
      <c r="T893" s="620">
        <v>6000</v>
      </c>
      <c r="U893" s="620">
        <v>6050</v>
      </c>
      <c r="V893" s="620">
        <v>4424</v>
      </c>
      <c r="W893" s="620">
        <v>1</v>
      </c>
    </row>
    <row r="894" spans="1:23" x14ac:dyDescent="0.25">
      <c r="A894" s="620" t="s">
        <v>3215</v>
      </c>
      <c r="B894" s="620" t="s">
        <v>3216</v>
      </c>
      <c r="C894" s="620">
        <v>106</v>
      </c>
      <c r="D894" s="620">
        <v>76119</v>
      </c>
      <c r="E894" s="620">
        <v>1871461734</v>
      </c>
      <c r="F894" s="620">
        <v>25879</v>
      </c>
      <c r="G894" s="620">
        <v>24586</v>
      </c>
      <c r="H894" s="620">
        <v>24586</v>
      </c>
      <c r="I894" s="620">
        <v>-1293</v>
      </c>
      <c r="J894" s="620">
        <v>-5</v>
      </c>
      <c r="K894" s="620">
        <v>24895</v>
      </c>
      <c r="L894" s="620">
        <v>-984</v>
      </c>
      <c r="M894" s="620">
        <v>-3.8</v>
      </c>
      <c r="N894" s="620">
        <v>24586</v>
      </c>
      <c r="O894" s="620">
        <v>24586</v>
      </c>
      <c r="P894" s="620" t="s">
        <v>3217</v>
      </c>
      <c r="Q894" s="620" t="s">
        <v>3218</v>
      </c>
      <c r="R894" s="620">
        <v>0</v>
      </c>
      <c r="S894" s="620">
        <v>0</v>
      </c>
      <c r="T894" s="620">
        <v>0</v>
      </c>
      <c r="U894" s="620">
        <v>24586</v>
      </c>
      <c r="V894" s="620">
        <v>376752</v>
      </c>
      <c r="W894" s="620">
        <v>91</v>
      </c>
    </row>
    <row r="895" spans="1:23" x14ac:dyDescent="0.25">
      <c r="A895" s="620" t="s">
        <v>3219</v>
      </c>
      <c r="B895" s="620" t="s">
        <v>3220</v>
      </c>
      <c r="C895" s="620">
        <v>12</v>
      </c>
      <c r="D895" s="620">
        <v>53137</v>
      </c>
      <c r="E895" s="620">
        <v>150324573</v>
      </c>
      <c r="F895" s="620">
        <v>2916</v>
      </c>
      <c r="G895" s="620">
        <v>2829</v>
      </c>
      <c r="H895" s="620">
        <v>2829</v>
      </c>
      <c r="I895" s="620">
        <v>-87</v>
      </c>
      <c r="J895" s="620">
        <v>-2.98</v>
      </c>
      <c r="K895" s="620">
        <v>2829</v>
      </c>
      <c r="L895" s="620">
        <v>-87</v>
      </c>
      <c r="M895" s="620">
        <v>-2.98</v>
      </c>
      <c r="N895" s="620">
        <v>2829</v>
      </c>
      <c r="O895" s="620">
        <v>2829</v>
      </c>
      <c r="P895" s="620" t="s">
        <v>3221</v>
      </c>
      <c r="Q895" s="620" t="s">
        <v>3222</v>
      </c>
      <c r="R895" s="620">
        <v>0</v>
      </c>
      <c r="S895" s="620">
        <v>0</v>
      </c>
      <c r="T895" s="620">
        <v>0</v>
      </c>
      <c r="U895" s="620">
        <v>2829</v>
      </c>
      <c r="V895" s="620">
        <v>1524247</v>
      </c>
      <c r="W895" s="620">
        <v>42</v>
      </c>
    </row>
    <row r="896" spans="1:23" x14ac:dyDescent="0.25">
      <c r="A896" s="620" t="s">
        <v>3223</v>
      </c>
      <c r="B896" s="620" t="s">
        <v>3224</v>
      </c>
      <c r="C896" s="620">
        <v>117</v>
      </c>
      <c r="D896" s="620">
        <v>1327</v>
      </c>
      <c r="E896" s="620">
        <v>505767932</v>
      </c>
      <c r="F896" s="620">
        <v>383222</v>
      </c>
      <c r="G896" s="620">
        <v>380010</v>
      </c>
      <c r="H896" s="620">
        <v>390000</v>
      </c>
      <c r="I896" s="620">
        <v>6778</v>
      </c>
      <c r="J896" s="620">
        <v>1.77</v>
      </c>
      <c r="K896" s="620">
        <v>381136</v>
      </c>
      <c r="L896" s="620">
        <v>-2086</v>
      </c>
      <c r="M896" s="620">
        <v>-0.54</v>
      </c>
      <c r="N896" s="620">
        <v>364061</v>
      </c>
      <c r="O896" s="620">
        <v>390000</v>
      </c>
      <c r="R896" s="620">
        <v>0</v>
      </c>
      <c r="S896" s="620">
        <v>0</v>
      </c>
      <c r="T896" s="620">
        <v>0</v>
      </c>
      <c r="U896" s="620">
        <v>402383</v>
      </c>
      <c r="V896" s="620">
        <v>5</v>
      </c>
      <c r="W896" s="620">
        <v>1</v>
      </c>
    </row>
    <row r="897" spans="1:23" x14ac:dyDescent="0.25">
      <c r="A897" s="620" t="s">
        <v>3225</v>
      </c>
      <c r="B897" s="620" t="s">
        <v>3226</v>
      </c>
      <c r="C897" s="620">
        <v>414</v>
      </c>
      <c r="D897" s="620">
        <v>1308268</v>
      </c>
      <c r="E897" s="620">
        <v>10849794623</v>
      </c>
      <c r="F897" s="620">
        <v>8654</v>
      </c>
      <c r="G897" s="620">
        <v>8222</v>
      </c>
      <c r="H897" s="620">
        <v>8222</v>
      </c>
      <c r="I897" s="620">
        <v>-432</v>
      </c>
      <c r="J897" s="620">
        <v>-4.99</v>
      </c>
      <c r="K897" s="620">
        <v>8293</v>
      </c>
      <c r="L897" s="620">
        <v>-361</v>
      </c>
      <c r="M897" s="620">
        <v>-4.17</v>
      </c>
      <c r="N897" s="620">
        <v>8222</v>
      </c>
      <c r="O897" s="620">
        <v>8570</v>
      </c>
      <c r="P897" s="620" t="s">
        <v>3227</v>
      </c>
      <c r="Q897" s="620" t="s">
        <v>3228</v>
      </c>
      <c r="R897" s="620">
        <v>0</v>
      </c>
      <c r="S897" s="620">
        <v>0</v>
      </c>
      <c r="T897" s="620">
        <v>0</v>
      </c>
      <c r="U897" s="620">
        <v>8222</v>
      </c>
      <c r="V897" s="620">
        <v>382310</v>
      </c>
      <c r="W897" s="620">
        <v>27</v>
      </c>
    </row>
    <row r="898" spans="1:23" x14ac:dyDescent="0.25">
      <c r="A898" s="620" t="s">
        <v>3229</v>
      </c>
      <c r="B898" s="620" t="s">
        <v>3230</v>
      </c>
      <c r="C898" s="620">
        <v>0</v>
      </c>
      <c r="D898" s="620">
        <v>0</v>
      </c>
      <c r="E898" s="620">
        <v>0</v>
      </c>
      <c r="F898" s="620">
        <v>80373</v>
      </c>
      <c r="G898" s="620">
        <v>0</v>
      </c>
      <c r="H898" s="620">
        <v>75525</v>
      </c>
      <c r="I898" s="620">
        <v>-4848</v>
      </c>
      <c r="J898" s="620">
        <v>-6.03</v>
      </c>
      <c r="K898" s="620">
        <v>80373</v>
      </c>
      <c r="L898" s="620">
        <v>0</v>
      </c>
      <c r="M898" s="620">
        <v>0</v>
      </c>
      <c r="N898" s="620">
        <v>0</v>
      </c>
      <c r="O898" s="620">
        <v>0</v>
      </c>
      <c r="R898" s="620">
        <v>1</v>
      </c>
      <c r="S898" s="620">
        <v>100</v>
      </c>
      <c r="T898" s="620">
        <v>80000</v>
      </c>
      <c r="U898" s="620">
        <v>83000</v>
      </c>
      <c r="V898" s="620">
        <v>50</v>
      </c>
      <c r="W898" s="620">
        <v>1</v>
      </c>
    </row>
    <row r="899" spans="1:23" x14ac:dyDescent="0.25">
      <c r="A899" s="620" t="s">
        <v>3231</v>
      </c>
      <c r="B899" s="620" t="s">
        <v>1944</v>
      </c>
      <c r="C899" s="620">
        <v>125</v>
      </c>
      <c r="D899" s="620">
        <v>12500000</v>
      </c>
      <c r="E899" s="620">
        <v>12500000</v>
      </c>
      <c r="F899" s="620">
        <v>20923</v>
      </c>
      <c r="G899" s="620">
        <v>1</v>
      </c>
      <c r="H899" s="620">
        <v>1</v>
      </c>
      <c r="I899" s="620">
        <v>-20922</v>
      </c>
      <c r="J899" s="620">
        <v>-100</v>
      </c>
      <c r="K899" s="620">
        <v>1</v>
      </c>
      <c r="L899" s="620">
        <v>-20922</v>
      </c>
      <c r="M899" s="620">
        <v>-100</v>
      </c>
      <c r="N899" s="620">
        <v>1</v>
      </c>
      <c r="O899" s="620">
        <v>1</v>
      </c>
      <c r="R899" s="620">
        <v>0</v>
      </c>
      <c r="S899" s="620">
        <v>0</v>
      </c>
      <c r="T899" s="620">
        <v>0</v>
      </c>
      <c r="U899" s="620">
        <v>0</v>
      </c>
      <c r="V899" s="620">
        <v>0</v>
      </c>
      <c r="W899" s="620">
        <v>0</v>
      </c>
    </row>
    <row r="900" spans="1:23" x14ac:dyDescent="0.25">
      <c r="A900" s="620" t="s">
        <v>3232</v>
      </c>
      <c r="B900" s="620" t="s">
        <v>3233</v>
      </c>
      <c r="C900" s="620">
        <v>0</v>
      </c>
      <c r="D900" s="620">
        <v>0</v>
      </c>
      <c r="E900" s="620">
        <v>0</v>
      </c>
      <c r="F900" s="620">
        <v>1</v>
      </c>
      <c r="G900" s="620">
        <v>0</v>
      </c>
      <c r="H900" s="620">
        <v>1</v>
      </c>
      <c r="I900" s="620">
        <v>0</v>
      </c>
      <c r="J900" s="620">
        <v>0</v>
      </c>
      <c r="K900" s="620">
        <v>1</v>
      </c>
      <c r="L900" s="620">
        <v>0</v>
      </c>
      <c r="M900" s="620">
        <v>0</v>
      </c>
      <c r="N900" s="620">
        <v>0</v>
      </c>
      <c r="O900" s="620">
        <v>0</v>
      </c>
      <c r="R900" s="620">
        <v>1</v>
      </c>
      <c r="S900" s="620">
        <v>10</v>
      </c>
      <c r="T900" s="620">
        <v>10</v>
      </c>
      <c r="U900" s="620">
        <v>0</v>
      </c>
      <c r="V900" s="620">
        <v>0</v>
      </c>
      <c r="W900" s="620">
        <v>0</v>
      </c>
    </row>
    <row r="901" spans="1:23" x14ac:dyDescent="0.25">
      <c r="A901" s="620" t="s">
        <v>3234</v>
      </c>
      <c r="B901" s="620" t="s">
        <v>3235</v>
      </c>
      <c r="C901" s="620">
        <v>25</v>
      </c>
      <c r="D901" s="620">
        <v>19147</v>
      </c>
      <c r="E901" s="620">
        <v>293983038</v>
      </c>
      <c r="F901" s="620">
        <v>15828</v>
      </c>
      <c r="G901" s="620">
        <v>15354</v>
      </c>
      <c r="H901" s="620">
        <v>15354</v>
      </c>
      <c r="I901" s="620">
        <v>-474</v>
      </c>
      <c r="J901" s="620">
        <v>-2.99</v>
      </c>
      <c r="K901" s="620">
        <v>15354</v>
      </c>
      <c r="L901" s="620">
        <v>-474</v>
      </c>
      <c r="M901" s="620">
        <v>-2.99</v>
      </c>
      <c r="N901" s="620">
        <v>15354</v>
      </c>
      <c r="O901" s="620">
        <v>15354</v>
      </c>
      <c r="P901" s="620" t="s">
        <v>3236</v>
      </c>
      <c r="Q901" s="620" t="s">
        <v>3237</v>
      </c>
      <c r="R901" s="620">
        <v>0</v>
      </c>
      <c r="S901" s="620">
        <v>0</v>
      </c>
      <c r="T901" s="620">
        <v>0</v>
      </c>
      <c r="U901" s="620">
        <v>15354</v>
      </c>
      <c r="V901" s="620">
        <v>73870</v>
      </c>
      <c r="W901" s="620">
        <v>14</v>
      </c>
    </row>
    <row r="902" spans="1:23" x14ac:dyDescent="0.25">
      <c r="A902" s="620" t="s">
        <v>3238</v>
      </c>
      <c r="B902" s="620" t="s">
        <v>3239</v>
      </c>
      <c r="C902" s="620">
        <v>93</v>
      </c>
      <c r="D902" s="620">
        <v>37542</v>
      </c>
      <c r="E902" s="620">
        <v>1094724720</v>
      </c>
      <c r="F902" s="620">
        <v>30694</v>
      </c>
      <c r="G902" s="620">
        <v>29160</v>
      </c>
      <c r="H902" s="620">
        <v>29160</v>
      </c>
      <c r="I902" s="620">
        <v>-1534</v>
      </c>
      <c r="J902" s="620">
        <v>-5</v>
      </c>
      <c r="K902" s="620">
        <v>30323</v>
      </c>
      <c r="L902" s="620">
        <v>-371</v>
      </c>
      <c r="M902" s="620">
        <v>-1.21</v>
      </c>
      <c r="N902" s="620">
        <v>29160</v>
      </c>
      <c r="O902" s="620">
        <v>29160</v>
      </c>
      <c r="P902" s="620" t="s">
        <v>3240</v>
      </c>
      <c r="Q902" s="620" t="s">
        <v>1104</v>
      </c>
      <c r="R902" s="620">
        <v>0</v>
      </c>
      <c r="S902" s="620">
        <v>0</v>
      </c>
      <c r="T902" s="620">
        <v>0</v>
      </c>
      <c r="U902" s="620">
        <v>29160</v>
      </c>
      <c r="V902" s="620">
        <v>688553</v>
      </c>
      <c r="W902" s="620">
        <v>241</v>
      </c>
    </row>
    <row r="903" spans="1:23" x14ac:dyDescent="0.25">
      <c r="A903" s="620" t="s">
        <v>3241</v>
      </c>
      <c r="B903" s="620" t="s">
        <v>2542</v>
      </c>
      <c r="C903" s="620">
        <v>244</v>
      </c>
      <c r="D903" s="620">
        <v>3769</v>
      </c>
      <c r="E903" s="620">
        <v>1438873507</v>
      </c>
      <c r="F903" s="620">
        <v>387483</v>
      </c>
      <c r="G903" s="620">
        <v>376778</v>
      </c>
      <c r="H903" s="620">
        <v>389888</v>
      </c>
      <c r="I903" s="620">
        <v>2405</v>
      </c>
      <c r="J903" s="620">
        <v>0.62</v>
      </c>
      <c r="K903" s="620">
        <v>381765</v>
      </c>
      <c r="L903" s="620">
        <v>-5718</v>
      </c>
      <c r="M903" s="620">
        <v>-1.48</v>
      </c>
      <c r="N903" s="620">
        <v>373000</v>
      </c>
      <c r="O903" s="620">
        <v>399789</v>
      </c>
      <c r="R903" s="620">
        <v>1</v>
      </c>
      <c r="S903" s="620">
        <v>3</v>
      </c>
      <c r="T903" s="620">
        <v>368109</v>
      </c>
      <c r="U903" s="620">
        <v>409528</v>
      </c>
      <c r="V903" s="620">
        <v>5</v>
      </c>
      <c r="W903" s="620">
        <v>1</v>
      </c>
    </row>
    <row r="904" spans="1:23" x14ac:dyDescent="0.25">
      <c r="A904" s="620" t="s">
        <v>3242</v>
      </c>
      <c r="B904" s="620" t="s">
        <v>3243</v>
      </c>
      <c r="C904" s="620">
        <v>0</v>
      </c>
      <c r="D904" s="620">
        <v>0</v>
      </c>
      <c r="E904" s="620">
        <v>0</v>
      </c>
      <c r="F904" s="620">
        <v>1</v>
      </c>
      <c r="G904" s="620">
        <v>0</v>
      </c>
      <c r="H904" s="620">
        <v>1</v>
      </c>
      <c r="I904" s="620">
        <v>0</v>
      </c>
      <c r="J904" s="620">
        <v>0</v>
      </c>
      <c r="K904" s="620">
        <v>1</v>
      </c>
      <c r="L904" s="620">
        <v>0</v>
      </c>
      <c r="M904" s="620">
        <v>0</v>
      </c>
      <c r="N904" s="620">
        <v>0</v>
      </c>
      <c r="O904" s="620">
        <v>0</v>
      </c>
      <c r="R904" s="620">
        <v>4</v>
      </c>
      <c r="S904" s="620">
        <v>400</v>
      </c>
      <c r="T904" s="620">
        <v>1</v>
      </c>
      <c r="U904" s="620">
        <v>0</v>
      </c>
      <c r="V904" s="620">
        <v>0</v>
      </c>
      <c r="W904" s="620">
        <v>0</v>
      </c>
    </row>
    <row r="905" spans="1:23" x14ac:dyDescent="0.25">
      <c r="A905" s="620" t="s">
        <v>3244</v>
      </c>
      <c r="B905" s="620" t="s">
        <v>602</v>
      </c>
      <c r="C905" s="620">
        <v>0</v>
      </c>
      <c r="D905" s="620">
        <v>0</v>
      </c>
      <c r="E905" s="620">
        <v>0</v>
      </c>
      <c r="F905" s="620">
        <v>736857</v>
      </c>
      <c r="G905" s="620">
        <v>0</v>
      </c>
      <c r="H905" s="620">
        <v>736857</v>
      </c>
      <c r="I905" s="620">
        <v>0</v>
      </c>
      <c r="J905" s="620">
        <v>0</v>
      </c>
      <c r="K905" s="620">
        <v>736857</v>
      </c>
      <c r="L905" s="620">
        <v>0</v>
      </c>
      <c r="M905" s="620">
        <v>0</v>
      </c>
      <c r="N905" s="620">
        <v>0</v>
      </c>
      <c r="O905" s="620">
        <v>0</v>
      </c>
      <c r="R905" s="620">
        <v>1</v>
      </c>
      <c r="S905" s="620">
        <v>5000</v>
      </c>
      <c r="T905" s="620">
        <v>795805</v>
      </c>
      <c r="U905" s="620">
        <v>0</v>
      </c>
      <c r="V905" s="620">
        <v>0</v>
      </c>
      <c r="W905" s="620">
        <v>0</v>
      </c>
    </row>
    <row r="906" spans="1:23" x14ac:dyDescent="0.25">
      <c r="A906" s="620" t="s">
        <v>3245</v>
      </c>
      <c r="B906" s="620" t="s">
        <v>3246</v>
      </c>
      <c r="C906" s="620">
        <v>147</v>
      </c>
      <c r="D906" s="620">
        <v>223738</v>
      </c>
      <c r="E906" s="620">
        <v>6679800552</v>
      </c>
      <c r="F906" s="620">
        <v>28595</v>
      </c>
      <c r="G906" s="620">
        <v>29498</v>
      </c>
      <c r="H906" s="620">
        <v>30024</v>
      </c>
      <c r="I906" s="620">
        <v>1429</v>
      </c>
      <c r="J906" s="620">
        <v>5</v>
      </c>
      <c r="K906" s="620">
        <v>29855</v>
      </c>
      <c r="L906" s="620">
        <v>1260</v>
      </c>
      <c r="M906" s="620">
        <v>4.41</v>
      </c>
      <c r="N906" s="620">
        <v>28007</v>
      </c>
      <c r="O906" s="620">
        <v>30024</v>
      </c>
      <c r="P906" s="620" t="s">
        <v>3247</v>
      </c>
      <c r="Q906" s="620" t="s">
        <v>794</v>
      </c>
      <c r="R906" s="620">
        <v>20</v>
      </c>
      <c r="S906" s="620">
        <v>13124</v>
      </c>
      <c r="T906" s="620">
        <v>30024</v>
      </c>
      <c r="U906" s="620">
        <v>30024</v>
      </c>
      <c r="V906" s="620">
        <v>389</v>
      </c>
      <c r="W906" s="620">
        <v>1</v>
      </c>
    </row>
    <row r="907" spans="1:23" x14ac:dyDescent="0.25">
      <c r="A907" s="620" t="s">
        <v>3248</v>
      </c>
      <c r="B907" s="620" t="s">
        <v>3249</v>
      </c>
      <c r="C907" s="620">
        <v>0</v>
      </c>
      <c r="D907" s="620">
        <v>0</v>
      </c>
      <c r="E907" s="620">
        <v>0</v>
      </c>
      <c r="F907" s="620">
        <v>205000</v>
      </c>
      <c r="G907" s="620">
        <v>0</v>
      </c>
      <c r="H907" s="620">
        <v>205000</v>
      </c>
      <c r="I907" s="620">
        <v>0</v>
      </c>
      <c r="J907" s="620">
        <v>0</v>
      </c>
      <c r="K907" s="620">
        <v>205000</v>
      </c>
      <c r="L907" s="620">
        <v>0</v>
      </c>
      <c r="M907" s="620">
        <v>0</v>
      </c>
      <c r="N907" s="620">
        <v>0</v>
      </c>
      <c r="O907" s="620">
        <v>0</v>
      </c>
      <c r="R907" s="620">
        <v>0</v>
      </c>
      <c r="S907" s="620">
        <v>0</v>
      </c>
      <c r="T907" s="620">
        <v>0</v>
      </c>
      <c r="U907" s="620">
        <v>205000</v>
      </c>
      <c r="V907" s="620">
        <v>42</v>
      </c>
      <c r="W907" s="620">
        <v>2</v>
      </c>
    </row>
    <row r="908" spans="1:23" x14ac:dyDescent="0.25">
      <c r="A908" s="620" t="s">
        <v>3250</v>
      </c>
      <c r="B908" s="620" t="s">
        <v>3251</v>
      </c>
      <c r="C908" s="620">
        <v>0</v>
      </c>
      <c r="D908" s="620">
        <v>0</v>
      </c>
      <c r="E908" s="620">
        <v>0</v>
      </c>
      <c r="F908" s="620">
        <v>1</v>
      </c>
      <c r="G908" s="620">
        <v>0</v>
      </c>
      <c r="H908" s="620">
        <v>1</v>
      </c>
      <c r="I908" s="620">
        <v>0</v>
      </c>
      <c r="J908" s="620">
        <v>0</v>
      </c>
      <c r="K908" s="620">
        <v>1</v>
      </c>
      <c r="L908" s="620">
        <v>0</v>
      </c>
      <c r="M908" s="620">
        <v>0</v>
      </c>
      <c r="N908" s="620">
        <v>0</v>
      </c>
      <c r="O908" s="620">
        <v>0</v>
      </c>
      <c r="R908" s="620">
        <v>1</v>
      </c>
      <c r="S908" s="620">
        <v>10</v>
      </c>
      <c r="T908" s="620">
        <v>140</v>
      </c>
      <c r="U908" s="620">
        <v>0</v>
      </c>
      <c r="V908" s="620">
        <v>0</v>
      </c>
      <c r="W908" s="620">
        <v>0</v>
      </c>
    </row>
    <row r="909" spans="1:23" x14ac:dyDescent="0.25">
      <c r="A909" s="620" t="s">
        <v>3252</v>
      </c>
      <c r="B909" s="620" t="s">
        <v>3253</v>
      </c>
      <c r="C909" s="620">
        <v>15</v>
      </c>
      <c r="D909" s="620">
        <v>22375</v>
      </c>
      <c r="E909" s="620">
        <v>157005375</v>
      </c>
      <c r="F909" s="620">
        <v>7234</v>
      </c>
      <c r="G909" s="620">
        <v>7017</v>
      </c>
      <c r="H909" s="620">
        <v>7017</v>
      </c>
      <c r="I909" s="620">
        <v>-217</v>
      </c>
      <c r="J909" s="620">
        <v>-3</v>
      </c>
      <c r="K909" s="620">
        <v>7017</v>
      </c>
      <c r="L909" s="620">
        <v>-217</v>
      </c>
      <c r="M909" s="620">
        <v>-3</v>
      </c>
      <c r="N909" s="620">
        <v>7017</v>
      </c>
      <c r="O909" s="620">
        <v>7017</v>
      </c>
      <c r="P909" s="620" t="s">
        <v>831</v>
      </c>
      <c r="Q909" s="620" t="s">
        <v>3254</v>
      </c>
      <c r="R909" s="620">
        <v>0</v>
      </c>
      <c r="S909" s="620">
        <v>0</v>
      </c>
      <c r="T909" s="620">
        <v>0</v>
      </c>
      <c r="U909" s="620">
        <v>7017</v>
      </c>
      <c r="V909" s="620">
        <v>309239</v>
      </c>
      <c r="W909" s="620">
        <v>49</v>
      </c>
    </row>
    <row r="910" spans="1:23" x14ac:dyDescent="0.25">
      <c r="A910" s="620" t="s">
        <v>3255</v>
      </c>
      <c r="B910" s="620" t="s">
        <v>3256</v>
      </c>
      <c r="C910" s="620">
        <v>0</v>
      </c>
      <c r="D910" s="620">
        <v>0</v>
      </c>
      <c r="E910" s="620">
        <v>0</v>
      </c>
      <c r="F910" s="620">
        <v>970000</v>
      </c>
      <c r="G910" s="620">
        <v>0</v>
      </c>
      <c r="H910" s="620">
        <v>970000</v>
      </c>
      <c r="I910" s="620">
        <v>0</v>
      </c>
      <c r="J910" s="620">
        <v>0</v>
      </c>
      <c r="K910" s="620">
        <v>970000</v>
      </c>
      <c r="L910" s="620">
        <v>0</v>
      </c>
      <c r="M910" s="620">
        <v>0</v>
      </c>
      <c r="N910" s="620">
        <v>0</v>
      </c>
      <c r="O910" s="620">
        <v>0</v>
      </c>
      <c r="R910" s="620">
        <v>1</v>
      </c>
      <c r="S910" s="620">
        <v>200</v>
      </c>
      <c r="T910" s="620">
        <v>960000</v>
      </c>
      <c r="U910" s="620">
        <v>970000</v>
      </c>
      <c r="V910" s="620">
        <v>19500</v>
      </c>
      <c r="W910" s="620">
        <v>1</v>
      </c>
    </row>
    <row r="911" spans="1:23" x14ac:dyDescent="0.25">
      <c r="A911" s="620" t="s">
        <v>3257</v>
      </c>
      <c r="B911" s="620" t="s">
        <v>3258</v>
      </c>
      <c r="C911" s="620">
        <v>1</v>
      </c>
      <c r="D911" s="620">
        <v>3000</v>
      </c>
      <c r="E911" s="620">
        <v>2554566000</v>
      </c>
      <c r="F911" s="620">
        <v>851522</v>
      </c>
      <c r="G911" s="620">
        <v>851522</v>
      </c>
      <c r="H911" s="620">
        <v>851522</v>
      </c>
      <c r="I911" s="620">
        <v>0</v>
      </c>
      <c r="J911" s="620">
        <v>0</v>
      </c>
      <c r="K911" s="620">
        <v>851522</v>
      </c>
      <c r="L911" s="620">
        <v>0</v>
      </c>
      <c r="M911" s="620">
        <v>0</v>
      </c>
      <c r="N911" s="620">
        <v>851522</v>
      </c>
      <c r="O911" s="620">
        <v>851522</v>
      </c>
      <c r="R911" s="620">
        <v>1</v>
      </c>
      <c r="S911" s="620">
        <v>15</v>
      </c>
      <c r="T911" s="620">
        <v>835008</v>
      </c>
      <c r="U911" s="620">
        <v>919999</v>
      </c>
      <c r="V911" s="620">
        <v>20</v>
      </c>
      <c r="W911" s="620">
        <v>1</v>
      </c>
    </row>
    <row r="912" spans="1:23" x14ac:dyDescent="0.25">
      <c r="A912" s="620" t="s">
        <v>3259</v>
      </c>
      <c r="B912" s="620" t="s">
        <v>1175</v>
      </c>
      <c r="C912" s="620">
        <v>73</v>
      </c>
      <c r="D912" s="620">
        <v>821</v>
      </c>
      <c r="E912" s="620">
        <v>309095356</v>
      </c>
      <c r="F912" s="620">
        <v>378700</v>
      </c>
      <c r="G912" s="620">
        <v>372520</v>
      </c>
      <c r="H912" s="620">
        <v>380000</v>
      </c>
      <c r="I912" s="620">
        <v>1300</v>
      </c>
      <c r="J912" s="620">
        <v>0.34</v>
      </c>
      <c r="K912" s="620">
        <v>376486</v>
      </c>
      <c r="L912" s="620">
        <v>-2214</v>
      </c>
      <c r="M912" s="620">
        <v>-0.57999999999999996</v>
      </c>
      <c r="N912" s="620">
        <v>365022</v>
      </c>
      <c r="O912" s="620">
        <v>384222</v>
      </c>
      <c r="R912" s="620">
        <v>1</v>
      </c>
      <c r="S912" s="620">
        <v>50</v>
      </c>
      <c r="T912" s="620">
        <v>360336</v>
      </c>
      <c r="U912" s="620">
        <v>471240</v>
      </c>
      <c r="V912" s="620">
        <v>25</v>
      </c>
      <c r="W912" s="620">
        <v>1</v>
      </c>
    </row>
    <row r="913" spans="1:23" x14ac:dyDescent="0.25">
      <c r="A913" s="620" t="s">
        <v>3260</v>
      </c>
      <c r="B913" s="620" t="s">
        <v>1695</v>
      </c>
      <c r="C913" s="620">
        <v>81</v>
      </c>
      <c r="D913" s="620">
        <v>1456064</v>
      </c>
      <c r="E913" s="620">
        <v>14989531625</v>
      </c>
      <c r="F913" s="620">
        <v>10290</v>
      </c>
      <c r="G913" s="620">
        <v>10297</v>
      </c>
      <c r="H913" s="620">
        <v>10297</v>
      </c>
      <c r="I913" s="620">
        <v>7</v>
      </c>
      <c r="J913" s="620">
        <v>7.0000000000000007E-2</v>
      </c>
      <c r="K913" s="620">
        <v>10295</v>
      </c>
      <c r="L913" s="620">
        <v>5</v>
      </c>
      <c r="M913" s="620">
        <v>0.05</v>
      </c>
      <c r="N913" s="620">
        <v>10293</v>
      </c>
      <c r="O913" s="620">
        <v>10299</v>
      </c>
      <c r="R913" s="620">
        <v>3</v>
      </c>
      <c r="S913" s="620">
        <v>2144</v>
      </c>
      <c r="T913" s="620">
        <v>10294</v>
      </c>
      <c r="U913" s="620">
        <v>10297</v>
      </c>
      <c r="V913" s="620">
        <v>8000</v>
      </c>
      <c r="W913" s="620">
        <v>1</v>
      </c>
    </row>
    <row r="914" spans="1:23" x14ac:dyDescent="0.25">
      <c r="A914" s="620" t="s">
        <v>3261</v>
      </c>
      <c r="B914" s="620" t="s">
        <v>3262</v>
      </c>
      <c r="C914" s="620">
        <v>746</v>
      </c>
      <c r="D914" s="620">
        <v>1351692</v>
      </c>
      <c r="E914" s="620">
        <v>21444451585</v>
      </c>
      <c r="F914" s="620">
        <v>15620</v>
      </c>
      <c r="G914" s="620">
        <v>14839</v>
      </c>
      <c r="H914" s="620">
        <v>16030</v>
      </c>
      <c r="I914" s="620">
        <v>410</v>
      </c>
      <c r="J914" s="620">
        <v>2.62</v>
      </c>
      <c r="K914" s="620">
        <v>15865</v>
      </c>
      <c r="L914" s="620">
        <v>245</v>
      </c>
      <c r="M914" s="620">
        <v>1.57</v>
      </c>
      <c r="N914" s="620">
        <v>14839</v>
      </c>
      <c r="O914" s="620">
        <v>16210</v>
      </c>
      <c r="P914" s="620" t="s">
        <v>627</v>
      </c>
      <c r="R914" s="620">
        <v>1</v>
      </c>
      <c r="S914" s="620">
        <v>598</v>
      </c>
      <c r="T914" s="620">
        <v>16043</v>
      </c>
      <c r="U914" s="620">
        <v>16100</v>
      </c>
      <c r="V914" s="620">
        <v>4491</v>
      </c>
      <c r="W914" s="620">
        <v>2</v>
      </c>
    </row>
    <row r="915" spans="1:23" x14ac:dyDescent="0.25">
      <c r="A915" s="620" t="s">
        <v>3263</v>
      </c>
      <c r="B915" s="620" t="s">
        <v>3264</v>
      </c>
      <c r="C915" s="620">
        <v>354</v>
      </c>
      <c r="D915" s="620">
        <v>1616060</v>
      </c>
      <c r="E915" s="620">
        <v>5200266440</v>
      </c>
      <c r="F915" s="620">
        <v>3425</v>
      </c>
      <c r="G915" s="620">
        <v>3300</v>
      </c>
      <c r="H915" s="620">
        <v>3094</v>
      </c>
      <c r="I915" s="620">
        <v>-331</v>
      </c>
      <c r="J915" s="620">
        <v>-9.66</v>
      </c>
      <c r="K915" s="620">
        <v>3218</v>
      </c>
      <c r="L915" s="620">
        <v>-207</v>
      </c>
      <c r="M915" s="620">
        <v>-6.04</v>
      </c>
      <c r="N915" s="620">
        <v>3091</v>
      </c>
      <c r="O915" s="620">
        <v>3420</v>
      </c>
      <c r="R915" s="620">
        <v>1</v>
      </c>
      <c r="S915" s="620">
        <v>5000</v>
      </c>
      <c r="T915" s="620">
        <v>3096</v>
      </c>
      <c r="U915" s="620">
        <v>3160</v>
      </c>
      <c r="V915" s="620">
        <v>500</v>
      </c>
      <c r="W915" s="620">
        <v>1</v>
      </c>
    </row>
    <row r="916" spans="1:23" x14ac:dyDescent="0.25">
      <c r="A916" s="620" t="s">
        <v>3265</v>
      </c>
      <c r="B916" s="620" t="s">
        <v>3266</v>
      </c>
      <c r="C916" s="620">
        <v>76</v>
      </c>
      <c r="D916" s="620">
        <v>67772</v>
      </c>
      <c r="E916" s="620">
        <v>906382728</v>
      </c>
      <c r="F916" s="620">
        <v>14077</v>
      </c>
      <c r="G916" s="620">
        <v>13374</v>
      </c>
      <c r="H916" s="620">
        <v>13374</v>
      </c>
      <c r="I916" s="620">
        <v>-703</v>
      </c>
      <c r="J916" s="620">
        <v>-4.99</v>
      </c>
      <c r="K916" s="620">
        <v>13374</v>
      </c>
      <c r="L916" s="620">
        <v>-703</v>
      </c>
      <c r="M916" s="620">
        <v>-4.99</v>
      </c>
      <c r="N916" s="620">
        <v>13374</v>
      </c>
      <c r="O916" s="620">
        <v>13374</v>
      </c>
      <c r="P916" s="620" t="s">
        <v>3267</v>
      </c>
      <c r="Q916" s="620" t="s">
        <v>3268</v>
      </c>
      <c r="R916" s="620">
        <v>1</v>
      </c>
      <c r="S916" s="620">
        <v>50000</v>
      </c>
      <c r="T916" s="620">
        <v>12885</v>
      </c>
      <c r="U916" s="620">
        <v>13374</v>
      </c>
      <c r="V916" s="620">
        <v>590256</v>
      </c>
      <c r="W916" s="620">
        <v>120</v>
      </c>
    </row>
    <row r="917" spans="1:23" x14ac:dyDescent="0.25">
      <c r="A917" s="620" t="s">
        <v>3269</v>
      </c>
      <c r="B917" s="620" t="s">
        <v>3270</v>
      </c>
      <c r="C917" s="620">
        <v>0</v>
      </c>
      <c r="D917" s="620">
        <v>0</v>
      </c>
      <c r="E917" s="620">
        <v>0</v>
      </c>
      <c r="F917" s="620">
        <v>1</v>
      </c>
      <c r="G917" s="620">
        <v>0</v>
      </c>
      <c r="H917" s="620">
        <v>1</v>
      </c>
      <c r="I917" s="620">
        <v>0</v>
      </c>
      <c r="J917" s="620">
        <v>0</v>
      </c>
      <c r="K917" s="620">
        <v>1</v>
      </c>
      <c r="L917" s="620">
        <v>0</v>
      </c>
      <c r="M917" s="620">
        <v>0</v>
      </c>
      <c r="N917" s="620">
        <v>0</v>
      </c>
      <c r="O917" s="620">
        <v>0</v>
      </c>
      <c r="R917" s="620">
        <v>1</v>
      </c>
      <c r="S917" s="620">
        <v>5</v>
      </c>
      <c r="T917" s="620">
        <v>50</v>
      </c>
      <c r="U917" s="620">
        <v>0</v>
      </c>
      <c r="V917" s="620">
        <v>0</v>
      </c>
      <c r="W917" s="620">
        <v>0</v>
      </c>
    </row>
    <row r="918" spans="1:23" x14ac:dyDescent="0.25">
      <c r="A918" s="620" t="s">
        <v>3271</v>
      </c>
      <c r="B918" s="620" t="s">
        <v>3272</v>
      </c>
      <c r="C918" s="620">
        <v>0</v>
      </c>
      <c r="D918" s="620">
        <v>0</v>
      </c>
      <c r="E918" s="620">
        <v>0</v>
      </c>
      <c r="F918" s="620">
        <v>1</v>
      </c>
      <c r="G918" s="620">
        <v>0</v>
      </c>
      <c r="H918" s="620">
        <v>1</v>
      </c>
      <c r="I918" s="620">
        <v>0</v>
      </c>
      <c r="J918" s="620">
        <v>0</v>
      </c>
      <c r="K918" s="620">
        <v>1</v>
      </c>
      <c r="L918" s="620">
        <v>0</v>
      </c>
      <c r="M918" s="620">
        <v>0</v>
      </c>
      <c r="N918" s="620">
        <v>0</v>
      </c>
      <c r="O918" s="620">
        <v>0</v>
      </c>
      <c r="R918" s="620">
        <v>1</v>
      </c>
      <c r="S918" s="620">
        <v>100</v>
      </c>
      <c r="T918" s="620">
        <v>150</v>
      </c>
      <c r="U918" s="620">
        <v>0</v>
      </c>
      <c r="V918" s="620">
        <v>0</v>
      </c>
      <c r="W918" s="620">
        <v>0</v>
      </c>
    </row>
    <row r="919" spans="1:23" x14ac:dyDescent="0.25">
      <c r="A919" s="620" t="s">
        <v>3273</v>
      </c>
      <c r="B919" s="620" t="s">
        <v>3274</v>
      </c>
      <c r="C919" s="620">
        <v>686</v>
      </c>
      <c r="D919" s="620">
        <v>1805146</v>
      </c>
      <c r="E919" s="620">
        <v>33540240926</v>
      </c>
      <c r="F919" s="620">
        <v>19410</v>
      </c>
      <c r="G919" s="620">
        <v>19100</v>
      </c>
      <c r="H919" s="620">
        <v>18440</v>
      </c>
      <c r="I919" s="620">
        <v>-970</v>
      </c>
      <c r="J919" s="620">
        <v>-5</v>
      </c>
      <c r="K919" s="620">
        <v>18580</v>
      </c>
      <c r="L919" s="620">
        <v>-830</v>
      </c>
      <c r="M919" s="620">
        <v>-4.28</v>
      </c>
      <c r="N919" s="620">
        <v>18440</v>
      </c>
      <c r="O919" s="620">
        <v>19270</v>
      </c>
      <c r="P919" s="620" t="s">
        <v>3275</v>
      </c>
      <c r="Q919" s="620" t="s">
        <v>3276</v>
      </c>
      <c r="R919" s="620">
        <v>1</v>
      </c>
      <c r="S919" s="620">
        <v>6014</v>
      </c>
      <c r="T919" s="620">
        <v>18440</v>
      </c>
      <c r="U919" s="620">
        <v>18440</v>
      </c>
      <c r="V919" s="620">
        <v>51328</v>
      </c>
      <c r="W919" s="620">
        <v>4</v>
      </c>
    </row>
    <row r="920" spans="1:23" x14ac:dyDescent="0.25">
      <c r="A920" s="620" t="s">
        <v>3277</v>
      </c>
      <c r="B920" s="620" t="s">
        <v>3278</v>
      </c>
      <c r="C920" s="620">
        <v>0</v>
      </c>
      <c r="D920" s="620">
        <v>0</v>
      </c>
      <c r="E920" s="620">
        <v>0</v>
      </c>
      <c r="F920" s="620">
        <v>142</v>
      </c>
      <c r="G920" s="620">
        <v>0</v>
      </c>
      <c r="H920" s="620">
        <v>142</v>
      </c>
      <c r="I920" s="620">
        <v>0</v>
      </c>
      <c r="J920" s="620">
        <v>0</v>
      </c>
      <c r="K920" s="620">
        <v>142</v>
      </c>
      <c r="L920" s="620">
        <v>0</v>
      </c>
      <c r="M920" s="620">
        <v>0</v>
      </c>
      <c r="N920" s="620">
        <v>0</v>
      </c>
      <c r="O920" s="620">
        <v>0</v>
      </c>
      <c r="R920" s="620">
        <v>3</v>
      </c>
      <c r="S920" s="620">
        <v>300</v>
      </c>
      <c r="T920" s="620">
        <v>171</v>
      </c>
      <c r="U920" s="620">
        <v>0</v>
      </c>
      <c r="V920" s="620">
        <v>0</v>
      </c>
      <c r="W920" s="620">
        <v>0</v>
      </c>
    </row>
    <row r="921" spans="1:23" x14ac:dyDescent="0.25">
      <c r="A921" s="620" t="s">
        <v>3279</v>
      </c>
      <c r="B921" s="620" t="s">
        <v>3280</v>
      </c>
      <c r="C921" s="620">
        <v>0</v>
      </c>
      <c r="D921" s="620">
        <v>0</v>
      </c>
      <c r="E921" s="620">
        <v>0</v>
      </c>
      <c r="F921" s="620">
        <v>1</v>
      </c>
      <c r="G921" s="620">
        <v>0</v>
      </c>
      <c r="H921" s="620">
        <v>1</v>
      </c>
      <c r="I921" s="620">
        <v>0</v>
      </c>
      <c r="J921" s="620">
        <v>0</v>
      </c>
      <c r="K921" s="620">
        <v>1</v>
      </c>
      <c r="L921" s="620">
        <v>0</v>
      </c>
      <c r="M921" s="620">
        <v>0</v>
      </c>
      <c r="N921" s="620">
        <v>0</v>
      </c>
      <c r="O921" s="620">
        <v>0</v>
      </c>
      <c r="R921" s="620">
        <v>1</v>
      </c>
      <c r="S921" s="620">
        <v>100</v>
      </c>
      <c r="T921" s="620">
        <v>296</v>
      </c>
      <c r="U921" s="620">
        <v>0</v>
      </c>
      <c r="V921" s="620">
        <v>0</v>
      </c>
      <c r="W921" s="620">
        <v>0</v>
      </c>
    </row>
    <row r="922" spans="1:23" x14ac:dyDescent="0.25">
      <c r="A922" s="620" t="s">
        <v>3281</v>
      </c>
      <c r="B922" s="620" t="s">
        <v>3282</v>
      </c>
      <c r="C922" s="620">
        <v>0</v>
      </c>
      <c r="D922" s="620">
        <v>0</v>
      </c>
      <c r="E922" s="620">
        <v>0</v>
      </c>
      <c r="F922" s="620">
        <v>479</v>
      </c>
      <c r="G922" s="620">
        <v>0</v>
      </c>
      <c r="H922" s="620">
        <v>500</v>
      </c>
      <c r="I922" s="620">
        <v>21</v>
      </c>
      <c r="J922" s="620">
        <v>4.38</v>
      </c>
      <c r="K922" s="620">
        <v>479</v>
      </c>
      <c r="L922" s="620">
        <v>0</v>
      </c>
      <c r="M922" s="620">
        <v>0</v>
      </c>
      <c r="N922" s="620">
        <v>0</v>
      </c>
      <c r="O922" s="620">
        <v>0</v>
      </c>
      <c r="R922" s="620">
        <v>1</v>
      </c>
      <c r="S922" s="620">
        <v>10</v>
      </c>
      <c r="T922" s="620">
        <v>200</v>
      </c>
      <c r="U922" s="620">
        <v>1111</v>
      </c>
      <c r="V922" s="620">
        <v>29</v>
      </c>
      <c r="W922" s="620">
        <v>1</v>
      </c>
    </row>
    <row r="923" spans="1:23" x14ac:dyDescent="0.25">
      <c r="A923" s="620" t="s">
        <v>3283</v>
      </c>
      <c r="B923" s="620" t="s">
        <v>3284</v>
      </c>
      <c r="C923" s="620">
        <v>46</v>
      </c>
      <c r="D923" s="620">
        <v>75229</v>
      </c>
      <c r="E923" s="620">
        <v>680278543</v>
      </c>
      <c r="F923" s="620">
        <v>8927</v>
      </c>
      <c r="G923" s="620">
        <v>8749</v>
      </c>
      <c r="H923" s="620">
        <v>9105</v>
      </c>
      <c r="I923" s="620">
        <v>178</v>
      </c>
      <c r="J923" s="620">
        <v>1.99</v>
      </c>
      <c r="K923" s="620">
        <v>9043</v>
      </c>
      <c r="L923" s="620">
        <v>116</v>
      </c>
      <c r="M923" s="620">
        <v>1.3</v>
      </c>
      <c r="N923" s="620">
        <v>8749</v>
      </c>
      <c r="O923" s="620">
        <v>9105</v>
      </c>
      <c r="P923" s="620" t="s">
        <v>3285</v>
      </c>
      <c r="Q923" s="620" t="s">
        <v>3286</v>
      </c>
      <c r="R923" s="620">
        <v>2</v>
      </c>
      <c r="S923" s="620">
        <v>8756</v>
      </c>
      <c r="T923" s="620">
        <v>9105</v>
      </c>
      <c r="U923" s="620">
        <v>0</v>
      </c>
      <c r="V923" s="620">
        <v>0</v>
      </c>
      <c r="W923" s="620">
        <v>0</v>
      </c>
    </row>
    <row r="924" spans="1:23" x14ac:dyDescent="0.25">
      <c r="A924" s="620" t="s">
        <v>3287</v>
      </c>
      <c r="B924" s="620" t="s">
        <v>3288</v>
      </c>
      <c r="C924" s="620">
        <v>2399</v>
      </c>
      <c r="D924" s="620">
        <v>55264749</v>
      </c>
      <c r="E924" s="620">
        <v>118176975399</v>
      </c>
      <c r="F924" s="620">
        <v>2250</v>
      </c>
      <c r="G924" s="620">
        <v>2138</v>
      </c>
      <c r="H924" s="620">
        <v>2138</v>
      </c>
      <c r="I924" s="620">
        <v>-112</v>
      </c>
      <c r="J924" s="620">
        <v>-4.9800000000000004</v>
      </c>
      <c r="K924" s="620">
        <v>2138</v>
      </c>
      <c r="L924" s="620">
        <v>-112</v>
      </c>
      <c r="M924" s="620">
        <v>-4.9800000000000004</v>
      </c>
      <c r="N924" s="620">
        <v>2138</v>
      </c>
      <c r="O924" s="620">
        <v>2183</v>
      </c>
      <c r="P924" s="620" t="s">
        <v>2958</v>
      </c>
      <c r="Q924" s="620" t="s">
        <v>3289</v>
      </c>
      <c r="R924" s="620">
        <v>1</v>
      </c>
      <c r="S924" s="620">
        <v>2000</v>
      </c>
      <c r="T924" s="620">
        <v>2094</v>
      </c>
      <c r="U924" s="620">
        <v>2138</v>
      </c>
      <c r="V924" s="620">
        <v>10341912</v>
      </c>
      <c r="W924" s="620">
        <v>210</v>
      </c>
    </row>
    <row r="925" spans="1:23" x14ac:dyDescent="0.25">
      <c r="A925" s="620" t="s">
        <v>3290</v>
      </c>
      <c r="B925" s="620" t="s">
        <v>3291</v>
      </c>
      <c r="C925" s="620">
        <v>0</v>
      </c>
      <c r="D925" s="620">
        <v>0</v>
      </c>
      <c r="E925" s="620">
        <v>0</v>
      </c>
      <c r="F925" s="620">
        <v>2610</v>
      </c>
      <c r="G925" s="620">
        <v>0</v>
      </c>
      <c r="H925" s="620">
        <v>2610</v>
      </c>
      <c r="I925" s="620">
        <v>0</v>
      </c>
      <c r="J925" s="620">
        <v>0</v>
      </c>
      <c r="K925" s="620">
        <v>2610</v>
      </c>
      <c r="L925" s="620">
        <v>0</v>
      </c>
      <c r="M925" s="620">
        <v>0</v>
      </c>
      <c r="N925" s="620">
        <v>0</v>
      </c>
      <c r="O925" s="620">
        <v>0</v>
      </c>
      <c r="R925" s="620">
        <v>1</v>
      </c>
      <c r="S925" s="620">
        <v>100</v>
      </c>
      <c r="T925" s="620">
        <v>160</v>
      </c>
      <c r="U925" s="620">
        <v>0</v>
      </c>
      <c r="V925" s="620">
        <v>0</v>
      </c>
      <c r="W925" s="620">
        <v>0</v>
      </c>
    </row>
    <row r="926" spans="1:23" x14ac:dyDescent="0.25">
      <c r="A926" s="620" t="s">
        <v>3292</v>
      </c>
      <c r="B926" s="620" t="s">
        <v>3293</v>
      </c>
      <c r="C926" s="620">
        <v>151</v>
      </c>
      <c r="D926" s="620">
        <v>46557</v>
      </c>
      <c r="E926" s="620">
        <v>3075829911</v>
      </c>
      <c r="F926" s="620">
        <v>64256</v>
      </c>
      <c r="G926" s="620">
        <v>66000</v>
      </c>
      <c r="H926" s="620">
        <v>65100</v>
      </c>
      <c r="I926" s="620">
        <v>844</v>
      </c>
      <c r="J926" s="620">
        <v>1.31</v>
      </c>
      <c r="K926" s="620">
        <v>64816</v>
      </c>
      <c r="L926" s="620">
        <v>560</v>
      </c>
      <c r="M926" s="620">
        <v>0.87</v>
      </c>
      <c r="N926" s="620">
        <v>64500</v>
      </c>
      <c r="O926" s="620">
        <v>66853</v>
      </c>
      <c r="P926" s="620" t="s">
        <v>3294</v>
      </c>
      <c r="Q926" s="620" t="s">
        <v>3295</v>
      </c>
      <c r="R926" s="620">
        <v>1</v>
      </c>
      <c r="S926" s="620">
        <v>1700</v>
      </c>
      <c r="T926" s="620">
        <v>65000</v>
      </c>
      <c r="U926" s="620">
        <v>66666</v>
      </c>
      <c r="V926" s="620">
        <v>300</v>
      </c>
      <c r="W926" s="620">
        <v>1</v>
      </c>
    </row>
    <row r="927" spans="1:23" x14ac:dyDescent="0.25">
      <c r="A927" s="620" t="s">
        <v>3296</v>
      </c>
      <c r="B927" s="620" t="s">
        <v>3297</v>
      </c>
      <c r="C927" s="620">
        <v>0</v>
      </c>
      <c r="D927" s="620">
        <v>0</v>
      </c>
      <c r="E927" s="620">
        <v>0</v>
      </c>
      <c r="F927" s="620">
        <v>676</v>
      </c>
      <c r="G927" s="620">
        <v>0</v>
      </c>
      <c r="H927" s="620">
        <v>680</v>
      </c>
      <c r="I927" s="620">
        <v>4</v>
      </c>
      <c r="J927" s="620">
        <v>0.59</v>
      </c>
      <c r="K927" s="620">
        <v>676</v>
      </c>
      <c r="L927" s="620">
        <v>0</v>
      </c>
      <c r="M927" s="620">
        <v>0</v>
      </c>
      <c r="N927" s="620">
        <v>0</v>
      </c>
      <c r="O927" s="620">
        <v>0</v>
      </c>
      <c r="R927" s="620">
        <v>1</v>
      </c>
      <c r="S927" s="620">
        <v>15</v>
      </c>
      <c r="T927" s="620">
        <v>200</v>
      </c>
      <c r="U927" s="620">
        <v>0</v>
      </c>
      <c r="V927" s="620">
        <v>0</v>
      </c>
      <c r="W927" s="620">
        <v>0</v>
      </c>
    </row>
    <row r="928" spans="1:23" x14ac:dyDescent="0.25">
      <c r="A928" s="620" t="s">
        <v>3298</v>
      </c>
      <c r="B928" s="620" t="s">
        <v>3299</v>
      </c>
      <c r="C928" s="620">
        <v>18</v>
      </c>
      <c r="D928" s="620">
        <v>20402</v>
      </c>
      <c r="E928" s="620">
        <v>240886414</v>
      </c>
      <c r="F928" s="620">
        <v>12428</v>
      </c>
      <c r="G928" s="620">
        <v>11807</v>
      </c>
      <c r="H928" s="620">
        <v>11807</v>
      </c>
      <c r="I928" s="620">
        <v>-621</v>
      </c>
      <c r="J928" s="620">
        <v>-5</v>
      </c>
      <c r="K928" s="620">
        <v>12328</v>
      </c>
      <c r="L928" s="620">
        <v>-100</v>
      </c>
      <c r="M928" s="620">
        <v>-0.8</v>
      </c>
      <c r="N928" s="620">
        <v>11807</v>
      </c>
      <c r="O928" s="620">
        <v>11807</v>
      </c>
      <c r="P928" s="620" t="s">
        <v>2486</v>
      </c>
      <c r="Q928" s="620" t="s">
        <v>3300</v>
      </c>
      <c r="R928" s="620">
        <v>0</v>
      </c>
      <c r="S928" s="620">
        <v>0</v>
      </c>
      <c r="T928" s="620">
        <v>0</v>
      </c>
      <c r="U928" s="620">
        <v>11807</v>
      </c>
      <c r="V928" s="620">
        <v>817125</v>
      </c>
      <c r="W928" s="620">
        <v>57</v>
      </c>
    </row>
    <row r="929" spans="1:23" x14ac:dyDescent="0.25">
      <c r="A929" s="620" t="s">
        <v>3301</v>
      </c>
      <c r="B929" s="620" t="s">
        <v>3302</v>
      </c>
      <c r="C929" s="620">
        <v>124</v>
      </c>
      <c r="D929" s="620">
        <v>291072</v>
      </c>
      <c r="E929" s="620">
        <v>4813872664</v>
      </c>
      <c r="F929" s="620">
        <v>17407</v>
      </c>
      <c r="G929" s="620">
        <v>16537</v>
      </c>
      <c r="H929" s="620">
        <v>16537</v>
      </c>
      <c r="I929" s="620">
        <v>-870</v>
      </c>
      <c r="J929" s="620">
        <v>-5</v>
      </c>
      <c r="K929" s="620">
        <v>16538</v>
      </c>
      <c r="L929" s="620">
        <v>-869</v>
      </c>
      <c r="M929" s="620">
        <v>-4.99</v>
      </c>
      <c r="N929" s="620">
        <v>16537</v>
      </c>
      <c r="O929" s="620">
        <v>16620</v>
      </c>
      <c r="P929" s="620" t="s">
        <v>3202</v>
      </c>
      <c r="Q929" s="620" t="s">
        <v>3303</v>
      </c>
      <c r="R929" s="620">
        <v>0</v>
      </c>
      <c r="S929" s="620">
        <v>0</v>
      </c>
      <c r="T929" s="620">
        <v>0</v>
      </c>
      <c r="U929" s="620">
        <v>16537</v>
      </c>
      <c r="V929" s="620">
        <v>70470</v>
      </c>
      <c r="W929" s="620">
        <v>36</v>
      </c>
    </row>
    <row r="930" spans="1:23" x14ac:dyDescent="0.25">
      <c r="A930" s="620" t="s">
        <v>3304</v>
      </c>
      <c r="B930" s="620" t="s">
        <v>3305</v>
      </c>
      <c r="C930" s="620">
        <v>52</v>
      </c>
      <c r="D930" s="620">
        <v>11308</v>
      </c>
      <c r="E930" s="620">
        <v>898432464</v>
      </c>
      <c r="F930" s="620">
        <v>78275</v>
      </c>
      <c r="G930" s="620">
        <v>75927</v>
      </c>
      <c r="H930" s="620">
        <v>78731</v>
      </c>
      <c r="I930" s="620">
        <v>456</v>
      </c>
      <c r="J930" s="620">
        <v>0.57999999999999996</v>
      </c>
      <c r="K930" s="620">
        <v>79451</v>
      </c>
      <c r="L930" s="620">
        <v>1176</v>
      </c>
      <c r="M930" s="620">
        <v>1.5</v>
      </c>
      <c r="N930" s="620">
        <v>75927</v>
      </c>
      <c r="O930" s="620">
        <v>80500</v>
      </c>
      <c r="P930" s="620" t="s">
        <v>3306</v>
      </c>
      <c r="Q930" s="620" t="s">
        <v>3307</v>
      </c>
      <c r="R930" s="620">
        <v>1</v>
      </c>
      <c r="S930" s="620">
        <v>100</v>
      </c>
      <c r="T930" s="620">
        <v>78701</v>
      </c>
      <c r="U930" s="620">
        <v>78731</v>
      </c>
      <c r="V930" s="620">
        <v>10</v>
      </c>
      <c r="W930" s="620">
        <v>1</v>
      </c>
    </row>
    <row r="931" spans="1:23" x14ac:dyDescent="0.25">
      <c r="A931" s="620" t="s">
        <v>3308</v>
      </c>
      <c r="B931" s="620" t="s">
        <v>3309</v>
      </c>
      <c r="C931" s="620">
        <v>0</v>
      </c>
      <c r="D931" s="620">
        <v>0</v>
      </c>
      <c r="E931" s="620">
        <v>0</v>
      </c>
      <c r="F931" s="620">
        <v>2184</v>
      </c>
      <c r="G931" s="620">
        <v>0</v>
      </c>
      <c r="H931" s="620">
        <v>2240</v>
      </c>
      <c r="I931" s="620">
        <v>56</v>
      </c>
      <c r="J931" s="620">
        <v>2.56</v>
      </c>
      <c r="K931" s="620">
        <v>2120</v>
      </c>
      <c r="L931" s="620">
        <v>-64</v>
      </c>
      <c r="M931" s="620">
        <v>-2.93</v>
      </c>
      <c r="N931" s="620">
        <v>0</v>
      </c>
      <c r="O931" s="620">
        <v>0</v>
      </c>
      <c r="R931" s="620">
        <v>1</v>
      </c>
      <c r="S931" s="620">
        <v>2</v>
      </c>
      <c r="T931" s="620">
        <v>2120</v>
      </c>
      <c r="U931" s="620">
        <v>0</v>
      </c>
      <c r="V931" s="620">
        <v>0</v>
      </c>
      <c r="W931" s="620">
        <v>0</v>
      </c>
    </row>
    <row r="932" spans="1:23" x14ac:dyDescent="0.25">
      <c r="A932" s="620" t="s">
        <v>3310</v>
      </c>
      <c r="B932" s="620" t="s">
        <v>3311</v>
      </c>
      <c r="C932" s="620">
        <v>570</v>
      </c>
      <c r="D932" s="620">
        <v>3637462</v>
      </c>
      <c r="E932" s="620">
        <v>6974821997</v>
      </c>
      <c r="F932" s="620">
        <v>1973</v>
      </c>
      <c r="G932" s="620">
        <v>1914</v>
      </c>
      <c r="H932" s="620">
        <v>1914</v>
      </c>
      <c r="I932" s="620">
        <v>-59</v>
      </c>
      <c r="J932" s="620">
        <v>-2.99</v>
      </c>
      <c r="K932" s="620">
        <v>1917</v>
      </c>
      <c r="L932" s="620">
        <v>-56</v>
      </c>
      <c r="M932" s="620">
        <v>-2.84</v>
      </c>
      <c r="N932" s="620">
        <v>1914</v>
      </c>
      <c r="O932" s="620">
        <v>1998</v>
      </c>
      <c r="P932" s="620" t="s">
        <v>3312</v>
      </c>
      <c r="Q932" s="620" t="s">
        <v>3313</v>
      </c>
      <c r="R932" s="620">
        <v>0</v>
      </c>
      <c r="S932" s="620">
        <v>0</v>
      </c>
      <c r="T932" s="620">
        <v>0</v>
      </c>
      <c r="U932" s="620">
        <v>1914</v>
      </c>
      <c r="V932" s="620">
        <v>337091</v>
      </c>
      <c r="W932" s="620">
        <v>8</v>
      </c>
    </row>
    <row r="933" spans="1:23" x14ac:dyDescent="0.25">
      <c r="A933" s="620" t="s">
        <v>3314</v>
      </c>
      <c r="B933" s="620" t="s">
        <v>3315</v>
      </c>
      <c r="C933" s="620">
        <v>0</v>
      </c>
      <c r="D933" s="620">
        <v>0</v>
      </c>
      <c r="E933" s="620">
        <v>0</v>
      </c>
      <c r="F933" s="620">
        <v>200</v>
      </c>
      <c r="G933" s="620">
        <v>0</v>
      </c>
      <c r="H933" s="620">
        <v>200</v>
      </c>
      <c r="I933" s="620">
        <v>0</v>
      </c>
      <c r="J933" s="620">
        <v>0</v>
      </c>
      <c r="K933" s="620">
        <v>200</v>
      </c>
      <c r="L933" s="620">
        <v>0</v>
      </c>
      <c r="M933" s="620">
        <v>0</v>
      </c>
      <c r="N933" s="620">
        <v>0</v>
      </c>
      <c r="O933" s="620">
        <v>0</v>
      </c>
      <c r="R933" s="620">
        <v>0</v>
      </c>
      <c r="S933" s="620">
        <v>0</v>
      </c>
      <c r="T933" s="620">
        <v>0</v>
      </c>
      <c r="U933" s="620">
        <v>195</v>
      </c>
      <c r="V933" s="620">
        <v>30</v>
      </c>
      <c r="W933" s="620">
        <v>2</v>
      </c>
    </row>
    <row r="934" spans="1:23" x14ac:dyDescent="0.25">
      <c r="A934" s="620" t="s">
        <v>3316</v>
      </c>
      <c r="B934" s="620" t="s">
        <v>3317</v>
      </c>
      <c r="C934" s="620">
        <v>205</v>
      </c>
      <c r="D934" s="620">
        <v>114727</v>
      </c>
      <c r="E934" s="620">
        <v>2461467785</v>
      </c>
      <c r="F934" s="620">
        <v>22584</v>
      </c>
      <c r="G934" s="620">
        <v>21455</v>
      </c>
      <c r="H934" s="620">
        <v>21455</v>
      </c>
      <c r="I934" s="620">
        <v>-1129</v>
      </c>
      <c r="J934" s="620">
        <v>-5</v>
      </c>
      <c r="K934" s="620">
        <v>21685</v>
      </c>
      <c r="L934" s="620">
        <v>-899</v>
      </c>
      <c r="M934" s="620">
        <v>-3.98</v>
      </c>
      <c r="N934" s="620">
        <v>21455</v>
      </c>
      <c r="O934" s="620">
        <v>21455</v>
      </c>
      <c r="P934" s="620" t="s">
        <v>3318</v>
      </c>
      <c r="Q934" s="620" t="s">
        <v>3319</v>
      </c>
      <c r="R934" s="620">
        <v>0</v>
      </c>
      <c r="S934" s="620">
        <v>0</v>
      </c>
      <c r="T934" s="620">
        <v>0</v>
      </c>
      <c r="U934" s="620">
        <v>21455</v>
      </c>
      <c r="V934" s="620">
        <v>621902</v>
      </c>
      <c r="W934" s="620">
        <v>230</v>
      </c>
    </row>
    <row r="935" spans="1:23" x14ac:dyDescent="0.25">
      <c r="A935" s="620" t="s">
        <v>3320</v>
      </c>
      <c r="B935" s="620" t="s">
        <v>3321</v>
      </c>
      <c r="C935" s="620">
        <v>326</v>
      </c>
      <c r="D935" s="620">
        <v>460565</v>
      </c>
      <c r="E935" s="620">
        <v>6033892262</v>
      </c>
      <c r="F935" s="620">
        <v>13751</v>
      </c>
      <c r="G935" s="620">
        <v>13064</v>
      </c>
      <c r="H935" s="620">
        <v>13064</v>
      </c>
      <c r="I935" s="620">
        <v>-687</v>
      </c>
      <c r="J935" s="620">
        <v>-5</v>
      </c>
      <c r="K935" s="620">
        <v>13101</v>
      </c>
      <c r="L935" s="620">
        <v>-650</v>
      </c>
      <c r="M935" s="620">
        <v>-4.7300000000000004</v>
      </c>
      <c r="N935" s="620">
        <v>13064</v>
      </c>
      <c r="O935" s="620">
        <v>13749</v>
      </c>
      <c r="P935" s="620" t="s">
        <v>3322</v>
      </c>
      <c r="Q935" s="620" t="s">
        <v>3323</v>
      </c>
      <c r="R935" s="620">
        <v>1</v>
      </c>
      <c r="S935" s="620">
        <v>100</v>
      </c>
      <c r="T935" s="620">
        <v>11715</v>
      </c>
      <c r="U935" s="620">
        <v>13064</v>
      </c>
      <c r="V935" s="620">
        <v>62354</v>
      </c>
      <c r="W935" s="620">
        <v>15</v>
      </c>
    </row>
    <row r="936" spans="1:23" x14ac:dyDescent="0.25">
      <c r="A936" s="620" t="s">
        <v>3324</v>
      </c>
      <c r="B936" s="620" t="s">
        <v>3325</v>
      </c>
      <c r="C936" s="620">
        <v>1080</v>
      </c>
      <c r="D936" s="620">
        <v>15699674</v>
      </c>
      <c r="E936" s="620">
        <v>36356612468</v>
      </c>
      <c r="F936" s="620">
        <v>2234</v>
      </c>
      <c r="G936" s="620">
        <v>2205</v>
      </c>
      <c r="H936" s="620">
        <v>2285</v>
      </c>
      <c r="I936" s="620">
        <v>51</v>
      </c>
      <c r="J936" s="620">
        <v>2.2799999999999998</v>
      </c>
      <c r="K936" s="620">
        <v>2316</v>
      </c>
      <c r="L936" s="620">
        <v>82</v>
      </c>
      <c r="M936" s="620">
        <v>3.67</v>
      </c>
      <c r="N936" s="620">
        <v>2203</v>
      </c>
      <c r="O936" s="620">
        <v>2345</v>
      </c>
      <c r="P936" s="620" t="s">
        <v>3326</v>
      </c>
      <c r="Q936" s="620" t="s">
        <v>3327</v>
      </c>
      <c r="R936" s="620">
        <v>1</v>
      </c>
      <c r="S936" s="620">
        <v>500</v>
      </c>
      <c r="T936" s="620">
        <v>2268</v>
      </c>
      <c r="U936" s="620">
        <v>2300</v>
      </c>
      <c r="V936" s="620">
        <v>14112</v>
      </c>
      <c r="W936" s="620">
        <v>2</v>
      </c>
    </row>
    <row r="937" spans="1:23" x14ac:dyDescent="0.25">
      <c r="A937" s="620" t="s">
        <v>3328</v>
      </c>
      <c r="B937" s="620" t="s">
        <v>3329</v>
      </c>
      <c r="C937" s="620">
        <v>53</v>
      </c>
      <c r="D937" s="620">
        <v>276943</v>
      </c>
      <c r="E937" s="620">
        <v>715343769</v>
      </c>
      <c r="F937" s="620">
        <v>2662</v>
      </c>
      <c r="G937" s="620">
        <v>2583</v>
      </c>
      <c r="H937" s="620">
        <v>2583</v>
      </c>
      <c r="I937" s="620">
        <v>-79</v>
      </c>
      <c r="J937" s="620">
        <v>-2.97</v>
      </c>
      <c r="K937" s="620">
        <v>2583</v>
      </c>
      <c r="L937" s="620">
        <v>-79</v>
      </c>
      <c r="M937" s="620">
        <v>-2.97</v>
      </c>
      <c r="N937" s="620">
        <v>2583</v>
      </c>
      <c r="O937" s="620">
        <v>2583</v>
      </c>
      <c r="P937" s="620" t="s">
        <v>3137</v>
      </c>
      <c r="Q937" s="620" t="s">
        <v>3330</v>
      </c>
      <c r="R937" s="620">
        <v>0</v>
      </c>
      <c r="S937" s="620">
        <v>0</v>
      </c>
      <c r="T937" s="620">
        <v>0</v>
      </c>
      <c r="U937" s="620">
        <v>2583</v>
      </c>
      <c r="V937" s="620">
        <v>491633</v>
      </c>
      <c r="W937" s="620">
        <v>31</v>
      </c>
    </row>
    <row r="938" spans="1:23" x14ac:dyDescent="0.25">
      <c r="A938" s="620" t="s">
        <v>3331</v>
      </c>
      <c r="B938" s="620" t="s">
        <v>3332</v>
      </c>
      <c r="C938" s="620">
        <v>486</v>
      </c>
      <c r="D938" s="620">
        <v>2103165</v>
      </c>
      <c r="E938" s="620">
        <v>15897708601</v>
      </c>
      <c r="F938" s="620">
        <v>7955</v>
      </c>
      <c r="G938" s="620">
        <v>7558</v>
      </c>
      <c r="H938" s="620">
        <v>7558</v>
      </c>
      <c r="I938" s="620">
        <v>-397</v>
      </c>
      <c r="J938" s="620">
        <v>-4.99</v>
      </c>
      <c r="K938" s="620">
        <v>7559</v>
      </c>
      <c r="L938" s="620">
        <v>-396</v>
      </c>
      <c r="M938" s="620">
        <v>-4.9800000000000004</v>
      </c>
      <c r="N938" s="620">
        <v>7558</v>
      </c>
      <c r="O938" s="620">
        <v>7799</v>
      </c>
      <c r="P938" s="620" t="s">
        <v>3333</v>
      </c>
      <c r="Q938" s="620" t="s">
        <v>3334</v>
      </c>
      <c r="R938" s="620">
        <v>0</v>
      </c>
      <c r="S938" s="620">
        <v>0</v>
      </c>
      <c r="T938" s="620">
        <v>0</v>
      </c>
      <c r="U938" s="620">
        <v>7558</v>
      </c>
      <c r="V938" s="620">
        <v>1562803</v>
      </c>
      <c r="W938" s="620">
        <v>64</v>
      </c>
    </row>
    <row r="939" spans="1:23" x14ac:dyDescent="0.25">
      <c r="A939" s="620" t="s">
        <v>3335</v>
      </c>
      <c r="B939" s="620" t="s">
        <v>3336</v>
      </c>
      <c r="C939" s="620">
        <v>43</v>
      </c>
      <c r="D939" s="620">
        <v>201889</v>
      </c>
      <c r="E939" s="620">
        <v>2050838518</v>
      </c>
      <c r="F939" s="620">
        <v>10788</v>
      </c>
      <c r="G939" s="620">
        <v>10465</v>
      </c>
      <c r="H939" s="620">
        <v>10152</v>
      </c>
      <c r="I939" s="620">
        <v>-636</v>
      </c>
      <c r="J939" s="620">
        <v>-5.9</v>
      </c>
      <c r="K939" s="620">
        <v>10158</v>
      </c>
      <c r="L939" s="620">
        <v>-630</v>
      </c>
      <c r="M939" s="620">
        <v>-5.84</v>
      </c>
      <c r="N939" s="620">
        <v>10152</v>
      </c>
      <c r="O939" s="620">
        <v>10465</v>
      </c>
      <c r="P939" s="620" t="s">
        <v>3337</v>
      </c>
      <c r="Q939" s="620" t="s">
        <v>3338</v>
      </c>
      <c r="R939" s="620">
        <v>0</v>
      </c>
      <c r="S939" s="620">
        <v>0</v>
      </c>
      <c r="T939" s="620">
        <v>0</v>
      </c>
      <c r="U939" s="620">
        <v>10152</v>
      </c>
      <c r="V939" s="620">
        <v>223765</v>
      </c>
      <c r="W939" s="620">
        <v>17</v>
      </c>
    </row>
    <row r="940" spans="1:23" x14ac:dyDescent="0.25">
      <c r="A940" s="620" t="s">
        <v>3339</v>
      </c>
      <c r="B940" s="620" t="s">
        <v>3340</v>
      </c>
      <c r="C940" s="620">
        <v>670</v>
      </c>
      <c r="D940" s="620">
        <v>2508240</v>
      </c>
      <c r="E940" s="620">
        <v>32514610100</v>
      </c>
      <c r="F940" s="620">
        <v>13628</v>
      </c>
      <c r="G940" s="620">
        <v>12947</v>
      </c>
      <c r="H940" s="620">
        <v>12947</v>
      </c>
      <c r="I940" s="620">
        <v>-681</v>
      </c>
      <c r="J940" s="620">
        <v>-5</v>
      </c>
      <c r="K940" s="620">
        <v>12963</v>
      </c>
      <c r="L940" s="620">
        <v>-665</v>
      </c>
      <c r="M940" s="620">
        <v>-4.88</v>
      </c>
      <c r="N940" s="620">
        <v>12947</v>
      </c>
      <c r="O940" s="620">
        <v>13499</v>
      </c>
      <c r="P940" s="620" t="s">
        <v>3341</v>
      </c>
      <c r="Q940" s="620" t="s">
        <v>3342</v>
      </c>
      <c r="R940" s="620">
        <v>1</v>
      </c>
      <c r="S940" s="620">
        <v>130</v>
      </c>
      <c r="T940" s="620">
        <v>12947</v>
      </c>
      <c r="U940" s="620">
        <v>12947</v>
      </c>
      <c r="V940" s="620">
        <v>155618</v>
      </c>
      <c r="W940" s="620">
        <v>16</v>
      </c>
    </row>
    <row r="941" spans="1:23" x14ac:dyDescent="0.25">
      <c r="A941" s="620" t="s">
        <v>3343</v>
      </c>
      <c r="B941" s="620" t="s">
        <v>3344</v>
      </c>
      <c r="C941" s="620">
        <v>743</v>
      </c>
      <c r="D941" s="620">
        <v>7219284</v>
      </c>
      <c r="E941" s="620">
        <v>29608853424</v>
      </c>
      <c r="F941" s="620">
        <v>4315</v>
      </c>
      <c r="G941" s="620">
        <v>4100</v>
      </c>
      <c r="H941" s="620">
        <v>4100</v>
      </c>
      <c r="I941" s="620">
        <v>-215</v>
      </c>
      <c r="J941" s="620">
        <v>-4.9800000000000004</v>
      </c>
      <c r="K941" s="620">
        <v>4101</v>
      </c>
      <c r="L941" s="620">
        <v>-214</v>
      </c>
      <c r="M941" s="620">
        <v>-4.96</v>
      </c>
      <c r="N941" s="620">
        <v>4100</v>
      </c>
      <c r="O941" s="620">
        <v>4200</v>
      </c>
      <c r="P941" s="620" t="s">
        <v>1387</v>
      </c>
      <c r="Q941" s="620" t="s">
        <v>3345</v>
      </c>
      <c r="R941" s="620">
        <v>1</v>
      </c>
      <c r="S941" s="620">
        <v>4136</v>
      </c>
      <c r="T941" s="620">
        <v>3610</v>
      </c>
      <c r="U941" s="620">
        <v>4100</v>
      </c>
      <c r="V941" s="620">
        <v>40000</v>
      </c>
      <c r="W941" s="620">
        <v>3</v>
      </c>
    </row>
    <row r="942" spans="1:23" x14ac:dyDescent="0.25">
      <c r="A942" s="620" t="s">
        <v>3346</v>
      </c>
      <c r="B942" s="620" t="s">
        <v>3347</v>
      </c>
      <c r="C942" s="620">
        <v>23845</v>
      </c>
      <c r="D942" s="620">
        <v>816015727</v>
      </c>
      <c r="E942" s="620">
        <v>393568866906</v>
      </c>
      <c r="F942" s="620">
        <v>465</v>
      </c>
      <c r="G942" s="620">
        <v>460</v>
      </c>
      <c r="H942" s="620">
        <v>484</v>
      </c>
      <c r="I942" s="620">
        <v>19</v>
      </c>
      <c r="J942" s="620">
        <v>4.09</v>
      </c>
      <c r="K942" s="620">
        <v>482</v>
      </c>
      <c r="L942" s="620">
        <v>17</v>
      </c>
      <c r="M942" s="620">
        <v>3.66</v>
      </c>
      <c r="N942" s="620">
        <v>455</v>
      </c>
      <c r="O942" s="620">
        <v>488</v>
      </c>
      <c r="P942" s="620" t="s">
        <v>1816</v>
      </c>
      <c r="Q942" s="620" t="s">
        <v>3348</v>
      </c>
      <c r="R942" s="620">
        <v>1</v>
      </c>
      <c r="S942" s="620">
        <v>7402</v>
      </c>
      <c r="T942" s="620">
        <v>484</v>
      </c>
      <c r="U942" s="620">
        <v>484</v>
      </c>
      <c r="V942" s="620">
        <v>3175558</v>
      </c>
      <c r="W942" s="620">
        <v>39</v>
      </c>
    </row>
    <row r="943" spans="1:23" x14ac:dyDescent="0.25">
      <c r="A943" s="620" t="s">
        <v>3349</v>
      </c>
      <c r="B943" s="620" t="s">
        <v>3350</v>
      </c>
      <c r="C943" s="620">
        <v>0</v>
      </c>
      <c r="D943" s="620">
        <v>0</v>
      </c>
      <c r="E943" s="620">
        <v>0</v>
      </c>
      <c r="F943" s="620">
        <v>107440</v>
      </c>
      <c r="G943" s="620">
        <v>0</v>
      </c>
      <c r="H943" s="620">
        <v>107438</v>
      </c>
      <c r="I943" s="620">
        <v>-2</v>
      </c>
      <c r="J943" s="620">
        <v>0</v>
      </c>
      <c r="K943" s="620">
        <v>107440</v>
      </c>
      <c r="L943" s="620">
        <v>0</v>
      </c>
      <c r="M943" s="620">
        <v>0</v>
      </c>
      <c r="N943" s="620">
        <v>0</v>
      </c>
      <c r="O943" s="620">
        <v>0</v>
      </c>
      <c r="R943" s="620">
        <v>1</v>
      </c>
      <c r="S943" s="620">
        <v>2000</v>
      </c>
      <c r="T943" s="620">
        <v>110201</v>
      </c>
      <c r="U943" s="620">
        <v>112402</v>
      </c>
      <c r="V943" s="620">
        <v>193658</v>
      </c>
      <c r="W943" s="620">
        <v>1</v>
      </c>
    </row>
    <row r="944" spans="1:23" x14ac:dyDescent="0.25">
      <c r="A944" s="620" t="s">
        <v>3351</v>
      </c>
      <c r="B944" s="620" t="s">
        <v>3352</v>
      </c>
      <c r="C944" s="620">
        <v>0</v>
      </c>
      <c r="D944" s="620">
        <v>0</v>
      </c>
      <c r="E944" s="620">
        <v>0</v>
      </c>
      <c r="F944" s="620">
        <v>400</v>
      </c>
      <c r="G944" s="620">
        <v>0</v>
      </c>
      <c r="H944" s="620">
        <v>400</v>
      </c>
      <c r="I944" s="620">
        <v>0</v>
      </c>
      <c r="J944" s="620">
        <v>0</v>
      </c>
      <c r="K944" s="620">
        <v>400</v>
      </c>
      <c r="L944" s="620">
        <v>0</v>
      </c>
      <c r="M944" s="620">
        <v>0</v>
      </c>
      <c r="N944" s="620">
        <v>0</v>
      </c>
      <c r="O944" s="620">
        <v>0</v>
      </c>
      <c r="R944" s="620">
        <v>0</v>
      </c>
      <c r="S944" s="620">
        <v>0</v>
      </c>
      <c r="T944" s="620">
        <v>0</v>
      </c>
      <c r="U944" s="620">
        <v>444</v>
      </c>
      <c r="V944" s="620">
        <v>5</v>
      </c>
      <c r="W944" s="620">
        <v>1</v>
      </c>
    </row>
    <row r="945" spans="1:23" x14ac:dyDescent="0.25">
      <c r="A945" s="620" t="s">
        <v>3353</v>
      </c>
      <c r="B945" s="620" t="s">
        <v>3354</v>
      </c>
      <c r="C945" s="620">
        <v>2</v>
      </c>
      <c r="D945" s="620">
        <v>200</v>
      </c>
      <c r="E945" s="620">
        <v>500000000</v>
      </c>
      <c r="F945" s="620">
        <v>2100</v>
      </c>
      <c r="G945" s="620">
        <v>2450</v>
      </c>
      <c r="H945" s="620">
        <v>2550</v>
      </c>
      <c r="I945" s="620">
        <v>450</v>
      </c>
      <c r="J945" s="620">
        <v>21.43</v>
      </c>
      <c r="K945" s="620">
        <v>2500</v>
      </c>
      <c r="L945" s="620">
        <v>400</v>
      </c>
      <c r="M945" s="620">
        <v>19.05</v>
      </c>
      <c r="N945" s="620">
        <v>2450</v>
      </c>
      <c r="O945" s="620">
        <v>2550</v>
      </c>
      <c r="R945" s="620">
        <v>1</v>
      </c>
      <c r="S945" s="620">
        <v>10</v>
      </c>
      <c r="T945" s="620">
        <v>415</v>
      </c>
      <c r="U945" s="620">
        <v>2490</v>
      </c>
      <c r="V945" s="620">
        <v>50</v>
      </c>
      <c r="W945" s="620">
        <v>1</v>
      </c>
    </row>
    <row r="946" spans="1:23" x14ac:dyDescent="0.25">
      <c r="A946" s="620" t="s">
        <v>3355</v>
      </c>
      <c r="B946" s="620" t="s">
        <v>3356</v>
      </c>
      <c r="C946" s="620">
        <v>0</v>
      </c>
      <c r="D946" s="620">
        <v>0</v>
      </c>
      <c r="E946" s="620">
        <v>0</v>
      </c>
      <c r="F946" s="620">
        <v>1000000</v>
      </c>
      <c r="G946" s="620">
        <v>0</v>
      </c>
      <c r="H946" s="620">
        <v>1000000</v>
      </c>
      <c r="I946" s="620">
        <v>0</v>
      </c>
      <c r="J946" s="620">
        <v>0</v>
      </c>
      <c r="K946" s="620">
        <v>1000000</v>
      </c>
      <c r="L946" s="620">
        <v>0</v>
      </c>
      <c r="M946" s="620">
        <v>0</v>
      </c>
      <c r="N946" s="620">
        <v>0</v>
      </c>
      <c r="O946" s="620">
        <v>0</v>
      </c>
      <c r="R946" s="620">
        <v>1</v>
      </c>
      <c r="S946" s="620">
        <v>200</v>
      </c>
      <c r="T946" s="620">
        <v>950000</v>
      </c>
      <c r="U946" s="620">
        <v>0</v>
      </c>
      <c r="V946" s="620">
        <v>0</v>
      </c>
      <c r="W946" s="620">
        <v>0</v>
      </c>
    </row>
    <row r="947" spans="1:23" x14ac:dyDescent="0.25">
      <c r="A947" s="620" t="s">
        <v>3357</v>
      </c>
      <c r="B947" s="620" t="s">
        <v>3358</v>
      </c>
      <c r="C947" s="620">
        <v>0</v>
      </c>
      <c r="D947" s="620">
        <v>0</v>
      </c>
      <c r="E947" s="620">
        <v>0</v>
      </c>
      <c r="F947" s="620">
        <v>1</v>
      </c>
      <c r="G947" s="620">
        <v>0</v>
      </c>
      <c r="H947" s="620">
        <v>1</v>
      </c>
      <c r="I947" s="620">
        <v>0</v>
      </c>
      <c r="J947" s="620">
        <v>0</v>
      </c>
      <c r="K947" s="620">
        <v>1</v>
      </c>
      <c r="L947" s="620">
        <v>0</v>
      </c>
      <c r="M947" s="620">
        <v>0</v>
      </c>
      <c r="N947" s="620">
        <v>0</v>
      </c>
      <c r="O947" s="620">
        <v>0</v>
      </c>
      <c r="R947" s="620">
        <v>1</v>
      </c>
      <c r="S947" s="620">
        <v>100</v>
      </c>
      <c r="T947" s="620">
        <v>247</v>
      </c>
      <c r="U947" s="620">
        <v>0</v>
      </c>
      <c r="V947" s="620">
        <v>0</v>
      </c>
      <c r="W947" s="620">
        <v>0</v>
      </c>
    </row>
    <row r="948" spans="1:23" x14ac:dyDescent="0.25">
      <c r="A948" s="620" t="s">
        <v>3359</v>
      </c>
      <c r="B948" s="620" t="s">
        <v>3360</v>
      </c>
      <c r="C948" s="620">
        <v>23</v>
      </c>
      <c r="D948" s="620">
        <v>7911</v>
      </c>
      <c r="E948" s="620">
        <v>554387058</v>
      </c>
      <c r="F948" s="620">
        <v>68704</v>
      </c>
      <c r="G948" s="620">
        <v>70078</v>
      </c>
      <c r="H948" s="620">
        <v>70078</v>
      </c>
      <c r="I948" s="620">
        <v>1374</v>
      </c>
      <c r="J948" s="620">
        <v>2</v>
      </c>
      <c r="K948" s="620">
        <v>70078</v>
      </c>
      <c r="L948" s="620">
        <v>1374</v>
      </c>
      <c r="M948" s="620">
        <v>2</v>
      </c>
      <c r="N948" s="620">
        <v>70078</v>
      </c>
      <c r="O948" s="620">
        <v>70078</v>
      </c>
      <c r="P948" s="620" t="s">
        <v>3361</v>
      </c>
      <c r="Q948" s="620" t="s">
        <v>3362</v>
      </c>
      <c r="R948" s="620">
        <v>14</v>
      </c>
      <c r="S948" s="620">
        <v>20773</v>
      </c>
      <c r="T948" s="620">
        <v>70078</v>
      </c>
      <c r="U948" s="620">
        <v>0</v>
      </c>
      <c r="V948" s="620">
        <v>0</v>
      </c>
      <c r="W948" s="620">
        <v>0</v>
      </c>
    </row>
    <row r="949" spans="1:23" x14ac:dyDescent="0.25">
      <c r="A949" s="620" t="s">
        <v>3363</v>
      </c>
      <c r="B949" s="620" t="s">
        <v>3364</v>
      </c>
      <c r="C949" s="620">
        <v>85</v>
      </c>
      <c r="D949" s="620">
        <v>86183</v>
      </c>
      <c r="E949" s="620">
        <v>5297349337</v>
      </c>
      <c r="F949" s="620">
        <v>63367</v>
      </c>
      <c r="G949" s="620">
        <v>61466</v>
      </c>
      <c r="H949" s="620">
        <v>62463</v>
      </c>
      <c r="I949" s="620">
        <v>-904</v>
      </c>
      <c r="J949" s="620">
        <v>-1.43</v>
      </c>
      <c r="K949" s="620">
        <v>61466</v>
      </c>
      <c r="L949" s="620">
        <v>-1901</v>
      </c>
      <c r="M949" s="620">
        <v>-3</v>
      </c>
      <c r="N949" s="620">
        <v>61466</v>
      </c>
      <c r="O949" s="620">
        <v>62463</v>
      </c>
      <c r="P949" s="620" t="s">
        <v>3365</v>
      </c>
      <c r="Q949" s="620" t="s">
        <v>3366</v>
      </c>
      <c r="R949" s="620">
        <v>0</v>
      </c>
      <c r="S949" s="620">
        <v>0</v>
      </c>
      <c r="T949" s="620">
        <v>0</v>
      </c>
      <c r="U949" s="620">
        <v>62465</v>
      </c>
      <c r="V949" s="620">
        <v>3320</v>
      </c>
      <c r="W949" s="620">
        <v>2</v>
      </c>
    </row>
    <row r="950" spans="1:23" x14ac:dyDescent="0.25">
      <c r="A950" s="620" t="s">
        <v>3367</v>
      </c>
      <c r="B950" s="620" t="s">
        <v>3368</v>
      </c>
      <c r="C950" s="620">
        <v>0</v>
      </c>
      <c r="D950" s="620">
        <v>0</v>
      </c>
      <c r="E950" s="620">
        <v>0</v>
      </c>
      <c r="F950" s="620">
        <v>1000000</v>
      </c>
      <c r="G950" s="620">
        <v>0</v>
      </c>
      <c r="H950" s="620">
        <v>1000000</v>
      </c>
      <c r="I950" s="620">
        <v>0</v>
      </c>
      <c r="J950" s="620">
        <v>0</v>
      </c>
      <c r="K950" s="620">
        <v>1000000</v>
      </c>
      <c r="L950" s="620">
        <v>0</v>
      </c>
      <c r="M950" s="620">
        <v>0</v>
      </c>
      <c r="N950" s="620">
        <v>0</v>
      </c>
      <c r="O950" s="620">
        <v>0</v>
      </c>
      <c r="R950" s="620">
        <v>2</v>
      </c>
      <c r="S950" s="620">
        <v>16500</v>
      </c>
      <c r="T950" s="620">
        <v>990000</v>
      </c>
      <c r="U950" s="620">
        <v>0</v>
      </c>
      <c r="V950" s="620">
        <v>0</v>
      </c>
      <c r="W950" s="620">
        <v>0</v>
      </c>
    </row>
    <row r="951" spans="1:23" x14ac:dyDescent="0.25">
      <c r="A951" s="620" t="s">
        <v>3369</v>
      </c>
      <c r="B951" s="620" t="s">
        <v>3370</v>
      </c>
      <c r="C951" s="620">
        <v>147</v>
      </c>
      <c r="D951" s="620">
        <v>275376</v>
      </c>
      <c r="E951" s="620">
        <v>6103399124</v>
      </c>
      <c r="F951" s="620">
        <v>23297</v>
      </c>
      <c r="G951" s="620">
        <v>22603</v>
      </c>
      <c r="H951" s="620">
        <v>22133</v>
      </c>
      <c r="I951" s="620">
        <v>-1164</v>
      </c>
      <c r="J951" s="620">
        <v>-5</v>
      </c>
      <c r="K951" s="620">
        <v>22164</v>
      </c>
      <c r="L951" s="620">
        <v>-1133</v>
      </c>
      <c r="M951" s="620">
        <v>-4.8600000000000003</v>
      </c>
      <c r="N951" s="620">
        <v>22133</v>
      </c>
      <c r="O951" s="620">
        <v>22603</v>
      </c>
      <c r="P951" s="620" t="s">
        <v>3371</v>
      </c>
      <c r="Q951" s="620" t="s">
        <v>2588</v>
      </c>
      <c r="R951" s="620">
        <v>1</v>
      </c>
      <c r="S951" s="620">
        <v>500</v>
      </c>
      <c r="T951" s="620">
        <v>22134</v>
      </c>
      <c r="U951" s="620">
        <v>22376</v>
      </c>
      <c r="V951" s="620">
        <v>119</v>
      </c>
      <c r="W951" s="620">
        <v>1</v>
      </c>
    </row>
    <row r="952" spans="1:23" x14ac:dyDescent="0.25">
      <c r="A952" s="620" t="s">
        <v>3372</v>
      </c>
      <c r="B952" s="620" t="s">
        <v>3373</v>
      </c>
      <c r="C952" s="620">
        <v>28</v>
      </c>
      <c r="D952" s="620">
        <v>56773</v>
      </c>
      <c r="E952" s="620">
        <v>362154967</v>
      </c>
      <c r="F952" s="620">
        <v>6714</v>
      </c>
      <c r="G952" s="620">
        <v>6379</v>
      </c>
      <c r="H952" s="620">
        <v>6379</v>
      </c>
      <c r="I952" s="620">
        <v>-335</v>
      </c>
      <c r="J952" s="620">
        <v>-4.99</v>
      </c>
      <c r="K952" s="620">
        <v>6379</v>
      </c>
      <c r="L952" s="620">
        <v>-335</v>
      </c>
      <c r="M952" s="620">
        <v>-4.99</v>
      </c>
      <c r="N952" s="620">
        <v>6379</v>
      </c>
      <c r="O952" s="620">
        <v>6379</v>
      </c>
      <c r="P952" s="620" t="s">
        <v>3374</v>
      </c>
      <c r="Q952" s="620" t="s">
        <v>3375</v>
      </c>
      <c r="R952" s="620">
        <v>0</v>
      </c>
      <c r="S952" s="620">
        <v>0</v>
      </c>
      <c r="T952" s="620">
        <v>0</v>
      </c>
      <c r="U952" s="620">
        <v>6379</v>
      </c>
      <c r="V952" s="620">
        <v>89067</v>
      </c>
      <c r="W952" s="620">
        <v>18</v>
      </c>
    </row>
    <row r="953" spans="1:23" x14ac:dyDescent="0.25">
      <c r="A953" s="620" t="s">
        <v>3376</v>
      </c>
      <c r="B953" s="620" t="s">
        <v>3377</v>
      </c>
      <c r="C953" s="620">
        <v>148</v>
      </c>
      <c r="D953" s="620">
        <v>869516</v>
      </c>
      <c r="E953" s="620">
        <v>2934616500</v>
      </c>
      <c r="F953" s="620">
        <v>3552</v>
      </c>
      <c r="G953" s="620">
        <v>3375</v>
      </c>
      <c r="H953" s="620">
        <v>3375</v>
      </c>
      <c r="I953" s="620">
        <v>-177</v>
      </c>
      <c r="J953" s="620">
        <v>-4.9800000000000004</v>
      </c>
      <c r="K953" s="620">
        <v>3375</v>
      </c>
      <c r="L953" s="620">
        <v>-177</v>
      </c>
      <c r="M953" s="620">
        <v>-4.9800000000000004</v>
      </c>
      <c r="N953" s="620">
        <v>3375</v>
      </c>
      <c r="O953" s="620">
        <v>3375</v>
      </c>
      <c r="P953" s="620" t="s">
        <v>3378</v>
      </c>
      <c r="Q953" s="620" t="s">
        <v>3379</v>
      </c>
      <c r="R953" s="620">
        <v>1</v>
      </c>
      <c r="S953" s="620">
        <v>500</v>
      </c>
      <c r="T953" s="620">
        <v>2655</v>
      </c>
      <c r="U953" s="620">
        <v>3375</v>
      </c>
      <c r="V953" s="620">
        <v>1539918</v>
      </c>
      <c r="W953" s="620">
        <v>93</v>
      </c>
    </row>
    <row r="954" spans="1:23" x14ac:dyDescent="0.25">
      <c r="A954" s="620" t="s">
        <v>3380</v>
      </c>
      <c r="B954" s="620" t="s">
        <v>3381</v>
      </c>
      <c r="C954" s="620">
        <v>0</v>
      </c>
      <c r="D954" s="620">
        <v>0</v>
      </c>
      <c r="E954" s="620">
        <v>0</v>
      </c>
      <c r="F954" s="620">
        <v>1</v>
      </c>
      <c r="G954" s="620">
        <v>0</v>
      </c>
      <c r="H954" s="620">
        <v>1</v>
      </c>
      <c r="I954" s="620">
        <v>0</v>
      </c>
      <c r="J954" s="620">
        <v>0</v>
      </c>
      <c r="K954" s="620">
        <v>1</v>
      </c>
      <c r="L954" s="620">
        <v>0</v>
      </c>
      <c r="M954" s="620">
        <v>0</v>
      </c>
      <c r="N954" s="620">
        <v>0</v>
      </c>
      <c r="O954" s="620">
        <v>0</v>
      </c>
      <c r="R954" s="620">
        <v>1</v>
      </c>
      <c r="S954" s="620">
        <v>50</v>
      </c>
      <c r="T954" s="620">
        <v>22</v>
      </c>
      <c r="U954" s="620">
        <v>0</v>
      </c>
      <c r="V954" s="620">
        <v>0</v>
      </c>
      <c r="W954" s="620">
        <v>0</v>
      </c>
    </row>
    <row r="955" spans="1:23" x14ac:dyDescent="0.25">
      <c r="A955" s="620" t="s">
        <v>3382</v>
      </c>
      <c r="B955" s="620" t="s">
        <v>3383</v>
      </c>
      <c r="C955" s="620">
        <v>0</v>
      </c>
      <c r="D955" s="620">
        <v>0</v>
      </c>
      <c r="E955" s="620">
        <v>0</v>
      </c>
      <c r="F955" s="620">
        <v>1531</v>
      </c>
      <c r="G955" s="620">
        <v>0</v>
      </c>
      <c r="H955" s="620">
        <v>7000</v>
      </c>
      <c r="I955" s="620">
        <v>5469</v>
      </c>
      <c r="J955" s="620">
        <v>357.22</v>
      </c>
      <c r="K955" s="620">
        <v>1531</v>
      </c>
      <c r="L955" s="620">
        <v>0</v>
      </c>
      <c r="M955" s="620">
        <v>0</v>
      </c>
      <c r="N955" s="620">
        <v>0</v>
      </c>
      <c r="O955" s="620">
        <v>0</v>
      </c>
      <c r="P955" s="620" t="s">
        <v>3384</v>
      </c>
      <c r="Q955" s="620" t="s">
        <v>3385</v>
      </c>
      <c r="R955" s="620">
        <v>1</v>
      </c>
      <c r="S955" s="620">
        <v>1000</v>
      </c>
      <c r="T955" s="620">
        <v>1575</v>
      </c>
      <c r="U955" s="620">
        <v>0</v>
      </c>
      <c r="V955" s="620">
        <v>0</v>
      </c>
      <c r="W955" s="620">
        <v>0</v>
      </c>
    </row>
    <row r="956" spans="1:23" x14ac:dyDescent="0.25">
      <c r="A956" s="620" t="s">
        <v>3386</v>
      </c>
      <c r="B956" s="620" t="s">
        <v>3387</v>
      </c>
      <c r="C956" s="620">
        <v>0</v>
      </c>
      <c r="D956" s="620">
        <v>0</v>
      </c>
      <c r="E956" s="620">
        <v>0</v>
      </c>
      <c r="F956" s="620">
        <v>1000000</v>
      </c>
      <c r="G956" s="620">
        <v>0</v>
      </c>
      <c r="H956" s="620">
        <v>1000000</v>
      </c>
      <c r="I956" s="620">
        <v>0</v>
      </c>
      <c r="J956" s="620">
        <v>0</v>
      </c>
      <c r="K956" s="620">
        <v>1000000</v>
      </c>
      <c r="L956" s="620">
        <v>0</v>
      </c>
      <c r="M956" s="620">
        <v>0</v>
      </c>
      <c r="N956" s="620">
        <v>0</v>
      </c>
      <c r="O956" s="620">
        <v>0</v>
      </c>
      <c r="R956" s="620">
        <v>1</v>
      </c>
      <c r="S956" s="620">
        <v>2</v>
      </c>
      <c r="T956" s="620">
        <v>1000000</v>
      </c>
      <c r="U956" s="620">
        <v>0</v>
      </c>
      <c r="V956" s="620">
        <v>0</v>
      </c>
      <c r="W956" s="620">
        <v>0</v>
      </c>
    </row>
    <row r="957" spans="1:23" x14ac:dyDescent="0.25">
      <c r="A957" s="620" t="s">
        <v>3388</v>
      </c>
      <c r="B957" s="620" t="s">
        <v>3389</v>
      </c>
      <c r="C957" s="620">
        <v>0</v>
      </c>
      <c r="D957" s="620">
        <v>0</v>
      </c>
      <c r="E957" s="620">
        <v>0</v>
      </c>
      <c r="F957" s="620">
        <v>1750</v>
      </c>
      <c r="G957" s="620">
        <v>0</v>
      </c>
      <c r="H957" s="620">
        <v>1750</v>
      </c>
      <c r="I957" s="620">
        <v>0</v>
      </c>
      <c r="J957" s="620">
        <v>0</v>
      </c>
      <c r="K957" s="620">
        <v>1750</v>
      </c>
      <c r="L957" s="620">
        <v>0</v>
      </c>
      <c r="M957" s="620">
        <v>0</v>
      </c>
      <c r="N957" s="620">
        <v>0</v>
      </c>
      <c r="O957" s="620">
        <v>0</v>
      </c>
      <c r="R957" s="620">
        <v>1</v>
      </c>
      <c r="S957" s="620">
        <v>1</v>
      </c>
      <c r="T957" s="620">
        <v>137</v>
      </c>
      <c r="U957" s="620">
        <v>1500</v>
      </c>
      <c r="V957" s="620">
        <v>2</v>
      </c>
      <c r="W957" s="620">
        <v>1</v>
      </c>
    </row>
    <row r="958" spans="1:23" x14ac:dyDescent="0.25">
      <c r="A958" s="620" t="s">
        <v>3390</v>
      </c>
      <c r="B958" s="620" t="s">
        <v>3391</v>
      </c>
      <c r="C958" s="620">
        <v>0</v>
      </c>
      <c r="D958" s="620">
        <v>0</v>
      </c>
      <c r="E958" s="620">
        <v>0</v>
      </c>
      <c r="F958" s="620">
        <v>1</v>
      </c>
      <c r="G958" s="620">
        <v>0</v>
      </c>
      <c r="H958" s="620">
        <v>1</v>
      </c>
      <c r="I958" s="620">
        <v>0</v>
      </c>
      <c r="J958" s="620">
        <v>0</v>
      </c>
      <c r="K958" s="620">
        <v>1</v>
      </c>
      <c r="L958" s="620">
        <v>0</v>
      </c>
      <c r="M958" s="620">
        <v>0</v>
      </c>
      <c r="N958" s="620">
        <v>0</v>
      </c>
      <c r="O958" s="620">
        <v>0</v>
      </c>
      <c r="R958" s="620">
        <v>1</v>
      </c>
      <c r="S958" s="620">
        <v>5</v>
      </c>
      <c r="T958" s="620">
        <v>30</v>
      </c>
      <c r="U958" s="620">
        <v>0</v>
      </c>
      <c r="V958" s="620">
        <v>0</v>
      </c>
      <c r="W958" s="620">
        <v>0</v>
      </c>
    </row>
    <row r="959" spans="1:23" x14ac:dyDescent="0.25">
      <c r="A959" s="620" t="s">
        <v>3392</v>
      </c>
      <c r="B959" s="620" t="s">
        <v>3393</v>
      </c>
      <c r="C959" s="620">
        <v>1735</v>
      </c>
      <c r="D959" s="620">
        <v>6291522</v>
      </c>
      <c r="E959" s="620">
        <v>156854015587</v>
      </c>
      <c r="F959" s="620">
        <v>24793</v>
      </c>
      <c r="G959" s="620">
        <v>24809</v>
      </c>
      <c r="H959" s="620">
        <v>25683</v>
      </c>
      <c r="I959" s="620">
        <v>890</v>
      </c>
      <c r="J959" s="620">
        <v>3.59</v>
      </c>
      <c r="K959" s="620">
        <v>24931</v>
      </c>
      <c r="L959" s="620">
        <v>138</v>
      </c>
      <c r="M959" s="620">
        <v>0.56000000000000005</v>
      </c>
      <c r="N959" s="620">
        <v>23616</v>
      </c>
      <c r="O959" s="620">
        <v>26000</v>
      </c>
      <c r="P959" s="620" t="s">
        <v>3394</v>
      </c>
      <c r="Q959" s="620" t="s">
        <v>3395</v>
      </c>
      <c r="R959" s="620">
        <v>1</v>
      </c>
      <c r="S959" s="620">
        <v>250</v>
      </c>
      <c r="T959" s="620">
        <v>25629</v>
      </c>
      <c r="U959" s="620">
        <v>25683</v>
      </c>
      <c r="V959" s="620">
        <v>10205</v>
      </c>
      <c r="W959" s="620">
        <v>1</v>
      </c>
    </row>
    <row r="960" spans="1:23" x14ac:dyDescent="0.25">
      <c r="A960" s="620" t="s">
        <v>3396</v>
      </c>
      <c r="B960" s="620" t="s">
        <v>3397</v>
      </c>
      <c r="C960" s="620">
        <v>120</v>
      </c>
      <c r="D960" s="620">
        <v>508055</v>
      </c>
      <c r="E960" s="620">
        <v>3808530660</v>
      </c>
      <c r="F960" s="620">
        <v>7717</v>
      </c>
      <c r="G960" s="620">
        <v>7486</v>
      </c>
      <c r="H960" s="620">
        <v>7486</v>
      </c>
      <c r="I960" s="620">
        <v>-231</v>
      </c>
      <c r="J960" s="620">
        <v>-2.99</v>
      </c>
      <c r="K960" s="620">
        <v>7496</v>
      </c>
      <c r="L960" s="620">
        <v>-221</v>
      </c>
      <c r="M960" s="620">
        <v>-2.86</v>
      </c>
      <c r="N960" s="620">
        <v>7486</v>
      </c>
      <c r="O960" s="620">
        <v>7799</v>
      </c>
      <c r="P960" s="620" t="s">
        <v>3398</v>
      </c>
      <c r="Q960" s="620" t="s">
        <v>3399</v>
      </c>
      <c r="R960" s="620">
        <v>0</v>
      </c>
      <c r="S960" s="620">
        <v>0</v>
      </c>
      <c r="T960" s="620">
        <v>0</v>
      </c>
      <c r="U960" s="620">
        <v>7486</v>
      </c>
      <c r="V960" s="620">
        <v>122024</v>
      </c>
      <c r="W960" s="620">
        <v>16</v>
      </c>
    </row>
    <row r="961" spans="1:23" x14ac:dyDescent="0.25">
      <c r="A961" s="620" t="s">
        <v>3400</v>
      </c>
      <c r="B961" s="620" t="s">
        <v>3401</v>
      </c>
      <c r="C961" s="620">
        <v>0</v>
      </c>
      <c r="D961" s="620">
        <v>0</v>
      </c>
      <c r="E961" s="620">
        <v>0</v>
      </c>
      <c r="F961" s="620">
        <v>1</v>
      </c>
      <c r="G961" s="620">
        <v>0</v>
      </c>
      <c r="H961" s="620">
        <v>1</v>
      </c>
      <c r="I961" s="620">
        <v>0</v>
      </c>
      <c r="J961" s="620">
        <v>0</v>
      </c>
      <c r="K961" s="620">
        <v>1</v>
      </c>
      <c r="L961" s="620">
        <v>0</v>
      </c>
      <c r="M961" s="620">
        <v>0</v>
      </c>
      <c r="N961" s="620">
        <v>0</v>
      </c>
      <c r="O961" s="620">
        <v>0</v>
      </c>
      <c r="R961" s="620">
        <v>1</v>
      </c>
      <c r="S961" s="620">
        <v>8</v>
      </c>
      <c r="T961" s="620">
        <v>20</v>
      </c>
      <c r="U961" s="620">
        <v>0</v>
      </c>
      <c r="V961" s="620">
        <v>0</v>
      </c>
      <c r="W961" s="620">
        <v>0</v>
      </c>
    </row>
    <row r="962" spans="1:23" x14ac:dyDescent="0.25">
      <c r="A962" s="620" t="s">
        <v>3402</v>
      </c>
      <c r="B962" s="620" t="s">
        <v>3403</v>
      </c>
      <c r="C962" s="620">
        <v>195</v>
      </c>
      <c r="D962" s="620">
        <v>1430275</v>
      </c>
      <c r="E962" s="620">
        <v>2780454600</v>
      </c>
      <c r="F962" s="620">
        <v>2004</v>
      </c>
      <c r="G962" s="620">
        <v>1944</v>
      </c>
      <c r="H962" s="620">
        <v>1944</v>
      </c>
      <c r="I962" s="620">
        <v>-60</v>
      </c>
      <c r="J962" s="620">
        <v>-2.99</v>
      </c>
      <c r="K962" s="620">
        <v>1944</v>
      </c>
      <c r="L962" s="620">
        <v>-60</v>
      </c>
      <c r="M962" s="620">
        <v>-2.99</v>
      </c>
      <c r="N962" s="620">
        <v>1944</v>
      </c>
      <c r="O962" s="620">
        <v>1944</v>
      </c>
      <c r="P962" s="620" t="s">
        <v>3404</v>
      </c>
      <c r="Q962" s="620" t="s">
        <v>1912</v>
      </c>
      <c r="R962" s="620">
        <v>0</v>
      </c>
      <c r="S962" s="620">
        <v>0</v>
      </c>
      <c r="T962" s="620">
        <v>0</v>
      </c>
      <c r="U962" s="620">
        <v>1944</v>
      </c>
      <c r="V962" s="620">
        <v>9057654</v>
      </c>
      <c r="W962" s="620">
        <v>321</v>
      </c>
    </row>
    <row r="963" spans="1:23" x14ac:dyDescent="0.25">
      <c r="A963" s="620" t="s">
        <v>3405</v>
      </c>
      <c r="B963" s="620" t="s">
        <v>3406</v>
      </c>
      <c r="C963" s="620">
        <v>1245</v>
      </c>
      <c r="D963" s="620">
        <v>825893</v>
      </c>
      <c r="E963" s="620">
        <v>31330035197</v>
      </c>
      <c r="F963" s="620">
        <v>38505</v>
      </c>
      <c r="G963" s="620">
        <v>36580</v>
      </c>
      <c r="H963" s="620">
        <v>38810</v>
      </c>
      <c r="I963" s="620">
        <v>305</v>
      </c>
      <c r="J963" s="620">
        <v>0.79</v>
      </c>
      <c r="K963" s="620">
        <v>37935</v>
      </c>
      <c r="L963" s="620">
        <v>-570</v>
      </c>
      <c r="M963" s="620">
        <v>-1.48</v>
      </c>
      <c r="N963" s="620">
        <v>36580</v>
      </c>
      <c r="O963" s="620">
        <v>39000</v>
      </c>
      <c r="P963" s="620" t="s">
        <v>3086</v>
      </c>
      <c r="Q963" s="620" t="s">
        <v>3407</v>
      </c>
      <c r="R963" s="620">
        <v>1</v>
      </c>
      <c r="S963" s="620">
        <v>100</v>
      </c>
      <c r="T963" s="620">
        <v>38810</v>
      </c>
      <c r="U963" s="620">
        <v>38810</v>
      </c>
      <c r="V963" s="620">
        <v>931</v>
      </c>
      <c r="W963" s="620">
        <v>1</v>
      </c>
    </row>
    <row r="964" spans="1:23" x14ac:dyDescent="0.25">
      <c r="A964" s="620" t="s">
        <v>3408</v>
      </c>
      <c r="B964" s="620" t="s">
        <v>3409</v>
      </c>
      <c r="C964" s="620">
        <v>97</v>
      </c>
      <c r="D964" s="620">
        <v>375864</v>
      </c>
      <c r="E964" s="620">
        <v>4529966862</v>
      </c>
      <c r="F964" s="620">
        <v>12167</v>
      </c>
      <c r="G964" s="620">
        <v>12236</v>
      </c>
      <c r="H964" s="620">
        <v>12000</v>
      </c>
      <c r="I964" s="620">
        <v>-167</v>
      </c>
      <c r="J964" s="620">
        <v>-1.37</v>
      </c>
      <c r="K964" s="620">
        <v>12052</v>
      </c>
      <c r="L964" s="620">
        <v>-115</v>
      </c>
      <c r="M964" s="620">
        <v>-0.95</v>
      </c>
      <c r="N964" s="620">
        <v>12000</v>
      </c>
      <c r="O964" s="620">
        <v>12236</v>
      </c>
      <c r="R964" s="620">
        <v>1</v>
      </c>
      <c r="S964" s="620">
        <v>1000</v>
      </c>
      <c r="T964" s="620">
        <v>12002</v>
      </c>
      <c r="U964" s="620">
        <v>12150</v>
      </c>
      <c r="V964" s="620">
        <v>4000</v>
      </c>
      <c r="W964" s="620">
        <v>1</v>
      </c>
    </row>
    <row r="965" spans="1:23" x14ac:dyDescent="0.25">
      <c r="A965" s="620" t="s">
        <v>3410</v>
      </c>
      <c r="B965" s="620" t="s">
        <v>3411</v>
      </c>
      <c r="C965" s="620">
        <v>784</v>
      </c>
      <c r="D965" s="620">
        <v>5712333</v>
      </c>
      <c r="E965" s="620">
        <v>34082183804</v>
      </c>
      <c r="F965" s="620">
        <v>6218</v>
      </c>
      <c r="G965" s="620">
        <v>5922</v>
      </c>
      <c r="H965" s="620">
        <v>5908</v>
      </c>
      <c r="I965" s="620">
        <v>-310</v>
      </c>
      <c r="J965" s="620">
        <v>-4.99</v>
      </c>
      <c r="K965" s="620">
        <v>5966</v>
      </c>
      <c r="L965" s="620">
        <v>-252</v>
      </c>
      <c r="M965" s="620">
        <v>-4.05</v>
      </c>
      <c r="N965" s="620">
        <v>5908</v>
      </c>
      <c r="O965" s="620">
        <v>6240</v>
      </c>
      <c r="P965" s="620" t="s">
        <v>3412</v>
      </c>
      <c r="Q965" s="620" t="s">
        <v>3413</v>
      </c>
      <c r="R965" s="620">
        <v>1</v>
      </c>
      <c r="S965" s="620">
        <v>2006</v>
      </c>
      <c r="T965" s="620">
        <v>4961</v>
      </c>
      <c r="U965" s="620">
        <v>5908</v>
      </c>
      <c r="V965" s="620">
        <v>107010</v>
      </c>
      <c r="W965" s="620">
        <v>6</v>
      </c>
    </row>
    <row r="966" spans="1:23" x14ac:dyDescent="0.25">
      <c r="A966" s="620" t="s">
        <v>3414</v>
      </c>
      <c r="B966" s="620" t="s">
        <v>3415</v>
      </c>
      <c r="C966" s="620">
        <v>319</v>
      </c>
      <c r="D966" s="620">
        <v>1826683</v>
      </c>
      <c r="E966" s="620">
        <v>4900990489</v>
      </c>
      <c r="F966" s="620">
        <v>2824</v>
      </c>
      <c r="G966" s="620">
        <v>2683</v>
      </c>
      <c r="H966" s="620">
        <v>2683</v>
      </c>
      <c r="I966" s="620">
        <v>-141</v>
      </c>
      <c r="J966" s="620">
        <v>-4.99</v>
      </c>
      <c r="K966" s="620">
        <v>2683</v>
      </c>
      <c r="L966" s="620">
        <v>-141</v>
      </c>
      <c r="M966" s="620">
        <v>-4.99</v>
      </c>
      <c r="N966" s="620">
        <v>2683</v>
      </c>
      <c r="O966" s="620">
        <v>2683</v>
      </c>
      <c r="P966" s="620" t="s">
        <v>3416</v>
      </c>
      <c r="Q966" s="620" t="s">
        <v>3417</v>
      </c>
      <c r="R966" s="620">
        <v>0</v>
      </c>
      <c r="S966" s="620">
        <v>0</v>
      </c>
      <c r="T966" s="620">
        <v>0</v>
      </c>
      <c r="U966" s="620">
        <v>2683</v>
      </c>
      <c r="V966" s="620">
        <v>897949</v>
      </c>
      <c r="W966" s="620">
        <v>56</v>
      </c>
    </row>
    <row r="967" spans="1:23" x14ac:dyDescent="0.25">
      <c r="A967" s="620" t="s">
        <v>3418</v>
      </c>
      <c r="B967" s="620" t="s">
        <v>3419</v>
      </c>
      <c r="C967" s="620">
        <v>5</v>
      </c>
      <c r="D967" s="620">
        <v>281</v>
      </c>
      <c r="E967" s="620">
        <v>11392188</v>
      </c>
      <c r="F967" s="620">
        <v>38730</v>
      </c>
      <c r="G967" s="620">
        <v>38684</v>
      </c>
      <c r="H967" s="620">
        <v>40723</v>
      </c>
      <c r="I967" s="620">
        <v>1993</v>
      </c>
      <c r="J967" s="620">
        <v>5.15</v>
      </c>
      <c r="K967" s="620">
        <v>40542</v>
      </c>
      <c r="L967" s="620">
        <v>1812</v>
      </c>
      <c r="M967" s="620">
        <v>4.68</v>
      </c>
      <c r="N967" s="620">
        <v>38684</v>
      </c>
      <c r="O967" s="620">
        <v>40723</v>
      </c>
      <c r="R967" s="620">
        <v>1</v>
      </c>
      <c r="S967" s="620">
        <v>127</v>
      </c>
      <c r="T967" s="620">
        <v>38788</v>
      </c>
      <c r="U967" s="620">
        <v>40723</v>
      </c>
      <c r="V967" s="620">
        <v>30</v>
      </c>
      <c r="W967" s="620">
        <v>1</v>
      </c>
    </row>
    <row r="968" spans="1:23" x14ac:dyDescent="0.25">
      <c r="A968" s="620" t="s">
        <v>3420</v>
      </c>
      <c r="B968" s="620" t="s">
        <v>3421</v>
      </c>
      <c r="C968" s="620">
        <v>191</v>
      </c>
      <c r="D968" s="620">
        <v>119439</v>
      </c>
      <c r="E968" s="620">
        <v>8830044304</v>
      </c>
      <c r="F968" s="620">
        <v>73197</v>
      </c>
      <c r="G968" s="620">
        <v>74004</v>
      </c>
      <c r="H968" s="620">
        <v>73800</v>
      </c>
      <c r="I968" s="620">
        <v>603</v>
      </c>
      <c r="J968" s="620">
        <v>0.82</v>
      </c>
      <c r="K968" s="620">
        <v>73814</v>
      </c>
      <c r="L968" s="620">
        <v>617</v>
      </c>
      <c r="M968" s="620">
        <v>0.84</v>
      </c>
      <c r="N968" s="620">
        <v>73372</v>
      </c>
      <c r="O968" s="620">
        <v>74980</v>
      </c>
      <c r="P968" s="620" t="s">
        <v>3422</v>
      </c>
      <c r="Q968" s="620" t="s">
        <v>3423</v>
      </c>
      <c r="R968" s="620">
        <v>1</v>
      </c>
      <c r="S968" s="620">
        <v>40</v>
      </c>
      <c r="T968" s="620">
        <v>73800</v>
      </c>
      <c r="U968" s="620">
        <v>74000</v>
      </c>
      <c r="V968" s="620">
        <v>717</v>
      </c>
      <c r="W968" s="620">
        <v>2</v>
      </c>
    </row>
    <row r="969" spans="1:23" x14ac:dyDescent="0.25">
      <c r="A969" s="620" t="s">
        <v>3424</v>
      </c>
      <c r="B969" s="620" t="s">
        <v>3425</v>
      </c>
      <c r="C969" s="620">
        <v>1</v>
      </c>
      <c r="D969" s="620">
        <v>55</v>
      </c>
      <c r="E969" s="620">
        <v>126500000</v>
      </c>
      <c r="F969" s="620">
        <v>2305</v>
      </c>
      <c r="G969" s="620">
        <v>2300</v>
      </c>
      <c r="H969" s="620">
        <v>2300</v>
      </c>
      <c r="I969" s="620">
        <v>-5</v>
      </c>
      <c r="J969" s="620">
        <v>-0.22</v>
      </c>
      <c r="K969" s="620">
        <v>2300</v>
      </c>
      <c r="L969" s="620">
        <v>-5</v>
      </c>
      <c r="M969" s="620">
        <v>-0.22</v>
      </c>
      <c r="N969" s="620">
        <v>2300</v>
      </c>
      <c r="O969" s="620">
        <v>2300</v>
      </c>
      <c r="R969" s="620">
        <v>1</v>
      </c>
      <c r="S969" s="620">
        <v>100</v>
      </c>
      <c r="T969" s="620">
        <v>2400</v>
      </c>
      <c r="U969" s="620">
        <v>0</v>
      </c>
      <c r="V969" s="620">
        <v>0</v>
      </c>
      <c r="W969" s="620">
        <v>0</v>
      </c>
    </row>
    <row r="970" spans="1:23" x14ac:dyDescent="0.25">
      <c r="A970" s="620" t="s">
        <v>3426</v>
      </c>
      <c r="B970" s="620" t="s">
        <v>3427</v>
      </c>
      <c r="C970" s="620">
        <v>2</v>
      </c>
      <c r="D970" s="620">
        <v>200</v>
      </c>
      <c r="E970" s="620">
        <v>200000000</v>
      </c>
      <c r="F970" s="620">
        <v>1004000</v>
      </c>
      <c r="G970" s="620">
        <v>1000000</v>
      </c>
      <c r="H970" s="620">
        <v>1000000</v>
      </c>
      <c r="I970" s="620">
        <v>-4000</v>
      </c>
      <c r="J970" s="620">
        <v>-0.4</v>
      </c>
      <c r="K970" s="620">
        <v>1000000</v>
      </c>
      <c r="L970" s="620">
        <v>-4000</v>
      </c>
      <c r="M970" s="620">
        <v>-0.4</v>
      </c>
      <c r="N970" s="620">
        <v>1000000</v>
      </c>
      <c r="O970" s="620">
        <v>1000000</v>
      </c>
      <c r="R970" s="620">
        <v>1</v>
      </c>
      <c r="S970" s="620">
        <v>800</v>
      </c>
      <c r="T970" s="620">
        <v>1000000</v>
      </c>
      <c r="U970" s="620">
        <v>1005000</v>
      </c>
      <c r="V970" s="620">
        <v>100</v>
      </c>
      <c r="W970" s="620">
        <v>1</v>
      </c>
    </row>
    <row r="971" spans="1:23" x14ac:dyDescent="0.25">
      <c r="A971" s="620" t="s">
        <v>3428</v>
      </c>
      <c r="B971" s="620" t="s">
        <v>3429</v>
      </c>
      <c r="C971" s="620">
        <v>111</v>
      </c>
      <c r="D971" s="620">
        <v>735780</v>
      </c>
      <c r="E971" s="620">
        <v>1907141760</v>
      </c>
      <c r="F971" s="620">
        <v>2728</v>
      </c>
      <c r="G971" s="620">
        <v>2592</v>
      </c>
      <c r="H971" s="620">
        <v>2592</v>
      </c>
      <c r="I971" s="620">
        <v>-136</v>
      </c>
      <c r="J971" s="620">
        <v>-4.99</v>
      </c>
      <c r="K971" s="620">
        <v>2614</v>
      </c>
      <c r="L971" s="620">
        <v>-114</v>
      </c>
      <c r="M971" s="620">
        <v>-4.18</v>
      </c>
      <c r="N971" s="620">
        <v>2592</v>
      </c>
      <c r="O971" s="620">
        <v>2592</v>
      </c>
      <c r="P971" s="620" t="s">
        <v>2826</v>
      </c>
      <c r="Q971" s="620" t="s">
        <v>3430</v>
      </c>
      <c r="R971" s="620">
        <v>0</v>
      </c>
      <c r="S971" s="620">
        <v>0</v>
      </c>
      <c r="T971" s="620">
        <v>0</v>
      </c>
      <c r="U971" s="620">
        <v>2592</v>
      </c>
      <c r="V971" s="620">
        <v>1424074</v>
      </c>
      <c r="W971" s="620">
        <v>44</v>
      </c>
    </row>
    <row r="972" spans="1:23" x14ac:dyDescent="0.25">
      <c r="A972" s="620" t="s">
        <v>3431</v>
      </c>
      <c r="B972" s="620" t="s">
        <v>3432</v>
      </c>
      <c r="C972" s="620">
        <v>0</v>
      </c>
      <c r="D972" s="620">
        <v>0</v>
      </c>
      <c r="E972" s="620">
        <v>0</v>
      </c>
      <c r="F972" s="620">
        <v>994777</v>
      </c>
      <c r="G972" s="620">
        <v>0</v>
      </c>
      <c r="H972" s="620">
        <v>995000</v>
      </c>
      <c r="I972" s="620">
        <v>223</v>
      </c>
      <c r="J972" s="620">
        <v>0.02</v>
      </c>
      <c r="K972" s="620">
        <v>994777</v>
      </c>
      <c r="L972" s="620">
        <v>0</v>
      </c>
      <c r="M972" s="620">
        <v>0</v>
      </c>
      <c r="N972" s="620">
        <v>0</v>
      </c>
      <c r="O972" s="620">
        <v>0</v>
      </c>
      <c r="R972" s="620">
        <v>1</v>
      </c>
      <c r="S972" s="620">
        <v>5999</v>
      </c>
      <c r="T972" s="620">
        <v>971000</v>
      </c>
      <c r="U972" s="620">
        <v>0</v>
      </c>
      <c r="V972" s="620">
        <v>0</v>
      </c>
      <c r="W972" s="620">
        <v>0</v>
      </c>
    </row>
    <row r="973" spans="1:23" x14ac:dyDescent="0.25">
      <c r="A973" s="620" t="s">
        <v>3433</v>
      </c>
      <c r="B973" s="620" t="s">
        <v>3434</v>
      </c>
      <c r="C973" s="620">
        <v>0</v>
      </c>
      <c r="D973" s="620">
        <v>0</v>
      </c>
      <c r="E973" s="620">
        <v>0</v>
      </c>
      <c r="F973" s="620">
        <v>995000</v>
      </c>
      <c r="G973" s="620">
        <v>0</v>
      </c>
      <c r="H973" s="620">
        <v>995000</v>
      </c>
      <c r="I973" s="620">
        <v>0</v>
      </c>
      <c r="J973" s="620">
        <v>0</v>
      </c>
      <c r="K973" s="620">
        <v>995000</v>
      </c>
      <c r="L973" s="620">
        <v>0</v>
      </c>
      <c r="M973" s="620">
        <v>0</v>
      </c>
      <c r="N973" s="620">
        <v>0</v>
      </c>
      <c r="O973" s="620">
        <v>0</v>
      </c>
      <c r="R973" s="620">
        <v>1</v>
      </c>
      <c r="S973" s="620">
        <v>2500</v>
      </c>
      <c r="T973" s="620">
        <v>995000</v>
      </c>
      <c r="U973" s="620">
        <v>1014900</v>
      </c>
      <c r="V973" s="620">
        <v>2500</v>
      </c>
      <c r="W973" s="620">
        <v>1</v>
      </c>
    </row>
    <row r="974" spans="1:23" x14ac:dyDescent="0.25">
      <c r="A974" s="620" t="s">
        <v>3435</v>
      </c>
      <c r="B974" s="620" t="s">
        <v>3436</v>
      </c>
      <c r="C974" s="620">
        <v>64</v>
      </c>
      <c r="D974" s="620">
        <v>3594</v>
      </c>
      <c r="E974" s="620">
        <v>255229000</v>
      </c>
      <c r="F974" s="620">
        <v>65</v>
      </c>
      <c r="G974" s="620">
        <v>60</v>
      </c>
      <c r="H974" s="620">
        <v>75</v>
      </c>
      <c r="I974" s="620">
        <v>10</v>
      </c>
      <c r="J974" s="620">
        <v>15.38</v>
      </c>
      <c r="K974" s="620">
        <v>71</v>
      </c>
      <c r="L974" s="620">
        <v>6</v>
      </c>
      <c r="M974" s="620">
        <v>9.23</v>
      </c>
      <c r="N974" s="620">
        <v>58</v>
      </c>
      <c r="O974" s="620">
        <v>84</v>
      </c>
      <c r="R974" s="620">
        <v>1</v>
      </c>
      <c r="S974" s="620">
        <v>5</v>
      </c>
      <c r="T974" s="620">
        <v>75</v>
      </c>
      <c r="U974" s="620">
        <v>75</v>
      </c>
      <c r="V974" s="620">
        <v>990</v>
      </c>
      <c r="W974" s="620">
        <v>10</v>
      </c>
    </row>
    <row r="975" spans="1:23" x14ac:dyDescent="0.25">
      <c r="A975" s="620" t="s">
        <v>3437</v>
      </c>
      <c r="B975" s="620" t="s">
        <v>3438</v>
      </c>
      <c r="C975" s="620">
        <v>90</v>
      </c>
      <c r="D975" s="620">
        <v>47981</v>
      </c>
      <c r="E975" s="620">
        <v>2012832365</v>
      </c>
      <c r="F975" s="620">
        <v>44129</v>
      </c>
      <c r="G975" s="620">
        <v>41934</v>
      </c>
      <c r="H975" s="620">
        <v>41923</v>
      </c>
      <c r="I975" s="620">
        <v>-2206</v>
      </c>
      <c r="J975" s="620">
        <v>-5</v>
      </c>
      <c r="K975" s="620">
        <v>42401</v>
      </c>
      <c r="L975" s="620">
        <v>-1728</v>
      </c>
      <c r="M975" s="620">
        <v>-3.92</v>
      </c>
      <c r="N975" s="620">
        <v>41923</v>
      </c>
      <c r="O975" s="620">
        <v>44437</v>
      </c>
      <c r="P975" s="620" t="s">
        <v>3439</v>
      </c>
      <c r="Q975" s="620" t="s">
        <v>3440</v>
      </c>
      <c r="R975" s="620">
        <v>0</v>
      </c>
      <c r="S975" s="620">
        <v>0</v>
      </c>
      <c r="T975" s="620">
        <v>0</v>
      </c>
      <c r="U975" s="620">
        <v>41923</v>
      </c>
      <c r="V975" s="620">
        <v>8000</v>
      </c>
      <c r="W975" s="620">
        <v>2</v>
      </c>
    </row>
    <row r="976" spans="1:23" x14ac:dyDescent="0.25">
      <c r="A976" s="620" t="s">
        <v>3441</v>
      </c>
      <c r="B976" s="620" t="s">
        <v>3442</v>
      </c>
      <c r="C976" s="620">
        <v>64</v>
      </c>
      <c r="D976" s="620">
        <v>45323</v>
      </c>
      <c r="E976" s="620">
        <v>1024282525</v>
      </c>
      <c r="F976" s="620">
        <v>23297</v>
      </c>
      <c r="G976" s="620">
        <v>22601</v>
      </c>
      <c r="H976" s="620">
        <v>22599</v>
      </c>
      <c r="I976" s="620">
        <v>-698</v>
      </c>
      <c r="J976" s="620">
        <v>-3</v>
      </c>
      <c r="K976" s="620">
        <v>22600</v>
      </c>
      <c r="L976" s="620">
        <v>-697</v>
      </c>
      <c r="M976" s="620">
        <v>-2.99</v>
      </c>
      <c r="N976" s="620">
        <v>22599</v>
      </c>
      <c r="O976" s="620">
        <v>22601</v>
      </c>
      <c r="P976" s="620" t="s">
        <v>3443</v>
      </c>
      <c r="Q976" s="620" t="s">
        <v>3444</v>
      </c>
      <c r="R976" s="620">
        <v>0</v>
      </c>
      <c r="S976" s="620">
        <v>0</v>
      </c>
      <c r="T976" s="620">
        <v>0</v>
      </c>
      <c r="U976" s="620">
        <v>22599</v>
      </c>
      <c r="V976" s="620">
        <v>49648</v>
      </c>
      <c r="W976" s="620">
        <v>19</v>
      </c>
    </row>
    <row r="977" spans="1:23" x14ac:dyDescent="0.25">
      <c r="A977" s="620" t="s">
        <v>3445</v>
      </c>
      <c r="B977" s="620" t="s">
        <v>3446</v>
      </c>
      <c r="C977" s="620">
        <v>0</v>
      </c>
      <c r="D977" s="620">
        <v>0</v>
      </c>
      <c r="E977" s="620">
        <v>0</v>
      </c>
      <c r="F977" s="620">
        <v>1</v>
      </c>
      <c r="G977" s="620">
        <v>0</v>
      </c>
      <c r="H977" s="620">
        <v>1</v>
      </c>
      <c r="I977" s="620">
        <v>0</v>
      </c>
      <c r="J977" s="620">
        <v>0</v>
      </c>
      <c r="K977" s="620">
        <v>1</v>
      </c>
      <c r="L977" s="620">
        <v>0</v>
      </c>
      <c r="M977" s="620">
        <v>0</v>
      </c>
      <c r="N977" s="620">
        <v>0</v>
      </c>
      <c r="O977" s="620">
        <v>0</v>
      </c>
      <c r="R977" s="620">
        <v>1</v>
      </c>
      <c r="S977" s="620">
        <v>100</v>
      </c>
      <c r="T977" s="620">
        <v>1</v>
      </c>
      <c r="U977" s="620">
        <v>0</v>
      </c>
      <c r="V977" s="620">
        <v>0</v>
      </c>
      <c r="W977" s="620">
        <v>0</v>
      </c>
    </row>
    <row r="978" spans="1:23" x14ac:dyDescent="0.25">
      <c r="A978" s="620" t="s">
        <v>3447</v>
      </c>
      <c r="B978" s="620" t="s">
        <v>3448</v>
      </c>
      <c r="C978" s="620">
        <v>0</v>
      </c>
      <c r="D978" s="620">
        <v>0</v>
      </c>
      <c r="E978" s="620">
        <v>0</v>
      </c>
      <c r="F978" s="620">
        <v>944350</v>
      </c>
      <c r="G978" s="620">
        <v>0</v>
      </c>
      <c r="H978" s="620">
        <v>944350</v>
      </c>
      <c r="I978" s="620">
        <v>0</v>
      </c>
      <c r="J978" s="620">
        <v>0</v>
      </c>
      <c r="K978" s="620">
        <v>944350</v>
      </c>
      <c r="L978" s="620">
        <v>0</v>
      </c>
      <c r="M978" s="620">
        <v>0</v>
      </c>
      <c r="N978" s="620">
        <v>0</v>
      </c>
      <c r="O978" s="620">
        <v>0</v>
      </c>
      <c r="R978" s="620">
        <v>1</v>
      </c>
      <c r="S978" s="620">
        <v>700</v>
      </c>
      <c r="T978" s="620">
        <v>935000</v>
      </c>
      <c r="U978" s="620">
        <v>944350</v>
      </c>
      <c r="V978" s="620">
        <v>700</v>
      </c>
      <c r="W978" s="620">
        <v>1</v>
      </c>
    </row>
    <row r="979" spans="1:23" x14ac:dyDescent="0.25">
      <c r="A979" s="620" t="s">
        <v>3449</v>
      </c>
      <c r="B979" s="620" t="s">
        <v>3450</v>
      </c>
      <c r="C979" s="620">
        <v>250</v>
      </c>
      <c r="D979" s="620">
        <v>311654</v>
      </c>
      <c r="E979" s="620">
        <v>5931687964</v>
      </c>
      <c r="F979" s="620">
        <v>19882</v>
      </c>
      <c r="G979" s="620">
        <v>18900</v>
      </c>
      <c r="H979" s="620">
        <v>18888</v>
      </c>
      <c r="I979" s="620">
        <v>-994</v>
      </c>
      <c r="J979" s="620">
        <v>-5</v>
      </c>
      <c r="K979" s="620">
        <v>19033</v>
      </c>
      <c r="L979" s="620">
        <v>-849</v>
      </c>
      <c r="M979" s="620">
        <v>-4.2699999999999996</v>
      </c>
      <c r="N979" s="620">
        <v>18888</v>
      </c>
      <c r="O979" s="620">
        <v>19870</v>
      </c>
      <c r="P979" s="620" t="s">
        <v>627</v>
      </c>
      <c r="R979" s="620">
        <v>1</v>
      </c>
      <c r="S979" s="620">
        <v>9491</v>
      </c>
      <c r="T979" s="620">
        <v>18500</v>
      </c>
      <c r="U979" s="620">
        <v>18888</v>
      </c>
      <c r="V979" s="620">
        <v>181894</v>
      </c>
      <c r="W979" s="620">
        <v>10</v>
      </c>
    </row>
    <row r="980" spans="1:23" x14ac:dyDescent="0.25">
      <c r="A980" s="620" t="s">
        <v>3451</v>
      </c>
      <c r="B980" s="620" t="s">
        <v>3452</v>
      </c>
      <c r="C980" s="620">
        <v>0</v>
      </c>
      <c r="D980" s="620">
        <v>0</v>
      </c>
      <c r="E980" s="620">
        <v>0</v>
      </c>
      <c r="F980" s="620">
        <v>550</v>
      </c>
      <c r="G980" s="620">
        <v>0</v>
      </c>
      <c r="H980" s="620">
        <v>550</v>
      </c>
      <c r="I980" s="620">
        <v>0</v>
      </c>
      <c r="J980" s="620">
        <v>0</v>
      </c>
      <c r="K980" s="620">
        <v>550</v>
      </c>
      <c r="L980" s="620">
        <v>0</v>
      </c>
      <c r="M980" s="620">
        <v>0</v>
      </c>
      <c r="N980" s="620">
        <v>0</v>
      </c>
      <c r="O980" s="620">
        <v>0</v>
      </c>
      <c r="R980" s="620">
        <v>0</v>
      </c>
      <c r="S980" s="620">
        <v>0</v>
      </c>
      <c r="T980" s="620">
        <v>0</v>
      </c>
      <c r="U980" s="620">
        <v>2000</v>
      </c>
      <c r="V980" s="620">
        <v>10</v>
      </c>
      <c r="W980" s="620">
        <v>1</v>
      </c>
    </row>
    <row r="981" spans="1:23" x14ac:dyDescent="0.25">
      <c r="A981" s="620" t="s">
        <v>3453</v>
      </c>
      <c r="B981" s="620" t="s">
        <v>3454</v>
      </c>
      <c r="C981" s="620">
        <v>0</v>
      </c>
      <c r="D981" s="620">
        <v>0</v>
      </c>
      <c r="E981" s="620">
        <v>0</v>
      </c>
      <c r="F981" s="620">
        <v>996540</v>
      </c>
      <c r="G981" s="620">
        <v>0</v>
      </c>
      <c r="H981" s="620">
        <v>995626</v>
      </c>
      <c r="I981" s="620">
        <v>-914</v>
      </c>
      <c r="J981" s="620">
        <v>-0.09</v>
      </c>
      <c r="K981" s="620">
        <v>996540</v>
      </c>
      <c r="L981" s="620">
        <v>0</v>
      </c>
      <c r="M981" s="620">
        <v>0</v>
      </c>
      <c r="N981" s="620">
        <v>0</v>
      </c>
      <c r="O981" s="620">
        <v>0</v>
      </c>
      <c r="R981" s="620">
        <v>2</v>
      </c>
      <c r="S981" s="620">
        <v>1600</v>
      </c>
      <c r="T981" s="620">
        <v>995626</v>
      </c>
      <c r="U981" s="620">
        <v>0</v>
      </c>
      <c r="V981" s="620">
        <v>0</v>
      </c>
      <c r="W981" s="620">
        <v>0</v>
      </c>
    </row>
    <row r="982" spans="1:23" x14ac:dyDescent="0.25">
      <c r="A982" s="620" t="s">
        <v>3455</v>
      </c>
      <c r="B982" s="620" t="s">
        <v>3456</v>
      </c>
      <c r="C982" s="620">
        <v>3188</v>
      </c>
      <c r="D982" s="620">
        <v>29629989</v>
      </c>
      <c r="E982" s="620">
        <v>195437010919</v>
      </c>
      <c r="F982" s="620">
        <v>6581</v>
      </c>
      <c r="G982" s="620">
        <v>6520</v>
      </c>
      <c r="H982" s="620">
        <v>6622</v>
      </c>
      <c r="I982" s="620">
        <v>41</v>
      </c>
      <c r="J982" s="620">
        <v>0.62</v>
      </c>
      <c r="K982" s="620">
        <v>6596</v>
      </c>
      <c r="L982" s="620">
        <v>15</v>
      </c>
      <c r="M982" s="620">
        <v>0.23</v>
      </c>
      <c r="N982" s="620">
        <v>6405</v>
      </c>
      <c r="O982" s="620">
        <v>6800</v>
      </c>
      <c r="P982" s="620" t="s">
        <v>3457</v>
      </c>
      <c r="Q982" s="620" t="s">
        <v>3458</v>
      </c>
      <c r="R982" s="620">
        <v>2</v>
      </c>
      <c r="S982" s="620">
        <v>56714</v>
      </c>
      <c r="T982" s="620">
        <v>6623</v>
      </c>
      <c r="U982" s="620">
        <v>6623</v>
      </c>
      <c r="V982" s="620">
        <v>3020</v>
      </c>
      <c r="W982" s="620">
        <v>1</v>
      </c>
    </row>
    <row r="983" spans="1:23" x14ac:dyDescent="0.25">
      <c r="A983" s="620" t="s">
        <v>3459</v>
      </c>
      <c r="B983" s="620" t="s">
        <v>3460</v>
      </c>
      <c r="C983" s="620">
        <v>0</v>
      </c>
      <c r="D983" s="620">
        <v>0</v>
      </c>
      <c r="E983" s="620">
        <v>0</v>
      </c>
      <c r="F983" s="620">
        <v>195635</v>
      </c>
      <c r="G983" s="620">
        <v>0</v>
      </c>
      <c r="H983" s="620">
        <v>195635</v>
      </c>
      <c r="I983" s="620">
        <v>0</v>
      </c>
      <c r="J983" s="620">
        <v>0</v>
      </c>
      <c r="K983" s="620">
        <v>195635</v>
      </c>
      <c r="L983" s="620">
        <v>0</v>
      </c>
      <c r="M983" s="620">
        <v>0</v>
      </c>
      <c r="N983" s="620">
        <v>0</v>
      </c>
      <c r="O983" s="620">
        <v>0</v>
      </c>
      <c r="R983" s="620">
        <v>0</v>
      </c>
      <c r="S983" s="620">
        <v>0</v>
      </c>
      <c r="T983" s="620">
        <v>0</v>
      </c>
      <c r="U983" s="620">
        <v>205400</v>
      </c>
      <c r="V983" s="620">
        <v>1</v>
      </c>
      <c r="W983" s="620">
        <v>1</v>
      </c>
    </row>
    <row r="984" spans="1:23" x14ac:dyDescent="0.25">
      <c r="A984" s="620" t="s">
        <v>3461</v>
      </c>
      <c r="B984" s="620" t="s">
        <v>3462</v>
      </c>
      <c r="C984" s="620">
        <v>0</v>
      </c>
      <c r="D984" s="620">
        <v>0</v>
      </c>
      <c r="E984" s="620">
        <v>0</v>
      </c>
      <c r="F984" s="620">
        <v>1000000</v>
      </c>
      <c r="G984" s="620">
        <v>0</v>
      </c>
      <c r="H984" s="620">
        <v>1000000</v>
      </c>
      <c r="I984" s="620">
        <v>0</v>
      </c>
      <c r="J984" s="620">
        <v>0</v>
      </c>
      <c r="K984" s="620">
        <v>1000000</v>
      </c>
      <c r="L984" s="620">
        <v>0</v>
      </c>
      <c r="M984" s="620">
        <v>0</v>
      </c>
      <c r="N984" s="620">
        <v>0</v>
      </c>
      <c r="O984" s="620">
        <v>0</v>
      </c>
      <c r="R984" s="620">
        <v>1</v>
      </c>
      <c r="S984" s="620">
        <v>1000</v>
      </c>
      <c r="T984" s="620">
        <v>1000001</v>
      </c>
      <c r="U984" s="620">
        <v>0</v>
      </c>
      <c r="V984" s="620">
        <v>0</v>
      </c>
      <c r="W984" s="620">
        <v>0</v>
      </c>
    </row>
    <row r="985" spans="1:23" x14ac:dyDescent="0.25">
      <c r="A985" s="620" t="s">
        <v>3463</v>
      </c>
      <c r="B985" s="620" t="s">
        <v>3464</v>
      </c>
      <c r="C985" s="620">
        <v>191</v>
      </c>
      <c r="D985" s="620">
        <v>480016</v>
      </c>
      <c r="E985" s="620">
        <v>4294700167</v>
      </c>
      <c r="F985" s="620">
        <v>9403</v>
      </c>
      <c r="G985" s="620">
        <v>8933</v>
      </c>
      <c r="H985" s="620">
        <v>8933</v>
      </c>
      <c r="I985" s="620">
        <v>-470</v>
      </c>
      <c r="J985" s="620">
        <v>-5</v>
      </c>
      <c r="K985" s="620">
        <v>8947</v>
      </c>
      <c r="L985" s="620">
        <v>-456</v>
      </c>
      <c r="M985" s="620">
        <v>-4.8499999999999996</v>
      </c>
      <c r="N985" s="620">
        <v>8933</v>
      </c>
      <c r="O985" s="620">
        <v>9200</v>
      </c>
      <c r="P985" s="620" t="s">
        <v>3465</v>
      </c>
      <c r="Q985" s="620" t="s">
        <v>3466</v>
      </c>
      <c r="R985" s="620">
        <v>0</v>
      </c>
      <c r="S985" s="620">
        <v>0</v>
      </c>
      <c r="T985" s="620">
        <v>0</v>
      </c>
      <c r="U985" s="620">
        <v>8933</v>
      </c>
      <c r="V985" s="620">
        <v>259317</v>
      </c>
      <c r="W985" s="620">
        <v>18</v>
      </c>
    </row>
    <row r="986" spans="1:23" x14ac:dyDescent="0.25">
      <c r="A986" s="620" t="s">
        <v>3467</v>
      </c>
      <c r="B986" s="620" t="s">
        <v>1880</v>
      </c>
      <c r="C986" s="620">
        <v>251</v>
      </c>
      <c r="D986" s="620">
        <v>3858</v>
      </c>
      <c r="E986" s="620">
        <v>1506629918</v>
      </c>
      <c r="F986" s="620">
        <v>392007</v>
      </c>
      <c r="G986" s="620">
        <v>395000</v>
      </c>
      <c r="H986" s="620">
        <v>372500</v>
      </c>
      <c r="I986" s="620">
        <v>-19507</v>
      </c>
      <c r="J986" s="620">
        <v>-4.9800000000000004</v>
      </c>
      <c r="K986" s="620">
        <v>390521</v>
      </c>
      <c r="L986" s="620">
        <v>-1486</v>
      </c>
      <c r="M986" s="620">
        <v>-0.38</v>
      </c>
      <c r="N986" s="620">
        <v>372407</v>
      </c>
      <c r="O986" s="620">
        <v>400000</v>
      </c>
      <c r="R986" s="620">
        <v>1</v>
      </c>
      <c r="S986" s="620">
        <v>40</v>
      </c>
      <c r="T986" s="620">
        <v>372407</v>
      </c>
      <c r="U986" s="620">
        <v>410000</v>
      </c>
      <c r="V986" s="620">
        <v>3</v>
      </c>
      <c r="W986" s="620">
        <v>1</v>
      </c>
    </row>
    <row r="987" spans="1:23" x14ac:dyDescent="0.25">
      <c r="A987" s="620" t="s">
        <v>3468</v>
      </c>
      <c r="B987" s="620" t="s">
        <v>3469</v>
      </c>
      <c r="C987" s="620">
        <v>5</v>
      </c>
      <c r="D987" s="620">
        <v>1095</v>
      </c>
      <c r="E987" s="620">
        <v>19516185</v>
      </c>
      <c r="F987" s="620">
        <v>18374</v>
      </c>
      <c r="G987" s="620">
        <v>17823</v>
      </c>
      <c r="H987" s="620">
        <v>17823</v>
      </c>
      <c r="I987" s="620">
        <v>-551</v>
      </c>
      <c r="J987" s="620">
        <v>-3</v>
      </c>
      <c r="K987" s="620">
        <v>17823</v>
      </c>
      <c r="L987" s="620">
        <v>-551</v>
      </c>
      <c r="M987" s="620">
        <v>-3</v>
      </c>
      <c r="N987" s="620">
        <v>17823</v>
      </c>
      <c r="O987" s="620">
        <v>17823</v>
      </c>
      <c r="P987" s="620" t="s">
        <v>3470</v>
      </c>
      <c r="Q987" s="620" t="s">
        <v>3471</v>
      </c>
      <c r="R987" s="620">
        <v>0</v>
      </c>
      <c r="S987" s="620">
        <v>0</v>
      </c>
      <c r="T987" s="620">
        <v>0</v>
      </c>
      <c r="U987" s="620">
        <v>17823</v>
      </c>
      <c r="V987" s="620">
        <v>51568</v>
      </c>
      <c r="W987" s="620">
        <v>7</v>
      </c>
    </row>
    <row r="988" spans="1:23" x14ac:dyDescent="0.25">
      <c r="A988" s="620" t="s">
        <v>3472</v>
      </c>
      <c r="B988" s="620" t="s">
        <v>3473</v>
      </c>
      <c r="C988" s="620">
        <v>25</v>
      </c>
      <c r="D988" s="620">
        <v>6391</v>
      </c>
      <c r="E988" s="620">
        <v>234700026</v>
      </c>
      <c r="F988" s="620">
        <v>38077</v>
      </c>
      <c r="G988" s="620">
        <v>36292</v>
      </c>
      <c r="H988" s="620">
        <v>37693</v>
      </c>
      <c r="I988" s="620">
        <v>-384</v>
      </c>
      <c r="J988" s="620">
        <v>-1.01</v>
      </c>
      <c r="K988" s="620">
        <v>36724</v>
      </c>
      <c r="L988" s="620">
        <v>-1353</v>
      </c>
      <c r="M988" s="620">
        <v>-3.55</v>
      </c>
      <c r="N988" s="620">
        <v>36200</v>
      </c>
      <c r="O988" s="620">
        <v>38199</v>
      </c>
      <c r="R988" s="620">
        <v>1</v>
      </c>
      <c r="S988" s="620">
        <v>172</v>
      </c>
      <c r="T988" s="620">
        <v>36700</v>
      </c>
      <c r="U988" s="620">
        <v>38000</v>
      </c>
      <c r="V988" s="620">
        <v>503</v>
      </c>
      <c r="W988" s="620">
        <v>1</v>
      </c>
    </row>
    <row r="989" spans="1:23" x14ac:dyDescent="0.25">
      <c r="A989" s="620" t="s">
        <v>3474</v>
      </c>
      <c r="B989" s="620" t="s">
        <v>3475</v>
      </c>
      <c r="C989" s="620">
        <v>1</v>
      </c>
      <c r="D989" s="620">
        <v>1</v>
      </c>
      <c r="E989" s="620">
        <v>7332000</v>
      </c>
      <c r="F989" s="620">
        <v>200</v>
      </c>
      <c r="G989" s="620">
        <v>4000</v>
      </c>
      <c r="H989" s="620">
        <v>4000</v>
      </c>
      <c r="I989" s="620">
        <v>3800</v>
      </c>
      <c r="J989" s="620">
        <v>1900</v>
      </c>
      <c r="K989" s="620">
        <v>4000</v>
      </c>
      <c r="L989" s="620">
        <v>3800</v>
      </c>
      <c r="M989" s="620">
        <v>1900</v>
      </c>
      <c r="N989" s="620">
        <v>4000</v>
      </c>
      <c r="O989" s="620">
        <v>4000</v>
      </c>
      <c r="R989" s="620">
        <v>0</v>
      </c>
      <c r="S989" s="620">
        <v>0</v>
      </c>
      <c r="T989" s="620">
        <v>0</v>
      </c>
      <c r="U989" s="620">
        <v>0</v>
      </c>
      <c r="V989" s="620">
        <v>0</v>
      </c>
      <c r="W989" s="620">
        <v>0</v>
      </c>
    </row>
    <row r="990" spans="1:23" x14ac:dyDescent="0.25">
      <c r="A990" s="620" t="s">
        <v>3476</v>
      </c>
      <c r="B990" s="620" t="s">
        <v>3477</v>
      </c>
      <c r="C990" s="620">
        <v>24</v>
      </c>
      <c r="D990" s="620">
        <v>22597</v>
      </c>
      <c r="E990" s="620">
        <v>303025770</v>
      </c>
      <c r="F990" s="620">
        <v>13824</v>
      </c>
      <c r="G990" s="620">
        <v>13410</v>
      </c>
      <c r="H990" s="620">
        <v>13410</v>
      </c>
      <c r="I990" s="620">
        <v>-414</v>
      </c>
      <c r="J990" s="620">
        <v>-2.99</v>
      </c>
      <c r="K990" s="620">
        <v>13410</v>
      </c>
      <c r="L990" s="620">
        <v>-414</v>
      </c>
      <c r="M990" s="620">
        <v>-2.99</v>
      </c>
      <c r="N990" s="620">
        <v>13410</v>
      </c>
      <c r="O990" s="620">
        <v>13410</v>
      </c>
      <c r="P990" s="620" t="s">
        <v>3478</v>
      </c>
      <c r="Q990" s="620" t="s">
        <v>3479</v>
      </c>
      <c r="R990" s="620">
        <v>0</v>
      </c>
      <c r="S990" s="620">
        <v>0</v>
      </c>
      <c r="T990" s="620">
        <v>0</v>
      </c>
      <c r="U990" s="620">
        <v>13410</v>
      </c>
      <c r="V990" s="620">
        <v>108860</v>
      </c>
      <c r="W990" s="620">
        <v>58</v>
      </c>
    </row>
    <row r="991" spans="1:23" x14ac:dyDescent="0.25">
      <c r="A991" s="620" t="s">
        <v>3480</v>
      </c>
      <c r="B991" s="620" t="s">
        <v>3481</v>
      </c>
      <c r="C991" s="620">
        <v>263</v>
      </c>
      <c r="D991" s="620">
        <v>137748</v>
      </c>
      <c r="E991" s="620">
        <v>6254866902</v>
      </c>
      <c r="F991" s="620">
        <v>45102</v>
      </c>
      <c r="G991" s="620">
        <v>43100</v>
      </c>
      <c r="H991" s="620">
        <v>46114</v>
      </c>
      <c r="I991" s="620">
        <v>1012</v>
      </c>
      <c r="J991" s="620">
        <v>2.2400000000000002</v>
      </c>
      <c r="K991" s="620">
        <v>45408</v>
      </c>
      <c r="L991" s="620">
        <v>306</v>
      </c>
      <c r="M991" s="620">
        <v>0.68</v>
      </c>
      <c r="N991" s="620">
        <v>43100</v>
      </c>
      <c r="O991" s="620">
        <v>47000</v>
      </c>
      <c r="P991" s="620" t="s">
        <v>3482</v>
      </c>
      <c r="Q991" s="620" t="s">
        <v>3483</v>
      </c>
      <c r="R991" s="620">
        <v>1</v>
      </c>
      <c r="S991" s="620">
        <v>500</v>
      </c>
      <c r="T991" s="620">
        <v>45230</v>
      </c>
      <c r="U991" s="620">
        <v>46110</v>
      </c>
      <c r="V991" s="620">
        <v>261</v>
      </c>
      <c r="W991" s="620">
        <v>1</v>
      </c>
    </row>
    <row r="992" spans="1:23" x14ac:dyDescent="0.25">
      <c r="A992" s="620" t="s">
        <v>3484</v>
      </c>
      <c r="B992" s="620" t="s">
        <v>3485</v>
      </c>
      <c r="C992" s="620">
        <v>0</v>
      </c>
      <c r="D992" s="620">
        <v>0</v>
      </c>
      <c r="E992" s="620">
        <v>0</v>
      </c>
      <c r="F992" s="620">
        <v>3400</v>
      </c>
      <c r="G992" s="620">
        <v>3332</v>
      </c>
      <c r="H992" s="620">
        <v>3400</v>
      </c>
      <c r="I992" s="620">
        <v>0</v>
      </c>
      <c r="J992" s="620">
        <v>0</v>
      </c>
      <c r="K992" s="620">
        <v>3400</v>
      </c>
      <c r="L992" s="620">
        <v>0</v>
      </c>
      <c r="M992" s="620">
        <v>0</v>
      </c>
      <c r="N992" s="620">
        <v>3332</v>
      </c>
      <c r="O992" s="620">
        <v>3332</v>
      </c>
      <c r="P992" s="620" t="s">
        <v>3486</v>
      </c>
      <c r="Q992" s="620" t="s">
        <v>3487</v>
      </c>
      <c r="R992" s="620">
        <v>0</v>
      </c>
      <c r="S992" s="620">
        <v>0</v>
      </c>
      <c r="T992" s="620">
        <v>0</v>
      </c>
      <c r="U992" s="620">
        <v>3332</v>
      </c>
      <c r="V992" s="620">
        <v>60003</v>
      </c>
      <c r="W992" s="620">
        <v>4</v>
      </c>
    </row>
    <row r="993" spans="1:23" x14ac:dyDescent="0.25">
      <c r="A993" s="620" t="s">
        <v>3488</v>
      </c>
      <c r="B993" s="620" t="s">
        <v>3489</v>
      </c>
      <c r="C993" s="620">
        <v>243</v>
      </c>
      <c r="D993" s="620">
        <v>620658</v>
      </c>
      <c r="E993" s="620">
        <v>6454678239</v>
      </c>
      <c r="F993" s="620">
        <v>10936</v>
      </c>
      <c r="G993" s="620">
        <v>10390</v>
      </c>
      <c r="H993" s="620">
        <v>10390</v>
      </c>
      <c r="I993" s="620">
        <v>-546</v>
      </c>
      <c r="J993" s="620">
        <v>-4.99</v>
      </c>
      <c r="K993" s="620">
        <v>10400</v>
      </c>
      <c r="L993" s="620">
        <v>-536</v>
      </c>
      <c r="M993" s="620">
        <v>-4.9000000000000004</v>
      </c>
      <c r="N993" s="620">
        <v>10390</v>
      </c>
      <c r="O993" s="620">
        <v>10850</v>
      </c>
      <c r="P993" s="620" t="s">
        <v>3490</v>
      </c>
      <c r="Q993" s="620" t="s">
        <v>3491</v>
      </c>
      <c r="R993" s="620">
        <v>0</v>
      </c>
      <c r="S993" s="620">
        <v>0</v>
      </c>
      <c r="T993" s="620">
        <v>0</v>
      </c>
      <c r="U993" s="620">
        <v>10390</v>
      </c>
      <c r="V993" s="620">
        <v>70510</v>
      </c>
      <c r="W993" s="620">
        <v>16</v>
      </c>
    </row>
    <row r="994" spans="1:23" x14ac:dyDescent="0.25">
      <c r="A994" s="620" t="s">
        <v>3492</v>
      </c>
      <c r="B994" s="620" t="s">
        <v>3493</v>
      </c>
      <c r="C994" s="620">
        <v>0</v>
      </c>
      <c r="D994" s="620">
        <v>0</v>
      </c>
      <c r="E994" s="620">
        <v>0</v>
      </c>
      <c r="F994" s="620">
        <v>928000</v>
      </c>
      <c r="G994" s="620">
        <v>0</v>
      </c>
      <c r="H994" s="620">
        <v>928000</v>
      </c>
      <c r="I994" s="620">
        <v>0</v>
      </c>
      <c r="J994" s="620">
        <v>0</v>
      </c>
      <c r="K994" s="620">
        <v>928000</v>
      </c>
      <c r="L994" s="620">
        <v>0</v>
      </c>
      <c r="M994" s="620">
        <v>0</v>
      </c>
      <c r="N994" s="620">
        <v>0</v>
      </c>
      <c r="O994" s="620">
        <v>0</v>
      </c>
      <c r="R994" s="620">
        <v>2</v>
      </c>
      <c r="S994" s="620">
        <v>7125</v>
      </c>
      <c r="T994" s="620">
        <v>928000</v>
      </c>
      <c r="U994" s="620">
        <v>0</v>
      </c>
      <c r="V994" s="620">
        <v>0</v>
      </c>
      <c r="W994" s="620">
        <v>0</v>
      </c>
    </row>
    <row r="995" spans="1:23" x14ac:dyDescent="0.25">
      <c r="A995" s="620" t="s">
        <v>3494</v>
      </c>
      <c r="B995" s="620" t="s">
        <v>3495</v>
      </c>
      <c r="C995" s="620">
        <v>253</v>
      </c>
      <c r="D995" s="620">
        <v>616644</v>
      </c>
      <c r="E995" s="620">
        <v>5964180768</v>
      </c>
      <c r="F995" s="620">
        <v>10181</v>
      </c>
      <c r="G995" s="620">
        <v>9672</v>
      </c>
      <c r="H995" s="620">
        <v>9672</v>
      </c>
      <c r="I995" s="620">
        <v>-509</v>
      </c>
      <c r="J995" s="620">
        <v>-5</v>
      </c>
      <c r="K995" s="620">
        <v>9672</v>
      </c>
      <c r="L995" s="620">
        <v>-509</v>
      </c>
      <c r="M995" s="620">
        <v>-5</v>
      </c>
      <c r="N995" s="620">
        <v>9672</v>
      </c>
      <c r="O995" s="620">
        <v>9672</v>
      </c>
      <c r="P995" s="620" t="s">
        <v>837</v>
      </c>
      <c r="Q995" s="620" t="s">
        <v>3496</v>
      </c>
      <c r="R995" s="620">
        <v>1</v>
      </c>
      <c r="S995" s="620">
        <v>250</v>
      </c>
      <c r="T995" s="620">
        <v>5860</v>
      </c>
      <c r="U995" s="620">
        <v>9672</v>
      </c>
      <c r="V995" s="620">
        <v>1716889</v>
      </c>
      <c r="W995" s="620">
        <v>329</v>
      </c>
    </row>
    <row r="996" spans="1:23" x14ac:dyDescent="0.25">
      <c r="A996" s="620" t="s">
        <v>3497</v>
      </c>
      <c r="B996" s="620" t="s">
        <v>3498</v>
      </c>
      <c r="C996" s="620">
        <v>121</v>
      </c>
      <c r="D996" s="620">
        <v>184657</v>
      </c>
      <c r="E996" s="620">
        <v>1467838493</v>
      </c>
      <c r="F996" s="620">
        <v>8367</v>
      </c>
      <c r="G996" s="620">
        <v>7949</v>
      </c>
      <c r="H996" s="620">
        <v>7949</v>
      </c>
      <c r="I996" s="620">
        <v>-418</v>
      </c>
      <c r="J996" s="620">
        <v>-5</v>
      </c>
      <c r="K996" s="620">
        <v>7949</v>
      </c>
      <c r="L996" s="620">
        <v>-418</v>
      </c>
      <c r="M996" s="620">
        <v>-5</v>
      </c>
      <c r="N996" s="620">
        <v>7949</v>
      </c>
      <c r="O996" s="620">
        <v>7949</v>
      </c>
      <c r="P996" s="620" t="s">
        <v>3499</v>
      </c>
      <c r="Q996" s="620" t="s">
        <v>3500</v>
      </c>
      <c r="R996" s="620">
        <v>1</v>
      </c>
      <c r="S996" s="620">
        <v>2500</v>
      </c>
      <c r="T996" s="620">
        <v>6344</v>
      </c>
      <c r="U996" s="620">
        <v>7949</v>
      </c>
      <c r="V996" s="620">
        <v>723869</v>
      </c>
      <c r="W996" s="620">
        <v>139</v>
      </c>
    </row>
    <row r="997" spans="1:23" x14ac:dyDescent="0.25">
      <c r="A997" s="620" t="s">
        <v>3501</v>
      </c>
      <c r="B997" s="620" t="s">
        <v>3502</v>
      </c>
      <c r="C997" s="620">
        <v>16</v>
      </c>
      <c r="D997" s="620">
        <v>35688</v>
      </c>
      <c r="E997" s="620">
        <v>61347672</v>
      </c>
      <c r="F997" s="620">
        <v>1754</v>
      </c>
      <c r="G997" s="620">
        <v>1719</v>
      </c>
      <c r="H997" s="620">
        <v>1719</v>
      </c>
      <c r="I997" s="620">
        <v>-35</v>
      </c>
      <c r="J997" s="620">
        <v>-2</v>
      </c>
      <c r="K997" s="620">
        <v>1719</v>
      </c>
      <c r="L997" s="620">
        <v>-35</v>
      </c>
      <c r="M997" s="620">
        <v>-2</v>
      </c>
      <c r="N997" s="620">
        <v>1719</v>
      </c>
      <c r="O997" s="620">
        <v>1719</v>
      </c>
      <c r="P997" s="620" t="s">
        <v>3503</v>
      </c>
      <c r="Q997" s="620" t="s">
        <v>3504</v>
      </c>
      <c r="R997" s="620">
        <v>0</v>
      </c>
      <c r="S997" s="620">
        <v>0</v>
      </c>
      <c r="T997" s="620">
        <v>0</v>
      </c>
      <c r="U997" s="620">
        <v>1719</v>
      </c>
      <c r="V997" s="620">
        <v>61423</v>
      </c>
      <c r="W997" s="620">
        <v>5</v>
      </c>
    </row>
    <row r="998" spans="1:23" x14ac:dyDescent="0.25">
      <c r="A998" s="620" t="s">
        <v>3505</v>
      </c>
      <c r="B998" s="620" t="s">
        <v>3506</v>
      </c>
      <c r="C998" s="620">
        <v>476</v>
      </c>
      <c r="D998" s="620">
        <v>940727</v>
      </c>
      <c r="E998" s="620">
        <v>26903752014</v>
      </c>
      <c r="F998" s="620">
        <v>29891</v>
      </c>
      <c r="G998" s="620">
        <v>28397</v>
      </c>
      <c r="H998" s="620">
        <v>29397</v>
      </c>
      <c r="I998" s="620">
        <v>-494</v>
      </c>
      <c r="J998" s="620">
        <v>-1.65</v>
      </c>
      <c r="K998" s="620">
        <v>28599</v>
      </c>
      <c r="L998" s="620">
        <v>-1292</v>
      </c>
      <c r="M998" s="620">
        <v>-4.32</v>
      </c>
      <c r="N998" s="620">
        <v>28397</v>
      </c>
      <c r="O998" s="620">
        <v>29609</v>
      </c>
      <c r="P998" s="620" t="s">
        <v>3507</v>
      </c>
      <c r="Q998" s="620" t="s">
        <v>3508</v>
      </c>
      <c r="R998" s="620">
        <v>1</v>
      </c>
      <c r="S998" s="620">
        <v>700</v>
      </c>
      <c r="T998" s="620">
        <v>29397</v>
      </c>
      <c r="U998" s="620">
        <v>29397</v>
      </c>
      <c r="V998" s="620">
        <v>1000</v>
      </c>
      <c r="W998" s="620">
        <v>1</v>
      </c>
    </row>
    <row r="999" spans="1:23" x14ac:dyDescent="0.25">
      <c r="A999" s="620" t="s">
        <v>3509</v>
      </c>
      <c r="B999" s="620" t="s">
        <v>713</v>
      </c>
      <c r="C999" s="620">
        <v>2</v>
      </c>
      <c r="D999" s="620">
        <v>388409</v>
      </c>
      <c r="E999" s="620">
        <v>376756730000</v>
      </c>
      <c r="F999" s="620">
        <v>960000</v>
      </c>
      <c r="G999" s="620">
        <v>970000</v>
      </c>
      <c r="H999" s="620">
        <v>970000</v>
      </c>
      <c r="I999" s="620">
        <v>10000</v>
      </c>
      <c r="J999" s="620">
        <v>1.04</v>
      </c>
      <c r="K999" s="620">
        <v>970000</v>
      </c>
      <c r="L999" s="620">
        <v>10000</v>
      </c>
      <c r="M999" s="620">
        <v>1.04</v>
      </c>
      <c r="N999" s="620">
        <v>970000</v>
      </c>
      <c r="O999" s="620">
        <v>970000</v>
      </c>
      <c r="R999" s="620">
        <v>0</v>
      </c>
      <c r="S999" s="620">
        <v>0</v>
      </c>
      <c r="T999" s="620">
        <v>0</v>
      </c>
      <c r="U999" s="620">
        <v>0</v>
      </c>
      <c r="V999" s="620">
        <v>0</v>
      </c>
      <c r="W999" s="620">
        <v>0</v>
      </c>
    </row>
    <row r="1000" spans="1:23" x14ac:dyDescent="0.25">
      <c r="A1000" s="620" t="s">
        <v>3510</v>
      </c>
      <c r="B1000" s="620" t="s">
        <v>3511</v>
      </c>
      <c r="C1000" s="620">
        <v>7</v>
      </c>
      <c r="D1000" s="620">
        <v>20743</v>
      </c>
      <c r="E1000" s="620">
        <v>642599817</v>
      </c>
      <c r="F1000" s="620">
        <v>31151</v>
      </c>
      <c r="G1000" s="620">
        <v>30963</v>
      </c>
      <c r="H1000" s="620">
        <v>30903</v>
      </c>
      <c r="I1000" s="620">
        <v>-248</v>
      </c>
      <c r="J1000" s="620">
        <v>-0.8</v>
      </c>
      <c r="K1000" s="620">
        <v>30979</v>
      </c>
      <c r="L1000" s="620">
        <v>-172</v>
      </c>
      <c r="M1000" s="620">
        <v>-0.55000000000000004</v>
      </c>
      <c r="N1000" s="620">
        <v>30903</v>
      </c>
      <c r="O1000" s="620">
        <v>31776</v>
      </c>
      <c r="R1000" s="620">
        <v>1</v>
      </c>
      <c r="S1000" s="620">
        <v>557</v>
      </c>
      <c r="T1000" s="620">
        <v>25000</v>
      </c>
      <c r="U1000" s="620">
        <v>30903</v>
      </c>
      <c r="V1000" s="620">
        <v>2986</v>
      </c>
      <c r="W1000" s="620">
        <v>1</v>
      </c>
    </row>
    <row r="1001" spans="1:23" x14ac:dyDescent="0.25">
      <c r="A1001" s="620" t="s">
        <v>3512</v>
      </c>
      <c r="B1001" s="620" t="s">
        <v>3513</v>
      </c>
      <c r="C1001" s="620">
        <v>1525</v>
      </c>
      <c r="D1001" s="620">
        <v>2848655</v>
      </c>
      <c r="E1001" s="620">
        <v>38598350536</v>
      </c>
      <c r="F1001" s="620">
        <v>13458</v>
      </c>
      <c r="G1001" s="620">
        <v>13200</v>
      </c>
      <c r="H1001" s="620">
        <v>13400</v>
      </c>
      <c r="I1001" s="620">
        <v>-58</v>
      </c>
      <c r="J1001" s="620">
        <v>-0.43</v>
      </c>
      <c r="K1001" s="620">
        <v>13550</v>
      </c>
      <c r="L1001" s="620">
        <v>92</v>
      </c>
      <c r="M1001" s="620">
        <v>0.68</v>
      </c>
      <c r="N1001" s="620">
        <v>13160</v>
      </c>
      <c r="O1001" s="620">
        <v>13930</v>
      </c>
      <c r="P1001" s="620" t="s">
        <v>3514</v>
      </c>
      <c r="Q1001" s="620" t="s">
        <v>3515</v>
      </c>
      <c r="R1001" s="620">
        <v>1</v>
      </c>
      <c r="S1001" s="620">
        <v>2000</v>
      </c>
      <c r="T1001" s="620">
        <v>13380</v>
      </c>
      <c r="U1001" s="620">
        <v>13400</v>
      </c>
      <c r="V1001" s="620">
        <v>14373</v>
      </c>
      <c r="W1001" s="620">
        <v>2</v>
      </c>
    </row>
    <row r="1002" spans="1:23" x14ac:dyDescent="0.25">
      <c r="A1002" s="620" t="s">
        <v>3516</v>
      </c>
      <c r="B1002" s="620" t="s">
        <v>3517</v>
      </c>
      <c r="C1002" s="620">
        <v>2993</v>
      </c>
      <c r="D1002" s="620">
        <v>184268</v>
      </c>
      <c r="E1002" s="620">
        <v>4905951232</v>
      </c>
      <c r="F1002" s="620">
        <v>25357</v>
      </c>
      <c r="G1002" s="620">
        <v>26624</v>
      </c>
      <c r="H1002" s="620">
        <v>26624</v>
      </c>
      <c r="I1002" s="620">
        <v>1267</v>
      </c>
      <c r="J1002" s="620">
        <v>5</v>
      </c>
      <c r="K1002" s="620">
        <v>26624</v>
      </c>
      <c r="L1002" s="620">
        <v>1267</v>
      </c>
      <c r="M1002" s="620">
        <v>5</v>
      </c>
      <c r="N1002" s="620">
        <v>26624</v>
      </c>
      <c r="O1002" s="620">
        <v>26624</v>
      </c>
      <c r="P1002" s="620" t="s">
        <v>3518</v>
      </c>
      <c r="Q1002" s="620" t="s">
        <v>3519</v>
      </c>
      <c r="R1002" s="620">
        <v>5019</v>
      </c>
      <c r="S1002" s="620">
        <v>7739494</v>
      </c>
      <c r="T1002" s="620">
        <v>26624</v>
      </c>
      <c r="U1002" s="620">
        <v>0</v>
      </c>
      <c r="V1002" s="620">
        <v>0</v>
      </c>
      <c r="W1002" s="620">
        <v>0</v>
      </c>
    </row>
    <row r="1003" spans="1:23" x14ac:dyDescent="0.25">
      <c r="A1003" s="620" t="s">
        <v>3520</v>
      </c>
      <c r="B1003" s="620" t="s">
        <v>3521</v>
      </c>
      <c r="C1003" s="620">
        <v>784</v>
      </c>
      <c r="D1003" s="620">
        <v>4740309</v>
      </c>
      <c r="E1003" s="620">
        <v>61652492714</v>
      </c>
      <c r="F1003" s="620">
        <v>13681</v>
      </c>
      <c r="G1003" s="620">
        <v>12997</v>
      </c>
      <c r="H1003" s="620">
        <v>12997</v>
      </c>
      <c r="I1003" s="620">
        <v>-684</v>
      </c>
      <c r="J1003" s="620">
        <v>-5</v>
      </c>
      <c r="K1003" s="620">
        <v>13006</v>
      </c>
      <c r="L1003" s="620">
        <v>-675</v>
      </c>
      <c r="M1003" s="620">
        <v>-4.93</v>
      </c>
      <c r="N1003" s="620">
        <v>12997</v>
      </c>
      <c r="O1003" s="620">
        <v>13344</v>
      </c>
      <c r="P1003" s="620" t="s">
        <v>3522</v>
      </c>
      <c r="Q1003" s="620" t="s">
        <v>2074</v>
      </c>
      <c r="R1003" s="620">
        <v>1</v>
      </c>
      <c r="S1003" s="620">
        <v>474</v>
      </c>
      <c r="T1003" s="620">
        <v>10502</v>
      </c>
      <c r="U1003" s="620">
        <v>12997</v>
      </c>
      <c r="V1003" s="620">
        <v>1239284</v>
      </c>
      <c r="W1003" s="620">
        <v>98</v>
      </c>
    </row>
    <row r="1004" spans="1:23" x14ac:dyDescent="0.25">
      <c r="A1004" s="620" t="s">
        <v>3523</v>
      </c>
      <c r="B1004" s="620" t="s">
        <v>3524</v>
      </c>
      <c r="C1004" s="620">
        <v>722</v>
      </c>
      <c r="D1004" s="620">
        <v>6620350</v>
      </c>
      <c r="E1004" s="620">
        <v>178493846400</v>
      </c>
      <c r="F1004" s="620">
        <v>26972</v>
      </c>
      <c r="G1004" s="620">
        <v>27001</v>
      </c>
      <c r="H1004" s="620">
        <v>26990</v>
      </c>
      <c r="I1004" s="620">
        <v>18</v>
      </c>
      <c r="J1004" s="620">
        <v>7.0000000000000007E-2</v>
      </c>
      <c r="K1004" s="620">
        <v>26961</v>
      </c>
      <c r="L1004" s="620">
        <v>-11</v>
      </c>
      <c r="M1004" s="620">
        <v>-0.04</v>
      </c>
      <c r="N1004" s="620">
        <v>26800</v>
      </c>
      <c r="O1004" s="620">
        <v>27020</v>
      </c>
      <c r="R1004" s="620">
        <v>1</v>
      </c>
      <c r="S1004" s="620">
        <v>1850</v>
      </c>
      <c r="T1004" s="620">
        <v>26991</v>
      </c>
      <c r="U1004" s="620">
        <v>27000</v>
      </c>
      <c r="V1004" s="620">
        <v>4520</v>
      </c>
      <c r="W1004" s="620">
        <v>3</v>
      </c>
    </row>
    <row r="1005" spans="1:23" x14ac:dyDescent="0.25">
      <c r="A1005" s="620" t="s">
        <v>3525</v>
      </c>
      <c r="B1005" s="620" t="s">
        <v>3526</v>
      </c>
      <c r="C1005" s="620">
        <v>27</v>
      </c>
      <c r="D1005" s="620">
        <v>30161</v>
      </c>
      <c r="E1005" s="620">
        <v>178221349</v>
      </c>
      <c r="F1005" s="620">
        <v>6091</v>
      </c>
      <c r="G1005" s="620">
        <v>5909</v>
      </c>
      <c r="H1005" s="620">
        <v>5909</v>
      </c>
      <c r="I1005" s="620">
        <v>-182</v>
      </c>
      <c r="J1005" s="620">
        <v>-2.99</v>
      </c>
      <c r="K1005" s="620">
        <v>5909</v>
      </c>
      <c r="L1005" s="620">
        <v>-182</v>
      </c>
      <c r="M1005" s="620">
        <v>-2.99</v>
      </c>
      <c r="N1005" s="620">
        <v>5909</v>
      </c>
      <c r="O1005" s="620">
        <v>5909</v>
      </c>
      <c r="P1005" s="620" t="s">
        <v>3527</v>
      </c>
      <c r="Q1005" s="620" t="s">
        <v>3528</v>
      </c>
      <c r="R1005" s="620">
        <v>0</v>
      </c>
      <c r="S1005" s="620">
        <v>0</v>
      </c>
      <c r="T1005" s="620">
        <v>0</v>
      </c>
      <c r="U1005" s="620">
        <v>5909</v>
      </c>
      <c r="V1005" s="620">
        <v>463671</v>
      </c>
      <c r="W1005" s="620">
        <v>45</v>
      </c>
    </row>
    <row r="1006" spans="1:23" x14ac:dyDescent="0.25">
      <c r="A1006" s="620" t="s">
        <v>3529</v>
      </c>
      <c r="B1006" s="620" t="s">
        <v>3530</v>
      </c>
      <c r="C1006" s="620">
        <v>0</v>
      </c>
      <c r="D1006" s="620">
        <v>0</v>
      </c>
      <c r="E1006" s="620">
        <v>0</v>
      </c>
      <c r="F1006" s="620">
        <v>1000001</v>
      </c>
      <c r="G1006" s="620">
        <v>0</v>
      </c>
      <c r="H1006" s="620">
        <v>1000001</v>
      </c>
      <c r="I1006" s="620">
        <v>0</v>
      </c>
      <c r="J1006" s="620">
        <v>0</v>
      </c>
      <c r="K1006" s="620">
        <v>1000001</v>
      </c>
      <c r="L1006" s="620">
        <v>0</v>
      </c>
      <c r="M1006" s="620">
        <v>0</v>
      </c>
      <c r="N1006" s="620">
        <v>0</v>
      </c>
      <c r="O1006" s="620">
        <v>0</v>
      </c>
      <c r="R1006" s="620">
        <v>1</v>
      </c>
      <c r="S1006" s="620">
        <v>3000</v>
      </c>
      <c r="T1006" s="620">
        <v>1000000</v>
      </c>
      <c r="U1006" s="620">
        <v>0</v>
      </c>
      <c r="V1006" s="620">
        <v>0</v>
      </c>
      <c r="W1006" s="620">
        <v>0</v>
      </c>
    </row>
    <row r="1007" spans="1:23" x14ac:dyDescent="0.25">
      <c r="A1007" s="620" t="s">
        <v>3531</v>
      </c>
      <c r="B1007" s="620" t="s">
        <v>3532</v>
      </c>
      <c r="C1007" s="620">
        <v>24</v>
      </c>
      <c r="D1007" s="620">
        <v>15776</v>
      </c>
      <c r="E1007" s="620">
        <v>517519541</v>
      </c>
      <c r="F1007" s="620">
        <v>34399</v>
      </c>
      <c r="G1007" s="620">
        <v>32690</v>
      </c>
      <c r="H1007" s="620">
        <v>32681</v>
      </c>
      <c r="I1007" s="620">
        <v>-1718</v>
      </c>
      <c r="J1007" s="620">
        <v>-4.99</v>
      </c>
      <c r="K1007" s="620">
        <v>34085</v>
      </c>
      <c r="L1007" s="620">
        <v>-314</v>
      </c>
      <c r="M1007" s="620">
        <v>-0.91</v>
      </c>
      <c r="N1007" s="620">
        <v>32681</v>
      </c>
      <c r="O1007" s="620">
        <v>34699</v>
      </c>
      <c r="P1007" s="620" t="s">
        <v>3533</v>
      </c>
      <c r="Q1007" s="620" t="s">
        <v>3534</v>
      </c>
      <c r="R1007" s="620">
        <v>2</v>
      </c>
      <c r="S1007" s="620">
        <v>1050</v>
      </c>
      <c r="T1007" s="620">
        <v>32680</v>
      </c>
      <c r="U1007" s="620">
        <v>34440</v>
      </c>
      <c r="V1007" s="620">
        <v>185</v>
      </c>
      <c r="W1007" s="620">
        <v>1</v>
      </c>
    </row>
    <row r="1008" spans="1:23" x14ac:dyDescent="0.25">
      <c r="A1008" s="620" t="s">
        <v>3535</v>
      </c>
      <c r="B1008" s="620" t="s">
        <v>3536</v>
      </c>
      <c r="C1008" s="620">
        <v>0</v>
      </c>
      <c r="D1008" s="620">
        <v>0</v>
      </c>
      <c r="E1008" s="620">
        <v>0</v>
      </c>
      <c r="F1008" s="620">
        <v>1371855</v>
      </c>
      <c r="G1008" s="620">
        <v>0</v>
      </c>
      <c r="H1008" s="620">
        <v>1402869</v>
      </c>
      <c r="I1008" s="620">
        <v>31014</v>
      </c>
      <c r="J1008" s="620">
        <v>2.2599999999999998</v>
      </c>
      <c r="K1008" s="620">
        <v>1402869</v>
      </c>
      <c r="L1008" s="620">
        <v>31014</v>
      </c>
      <c r="M1008" s="620">
        <v>2.2599999999999998</v>
      </c>
      <c r="N1008" s="620">
        <v>0</v>
      </c>
      <c r="O1008" s="620">
        <v>0</v>
      </c>
      <c r="R1008" s="620">
        <v>1</v>
      </c>
      <c r="S1008" s="620">
        <v>3</v>
      </c>
      <c r="T1008" s="620">
        <v>1440447</v>
      </c>
      <c r="U1008" s="620">
        <v>0</v>
      </c>
      <c r="V1008" s="620">
        <v>0</v>
      </c>
      <c r="W1008" s="620">
        <v>0</v>
      </c>
    </row>
    <row r="1009" spans="1:23" x14ac:dyDescent="0.25">
      <c r="A1009" s="620" t="s">
        <v>3537</v>
      </c>
      <c r="B1009" s="620" t="s">
        <v>3538</v>
      </c>
      <c r="C1009" s="620">
        <v>1317</v>
      </c>
      <c r="D1009" s="620">
        <v>6774823</v>
      </c>
      <c r="E1009" s="620">
        <v>58749412396</v>
      </c>
      <c r="F1009" s="620">
        <v>8499</v>
      </c>
      <c r="G1009" s="620">
        <v>8751</v>
      </c>
      <c r="H1009" s="620">
        <v>8680</v>
      </c>
      <c r="I1009" s="620">
        <v>181</v>
      </c>
      <c r="J1009" s="620">
        <v>2.13</v>
      </c>
      <c r="K1009" s="620">
        <v>8672</v>
      </c>
      <c r="L1009" s="620">
        <v>173</v>
      </c>
      <c r="M1009" s="620">
        <v>2.04</v>
      </c>
      <c r="N1009" s="620">
        <v>8350</v>
      </c>
      <c r="O1009" s="620">
        <v>8900</v>
      </c>
      <c r="P1009" s="620" t="s">
        <v>3539</v>
      </c>
      <c r="Q1009" s="620" t="s">
        <v>3540</v>
      </c>
      <c r="R1009" s="620">
        <v>1</v>
      </c>
      <c r="S1009" s="620">
        <v>150</v>
      </c>
      <c r="T1009" s="620">
        <v>8650</v>
      </c>
      <c r="U1009" s="620">
        <v>8698</v>
      </c>
      <c r="V1009" s="620">
        <v>1200</v>
      </c>
      <c r="W1009" s="620">
        <v>2</v>
      </c>
    </row>
    <row r="1010" spans="1:23" x14ac:dyDescent="0.25">
      <c r="A1010" s="620" t="s">
        <v>3541</v>
      </c>
      <c r="B1010" s="620" t="s">
        <v>3542</v>
      </c>
      <c r="C1010" s="620">
        <v>0</v>
      </c>
      <c r="D1010" s="620">
        <v>0</v>
      </c>
      <c r="E1010" s="620">
        <v>0</v>
      </c>
      <c r="F1010" s="620">
        <v>1</v>
      </c>
      <c r="G1010" s="620">
        <v>0</v>
      </c>
      <c r="H1010" s="620">
        <v>1</v>
      </c>
      <c r="I1010" s="620">
        <v>0</v>
      </c>
      <c r="J1010" s="620">
        <v>0</v>
      </c>
      <c r="K1010" s="620">
        <v>1</v>
      </c>
      <c r="L1010" s="620">
        <v>0</v>
      </c>
      <c r="M1010" s="620">
        <v>0</v>
      </c>
      <c r="N1010" s="620">
        <v>0</v>
      </c>
      <c r="O1010" s="620">
        <v>0</v>
      </c>
      <c r="R1010" s="620">
        <v>1</v>
      </c>
      <c r="S1010" s="620">
        <v>10</v>
      </c>
      <c r="T1010" s="620">
        <v>30</v>
      </c>
      <c r="U1010" s="620">
        <v>0</v>
      </c>
      <c r="V1010" s="620">
        <v>0</v>
      </c>
      <c r="W1010" s="620">
        <v>0</v>
      </c>
    </row>
    <row r="1011" spans="1:23" x14ac:dyDescent="0.25">
      <c r="A1011" s="620" t="s">
        <v>3543</v>
      </c>
      <c r="B1011" s="620" t="s">
        <v>3544</v>
      </c>
      <c r="C1011" s="620">
        <v>261</v>
      </c>
      <c r="D1011" s="620">
        <v>587980</v>
      </c>
      <c r="E1011" s="620">
        <v>11421608088</v>
      </c>
      <c r="F1011" s="620">
        <v>20365</v>
      </c>
      <c r="G1011" s="620">
        <v>19347</v>
      </c>
      <c r="H1011" s="620">
        <v>19347</v>
      </c>
      <c r="I1011" s="620">
        <v>-1018</v>
      </c>
      <c r="J1011" s="620">
        <v>-5</v>
      </c>
      <c r="K1011" s="620">
        <v>19425</v>
      </c>
      <c r="L1011" s="620">
        <v>-940</v>
      </c>
      <c r="M1011" s="620">
        <v>-4.62</v>
      </c>
      <c r="N1011" s="620">
        <v>19347</v>
      </c>
      <c r="O1011" s="620">
        <v>20258</v>
      </c>
      <c r="P1011" s="620" t="s">
        <v>3545</v>
      </c>
      <c r="Q1011" s="620" t="s">
        <v>3546</v>
      </c>
      <c r="R1011" s="620">
        <v>0</v>
      </c>
      <c r="S1011" s="620">
        <v>0</v>
      </c>
      <c r="T1011" s="620">
        <v>0</v>
      </c>
      <c r="U1011" s="620">
        <v>19347</v>
      </c>
      <c r="V1011" s="620">
        <v>52793</v>
      </c>
      <c r="W1011" s="620">
        <v>23</v>
      </c>
    </row>
    <row r="1012" spans="1:23" x14ac:dyDescent="0.25">
      <c r="A1012" s="620" t="s">
        <v>3547</v>
      </c>
      <c r="B1012" s="620" t="s">
        <v>3548</v>
      </c>
      <c r="C1012" s="620">
        <v>1293</v>
      </c>
      <c r="D1012" s="620">
        <v>8847764</v>
      </c>
      <c r="E1012" s="620">
        <v>68748238481</v>
      </c>
      <c r="F1012" s="620">
        <v>8169</v>
      </c>
      <c r="G1012" s="620">
        <v>7761</v>
      </c>
      <c r="H1012" s="620">
        <v>7761</v>
      </c>
      <c r="I1012" s="620">
        <v>-408</v>
      </c>
      <c r="J1012" s="620">
        <v>-4.99</v>
      </c>
      <c r="K1012" s="620">
        <v>7770</v>
      </c>
      <c r="L1012" s="620">
        <v>-399</v>
      </c>
      <c r="M1012" s="620">
        <v>-4.88</v>
      </c>
      <c r="N1012" s="620">
        <v>7761</v>
      </c>
      <c r="O1012" s="620">
        <v>7990</v>
      </c>
      <c r="P1012" s="620" t="s">
        <v>627</v>
      </c>
      <c r="R1012" s="620">
        <v>0</v>
      </c>
      <c r="S1012" s="620">
        <v>0</v>
      </c>
      <c r="T1012" s="620">
        <v>0</v>
      </c>
      <c r="U1012" s="620">
        <v>7761</v>
      </c>
      <c r="V1012" s="620">
        <v>382334</v>
      </c>
      <c r="W1012" s="620">
        <v>28</v>
      </c>
    </row>
    <row r="1013" spans="1:23" x14ac:dyDescent="0.25">
      <c r="A1013" s="620" t="s">
        <v>3549</v>
      </c>
      <c r="B1013" s="620" t="s">
        <v>1204</v>
      </c>
      <c r="C1013" s="620">
        <v>1</v>
      </c>
      <c r="D1013" s="620">
        <v>10</v>
      </c>
      <c r="E1013" s="620">
        <v>100</v>
      </c>
      <c r="F1013" s="620">
        <v>386551</v>
      </c>
      <c r="G1013" s="620">
        <v>10</v>
      </c>
      <c r="H1013" s="620">
        <v>10</v>
      </c>
      <c r="I1013" s="620">
        <v>-386541</v>
      </c>
      <c r="J1013" s="620">
        <v>-100</v>
      </c>
      <c r="K1013" s="620">
        <v>10</v>
      </c>
      <c r="L1013" s="620">
        <v>-386541</v>
      </c>
      <c r="M1013" s="620">
        <v>-100</v>
      </c>
      <c r="N1013" s="620">
        <v>10</v>
      </c>
      <c r="O1013" s="620">
        <v>10</v>
      </c>
      <c r="R1013" s="620">
        <v>0</v>
      </c>
      <c r="S1013" s="620">
        <v>0</v>
      </c>
      <c r="T1013" s="620">
        <v>0</v>
      </c>
      <c r="U1013" s="620">
        <v>0</v>
      </c>
      <c r="V1013" s="620">
        <v>0</v>
      </c>
      <c r="W1013" s="620">
        <v>0</v>
      </c>
    </row>
    <row r="1014" spans="1:23" x14ac:dyDescent="0.25">
      <c r="A1014" s="620" t="s">
        <v>3550</v>
      </c>
      <c r="B1014" s="620" t="s">
        <v>3551</v>
      </c>
      <c r="C1014" s="620">
        <v>34</v>
      </c>
      <c r="D1014" s="620">
        <v>19851</v>
      </c>
      <c r="E1014" s="620">
        <v>15800621029</v>
      </c>
      <c r="F1014" s="620">
        <v>792894</v>
      </c>
      <c r="G1014" s="620">
        <v>794000</v>
      </c>
      <c r="H1014" s="620">
        <v>796082</v>
      </c>
      <c r="I1014" s="620">
        <v>3188</v>
      </c>
      <c r="J1014" s="620">
        <v>0.4</v>
      </c>
      <c r="K1014" s="620">
        <v>795961</v>
      </c>
      <c r="L1014" s="620">
        <v>3067</v>
      </c>
      <c r="M1014" s="620">
        <v>0.39</v>
      </c>
      <c r="N1014" s="620">
        <v>794000</v>
      </c>
      <c r="O1014" s="620">
        <v>798000</v>
      </c>
      <c r="R1014" s="620">
        <v>1</v>
      </c>
      <c r="S1014" s="620">
        <v>2400</v>
      </c>
      <c r="T1014" s="620">
        <v>796086</v>
      </c>
      <c r="U1014" s="620">
        <v>797999</v>
      </c>
      <c r="V1014" s="620">
        <v>500</v>
      </c>
      <c r="W1014" s="620">
        <v>1</v>
      </c>
    </row>
    <row r="1015" spans="1:23" x14ac:dyDescent="0.25">
      <c r="A1015" s="620" t="s">
        <v>3552</v>
      </c>
      <c r="B1015" s="620" t="s">
        <v>3553</v>
      </c>
      <c r="C1015" s="620">
        <v>86</v>
      </c>
      <c r="D1015" s="620">
        <v>1225551</v>
      </c>
      <c r="E1015" s="620">
        <v>6751560459</v>
      </c>
      <c r="F1015" s="620">
        <v>5798</v>
      </c>
      <c r="G1015" s="620">
        <v>5509</v>
      </c>
      <c r="H1015" s="620">
        <v>5509</v>
      </c>
      <c r="I1015" s="620">
        <v>-289</v>
      </c>
      <c r="J1015" s="620">
        <v>-4.9800000000000004</v>
      </c>
      <c r="K1015" s="620">
        <v>5509</v>
      </c>
      <c r="L1015" s="620">
        <v>-289</v>
      </c>
      <c r="M1015" s="620">
        <v>-4.9800000000000004</v>
      </c>
      <c r="N1015" s="620">
        <v>5509</v>
      </c>
      <c r="O1015" s="620">
        <v>5509</v>
      </c>
      <c r="P1015" s="620" t="s">
        <v>1097</v>
      </c>
      <c r="Q1015" s="620" t="s">
        <v>3554</v>
      </c>
      <c r="R1015" s="620">
        <v>1</v>
      </c>
      <c r="S1015" s="620">
        <v>5000</v>
      </c>
      <c r="T1015" s="620">
        <v>4480</v>
      </c>
      <c r="U1015" s="620">
        <v>5509</v>
      </c>
      <c r="V1015" s="620">
        <v>1301081</v>
      </c>
      <c r="W1015" s="620">
        <v>86</v>
      </c>
    </row>
    <row r="1016" spans="1:23" x14ac:dyDescent="0.25">
      <c r="A1016" s="620" t="s">
        <v>3555</v>
      </c>
      <c r="B1016" s="620" t="s">
        <v>3556</v>
      </c>
      <c r="C1016" s="620">
        <v>0</v>
      </c>
      <c r="D1016" s="620">
        <v>0</v>
      </c>
      <c r="E1016" s="620">
        <v>0</v>
      </c>
      <c r="F1016" s="620">
        <v>1</v>
      </c>
      <c r="G1016" s="620">
        <v>0</v>
      </c>
      <c r="H1016" s="620">
        <v>1</v>
      </c>
      <c r="I1016" s="620">
        <v>0</v>
      </c>
      <c r="J1016" s="620">
        <v>0</v>
      </c>
      <c r="K1016" s="620">
        <v>1</v>
      </c>
      <c r="L1016" s="620">
        <v>0</v>
      </c>
      <c r="M1016" s="620">
        <v>0</v>
      </c>
      <c r="N1016" s="620">
        <v>0</v>
      </c>
      <c r="O1016" s="620">
        <v>0</v>
      </c>
      <c r="R1016" s="620">
        <v>1</v>
      </c>
      <c r="S1016" s="620">
        <v>5</v>
      </c>
      <c r="T1016" s="620">
        <v>44</v>
      </c>
      <c r="U1016" s="620">
        <v>1222</v>
      </c>
      <c r="V1016" s="620">
        <v>5</v>
      </c>
      <c r="W1016" s="620">
        <v>1</v>
      </c>
    </row>
    <row r="1017" spans="1:23" x14ac:dyDescent="0.25">
      <c r="A1017" s="620" t="s">
        <v>3557</v>
      </c>
      <c r="B1017" s="620" t="s">
        <v>3558</v>
      </c>
      <c r="C1017" s="620">
        <v>392</v>
      </c>
      <c r="D1017" s="620">
        <v>1495219</v>
      </c>
      <c r="E1017" s="620">
        <v>27896405925</v>
      </c>
      <c r="F1017" s="620">
        <v>19613</v>
      </c>
      <c r="G1017" s="620">
        <v>18639</v>
      </c>
      <c r="H1017" s="620">
        <v>18633</v>
      </c>
      <c r="I1017" s="620">
        <v>-980</v>
      </c>
      <c r="J1017" s="620">
        <v>-5</v>
      </c>
      <c r="K1017" s="620">
        <v>18657</v>
      </c>
      <c r="L1017" s="620">
        <v>-956</v>
      </c>
      <c r="M1017" s="620">
        <v>-4.87</v>
      </c>
      <c r="N1017" s="620">
        <v>18633</v>
      </c>
      <c r="O1017" s="620">
        <v>19000</v>
      </c>
      <c r="P1017" s="620" t="s">
        <v>2048</v>
      </c>
      <c r="Q1017" s="620" t="s">
        <v>3559</v>
      </c>
      <c r="R1017" s="620">
        <v>0</v>
      </c>
      <c r="S1017" s="620">
        <v>0</v>
      </c>
      <c r="T1017" s="620">
        <v>0</v>
      </c>
      <c r="U1017" s="620">
        <v>18633</v>
      </c>
      <c r="V1017" s="620">
        <v>404297</v>
      </c>
      <c r="W1017" s="620">
        <v>33</v>
      </c>
    </row>
    <row r="1018" spans="1:23" x14ac:dyDescent="0.25">
      <c r="A1018" s="620" t="s">
        <v>3560</v>
      </c>
      <c r="B1018" s="620" t="s">
        <v>3561</v>
      </c>
      <c r="C1018" s="620">
        <v>21</v>
      </c>
      <c r="D1018" s="620">
        <v>31331</v>
      </c>
      <c r="E1018" s="620">
        <v>20495431950</v>
      </c>
      <c r="F1018" s="620">
        <v>654091</v>
      </c>
      <c r="G1018" s="620">
        <v>660000</v>
      </c>
      <c r="H1018" s="620">
        <v>655000</v>
      </c>
      <c r="I1018" s="620">
        <v>909</v>
      </c>
      <c r="J1018" s="620">
        <v>0.14000000000000001</v>
      </c>
      <c r="K1018" s="620">
        <v>654158</v>
      </c>
      <c r="L1018" s="620">
        <v>67</v>
      </c>
      <c r="M1018" s="620">
        <v>0.01</v>
      </c>
      <c r="N1018" s="620">
        <v>654100</v>
      </c>
      <c r="O1018" s="620">
        <v>660000</v>
      </c>
      <c r="R1018" s="620">
        <v>1</v>
      </c>
      <c r="S1018" s="620">
        <v>200</v>
      </c>
      <c r="T1018" s="620">
        <v>656500</v>
      </c>
      <c r="U1018" s="620">
        <v>658000</v>
      </c>
      <c r="V1018" s="620">
        <v>200</v>
      </c>
      <c r="W1018" s="620">
        <v>1</v>
      </c>
    </row>
    <row r="1019" spans="1:23" x14ac:dyDescent="0.25">
      <c r="A1019" s="620" t="s">
        <v>3562</v>
      </c>
      <c r="B1019" s="620" t="s">
        <v>3563</v>
      </c>
      <c r="C1019" s="620">
        <v>94</v>
      </c>
      <c r="D1019" s="620">
        <v>45662</v>
      </c>
      <c r="E1019" s="620">
        <v>1129906190</v>
      </c>
      <c r="F1019" s="620">
        <v>26047</v>
      </c>
      <c r="G1019" s="620">
        <v>24745</v>
      </c>
      <c r="H1019" s="620">
        <v>24745</v>
      </c>
      <c r="I1019" s="620">
        <v>-1302</v>
      </c>
      <c r="J1019" s="620">
        <v>-5</v>
      </c>
      <c r="K1019" s="620">
        <v>25849</v>
      </c>
      <c r="L1019" s="620">
        <v>-198</v>
      </c>
      <c r="M1019" s="620">
        <v>-0.76</v>
      </c>
      <c r="N1019" s="620">
        <v>24745</v>
      </c>
      <c r="O1019" s="620">
        <v>24745</v>
      </c>
      <c r="P1019" s="620" t="s">
        <v>3564</v>
      </c>
      <c r="Q1019" s="620" t="s">
        <v>3565</v>
      </c>
      <c r="R1019" s="620">
        <v>1</v>
      </c>
      <c r="S1019" s="620">
        <v>2500</v>
      </c>
      <c r="T1019" s="620">
        <v>18000</v>
      </c>
      <c r="U1019" s="620">
        <v>24745</v>
      </c>
      <c r="V1019" s="620">
        <v>824304</v>
      </c>
      <c r="W1019" s="620">
        <v>240</v>
      </c>
    </row>
    <row r="1020" spans="1:23" x14ac:dyDescent="0.25">
      <c r="A1020" s="620" t="s">
        <v>3566</v>
      </c>
      <c r="B1020" s="620" t="s">
        <v>3567</v>
      </c>
      <c r="C1020" s="620">
        <v>2</v>
      </c>
      <c r="D1020" s="620">
        <v>15000</v>
      </c>
      <c r="E1020" s="620">
        <v>15000000000</v>
      </c>
      <c r="F1020" s="620">
        <v>1000000</v>
      </c>
      <c r="G1020" s="620">
        <v>1000000</v>
      </c>
      <c r="H1020" s="620">
        <v>1000000</v>
      </c>
      <c r="I1020" s="620">
        <v>0</v>
      </c>
      <c r="J1020" s="620">
        <v>0</v>
      </c>
      <c r="K1020" s="620">
        <v>1000000</v>
      </c>
      <c r="L1020" s="620">
        <v>0</v>
      </c>
      <c r="M1020" s="620">
        <v>0</v>
      </c>
      <c r="N1020" s="620">
        <v>1000000</v>
      </c>
      <c r="O1020" s="620">
        <v>1000000</v>
      </c>
      <c r="R1020" s="620">
        <v>1</v>
      </c>
      <c r="S1020" s="620">
        <v>9000</v>
      </c>
      <c r="T1020" s="620">
        <v>990000</v>
      </c>
      <c r="U1020" s="620">
        <v>1000000</v>
      </c>
      <c r="V1020" s="620">
        <v>9000</v>
      </c>
      <c r="W1020" s="620">
        <v>1</v>
      </c>
    </row>
    <row r="1021" spans="1:23" x14ac:dyDescent="0.25">
      <c r="A1021" s="620" t="s">
        <v>3568</v>
      </c>
      <c r="B1021" s="620" t="s">
        <v>3569</v>
      </c>
      <c r="C1021" s="620">
        <v>106</v>
      </c>
      <c r="D1021" s="620">
        <v>407211</v>
      </c>
      <c r="E1021" s="620">
        <v>1089289425</v>
      </c>
      <c r="F1021" s="620">
        <v>2815</v>
      </c>
      <c r="G1021" s="620">
        <v>2675</v>
      </c>
      <c r="H1021" s="620">
        <v>2675</v>
      </c>
      <c r="I1021" s="620">
        <v>-140</v>
      </c>
      <c r="J1021" s="620">
        <v>-4.97</v>
      </c>
      <c r="K1021" s="620">
        <v>2726</v>
      </c>
      <c r="L1021" s="620">
        <v>-89</v>
      </c>
      <c r="M1021" s="620">
        <v>-3.16</v>
      </c>
      <c r="N1021" s="620">
        <v>2675</v>
      </c>
      <c r="O1021" s="620">
        <v>2675</v>
      </c>
      <c r="P1021" s="620" t="s">
        <v>3499</v>
      </c>
      <c r="Q1021" s="620" t="s">
        <v>3570</v>
      </c>
      <c r="R1021" s="620">
        <v>1</v>
      </c>
      <c r="S1021" s="620">
        <v>12544</v>
      </c>
      <c r="T1021" s="620">
        <v>2380</v>
      </c>
      <c r="U1021" s="620">
        <v>2675</v>
      </c>
      <c r="V1021" s="620">
        <v>11711319</v>
      </c>
      <c r="W1021" s="620">
        <v>237</v>
      </c>
    </row>
    <row r="1022" spans="1:23" x14ac:dyDescent="0.25">
      <c r="A1022" s="620" t="s">
        <v>3571</v>
      </c>
      <c r="B1022" s="620" t="s">
        <v>3572</v>
      </c>
      <c r="C1022" s="620">
        <v>12</v>
      </c>
      <c r="D1022" s="620">
        <v>666</v>
      </c>
      <c r="E1022" s="620">
        <v>22435042</v>
      </c>
      <c r="F1022" s="620">
        <v>34022</v>
      </c>
      <c r="G1022" s="620">
        <v>34013</v>
      </c>
      <c r="H1022" s="620">
        <v>34014</v>
      </c>
      <c r="I1022" s="620">
        <v>-8</v>
      </c>
      <c r="J1022" s="620">
        <v>-0.02</v>
      </c>
      <c r="K1022" s="620">
        <v>33686</v>
      </c>
      <c r="L1022" s="620">
        <v>-336</v>
      </c>
      <c r="M1022" s="620">
        <v>-0.99</v>
      </c>
      <c r="N1022" s="620">
        <v>33462</v>
      </c>
      <c r="O1022" s="620">
        <v>34014</v>
      </c>
      <c r="R1022" s="620">
        <v>3</v>
      </c>
      <c r="S1022" s="620">
        <v>122</v>
      </c>
      <c r="T1022" s="620">
        <v>33463</v>
      </c>
      <c r="U1022" s="620">
        <v>34014</v>
      </c>
      <c r="V1022" s="620">
        <v>9959</v>
      </c>
      <c r="W1022" s="620">
        <v>2</v>
      </c>
    </row>
    <row r="1023" spans="1:23" x14ac:dyDescent="0.25">
      <c r="A1023" s="620" t="s">
        <v>3573</v>
      </c>
      <c r="B1023" s="620" t="s">
        <v>2651</v>
      </c>
      <c r="C1023" s="620">
        <v>4</v>
      </c>
      <c r="D1023" s="620">
        <v>400000</v>
      </c>
      <c r="E1023" s="620">
        <v>400000</v>
      </c>
      <c r="F1023" s="620">
        <v>29655</v>
      </c>
      <c r="G1023" s="620">
        <v>1</v>
      </c>
      <c r="H1023" s="620">
        <v>1</v>
      </c>
      <c r="I1023" s="620">
        <v>-29654</v>
      </c>
      <c r="J1023" s="620">
        <v>-100</v>
      </c>
      <c r="K1023" s="620">
        <v>1</v>
      </c>
      <c r="L1023" s="620">
        <v>-29654</v>
      </c>
      <c r="M1023" s="620">
        <v>-100</v>
      </c>
      <c r="N1023" s="620">
        <v>1</v>
      </c>
      <c r="O1023" s="620">
        <v>1</v>
      </c>
      <c r="R1023" s="620">
        <v>0</v>
      </c>
      <c r="S1023" s="620">
        <v>0</v>
      </c>
      <c r="T1023" s="620">
        <v>0</v>
      </c>
      <c r="U1023" s="620">
        <v>0</v>
      </c>
      <c r="V1023" s="620">
        <v>0</v>
      </c>
      <c r="W1023" s="620">
        <v>0</v>
      </c>
    </row>
    <row r="1024" spans="1:23" x14ac:dyDescent="0.25">
      <c r="A1024" s="620" t="s">
        <v>3574</v>
      </c>
      <c r="B1024" s="620" t="s">
        <v>3575</v>
      </c>
      <c r="C1024" s="620">
        <v>0</v>
      </c>
      <c r="D1024" s="620">
        <v>0</v>
      </c>
      <c r="E1024" s="620">
        <v>0</v>
      </c>
      <c r="F1024" s="620">
        <v>455</v>
      </c>
      <c r="G1024" s="620">
        <v>0</v>
      </c>
      <c r="H1024" s="620">
        <v>454</v>
      </c>
      <c r="I1024" s="620">
        <v>-1</v>
      </c>
      <c r="J1024" s="620">
        <v>-0.22</v>
      </c>
      <c r="K1024" s="620">
        <v>455</v>
      </c>
      <c r="L1024" s="620">
        <v>0</v>
      </c>
      <c r="M1024" s="620">
        <v>0</v>
      </c>
      <c r="N1024" s="620">
        <v>0</v>
      </c>
      <c r="O1024" s="620">
        <v>0</v>
      </c>
      <c r="R1024" s="620">
        <v>1</v>
      </c>
      <c r="S1024" s="620">
        <v>100</v>
      </c>
      <c r="T1024" s="620">
        <v>11</v>
      </c>
      <c r="U1024" s="620">
        <v>0</v>
      </c>
      <c r="V1024" s="620">
        <v>0</v>
      </c>
      <c r="W1024" s="620">
        <v>0</v>
      </c>
    </row>
    <row r="1025" spans="1:23" x14ac:dyDescent="0.25">
      <c r="A1025" s="620" t="s">
        <v>3576</v>
      </c>
      <c r="B1025" s="620" t="s">
        <v>3577</v>
      </c>
      <c r="C1025" s="620">
        <v>77</v>
      </c>
      <c r="D1025" s="620">
        <v>11613</v>
      </c>
      <c r="E1025" s="620">
        <v>789471822</v>
      </c>
      <c r="F1025" s="620">
        <v>71461</v>
      </c>
      <c r="G1025" s="620">
        <v>73900</v>
      </c>
      <c r="H1025" s="620">
        <v>67888</v>
      </c>
      <c r="I1025" s="620">
        <v>-3573</v>
      </c>
      <c r="J1025" s="620">
        <v>-5</v>
      </c>
      <c r="K1025" s="620">
        <v>69596</v>
      </c>
      <c r="L1025" s="620">
        <v>-1865</v>
      </c>
      <c r="M1025" s="620">
        <v>-2.61</v>
      </c>
      <c r="N1025" s="620">
        <v>67888</v>
      </c>
      <c r="O1025" s="620">
        <v>73900</v>
      </c>
      <c r="P1025" s="620" t="s">
        <v>3578</v>
      </c>
      <c r="Q1025" s="620" t="s">
        <v>3579</v>
      </c>
      <c r="R1025" s="620">
        <v>0</v>
      </c>
      <c r="S1025" s="620">
        <v>0</v>
      </c>
      <c r="T1025" s="620">
        <v>0</v>
      </c>
      <c r="U1025" s="620">
        <v>69999</v>
      </c>
      <c r="V1025" s="620">
        <v>4462</v>
      </c>
      <c r="W1025" s="620">
        <v>2</v>
      </c>
    </row>
    <row r="1026" spans="1:23" x14ac:dyDescent="0.25">
      <c r="A1026" s="620" t="s">
        <v>3580</v>
      </c>
      <c r="B1026" s="620" t="s">
        <v>3581</v>
      </c>
      <c r="C1026" s="620">
        <v>272</v>
      </c>
      <c r="D1026" s="620">
        <v>324188</v>
      </c>
      <c r="E1026" s="620">
        <v>5635008543</v>
      </c>
      <c r="F1026" s="620">
        <v>17553</v>
      </c>
      <c r="G1026" s="620">
        <v>17430</v>
      </c>
      <c r="H1026" s="620">
        <v>16980</v>
      </c>
      <c r="I1026" s="620">
        <v>-573</v>
      </c>
      <c r="J1026" s="620">
        <v>-3.26</v>
      </c>
      <c r="K1026" s="620">
        <v>17382</v>
      </c>
      <c r="L1026" s="620">
        <v>-171</v>
      </c>
      <c r="M1026" s="620">
        <v>-0.97</v>
      </c>
      <c r="N1026" s="620">
        <v>16957</v>
      </c>
      <c r="O1026" s="620">
        <v>17899</v>
      </c>
      <c r="P1026" s="620" t="s">
        <v>3582</v>
      </c>
      <c r="Q1026" s="620" t="s">
        <v>2232</v>
      </c>
      <c r="R1026" s="620">
        <v>1</v>
      </c>
      <c r="S1026" s="620">
        <v>1467</v>
      </c>
      <c r="T1026" s="620">
        <v>16980</v>
      </c>
      <c r="U1026" s="620">
        <v>17140</v>
      </c>
      <c r="V1026" s="620">
        <v>445</v>
      </c>
      <c r="W1026" s="620">
        <v>1</v>
      </c>
    </row>
    <row r="1027" spans="1:23" x14ac:dyDescent="0.25">
      <c r="A1027" s="620" t="s">
        <v>3583</v>
      </c>
      <c r="B1027" s="620" t="s">
        <v>3584</v>
      </c>
      <c r="C1027" s="620">
        <v>0</v>
      </c>
      <c r="D1027" s="620">
        <v>0</v>
      </c>
      <c r="E1027" s="620">
        <v>0</v>
      </c>
      <c r="F1027" s="620">
        <v>1</v>
      </c>
      <c r="G1027" s="620">
        <v>0</v>
      </c>
      <c r="H1027" s="620">
        <v>1</v>
      </c>
      <c r="I1027" s="620">
        <v>0</v>
      </c>
      <c r="J1027" s="620">
        <v>0</v>
      </c>
      <c r="K1027" s="620">
        <v>1</v>
      </c>
      <c r="L1027" s="620">
        <v>0</v>
      </c>
      <c r="M1027" s="620">
        <v>0</v>
      </c>
      <c r="N1027" s="620">
        <v>0</v>
      </c>
      <c r="O1027" s="620">
        <v>0</v>
      </c>
      <c r="R1027" s="620">
        <v>1</v>
      </c>
      <c r="S1027" s="620">
        <v>5</v>
      </c>
      <c r="T1027" s="620">
        <v>50</v>
      </c>
      <c r="U1027" s="620">
        <v>0</v>
      </c>
      <c r="V1027" s="620">
        <v>0</v>
      </c>
      <c r="W1027" s="620">
        <v>0</v>
      </c>
    </row>
    <row r="1028" spans="1:23" x14ac:dyDescent="0.25">
      <c r="A1028" s="620" t="s">
        <v>3585</v>
      </c>
      <c r="B1028" s="620" t="s">
        <v>3586</v>
      </c>
      <c r="C1028" s="620">
        <v>685</v>
      </c>
      <c r="D1028" s="620">
        <v>1371718</v>
      </c>
      <c r="E1028" s="620">
        <v>19065307210</v>
      </c>
      <c r="F1028" s="620">
        <v>13603</v>
      </c>
      <c r="G1028" s="620">
        <v>13610</v>
      </c>
      <c r="H1028" s="620">
        <v>13800</v>
      </c>
      <c r="I1028" s="620">
        <v>197</v>
      </c>
      <c r="J1028" s="620">
        <v>1.45</v>
      </c>
      <c r="K1028" s="620">
        <v>13899</v>
      </c>
      <c r="L1028" s="620">
        <v>296</v>
      </c>
      <c r="M1028" s="620">
        <v>2.1800000000000002</v>
      </c>
      <c r="N1028" s="620">
        <v>13602</v>
      </c>
      <c r="O1028" s="620">
        <v>14030</v>
      </c>
      <c r="P1028" s="620" t="s">
        <v>3587</v>
      </c>
      <c r="Q1028" s="620" t="s">
        <v>3588</v>
      </c>
      <c r="R1028" s="620">
        <v>1</v>
      </c>
      <c r="S1028" s="620">
        <v>500</v>
      </c>
      <c r="T1028" s="620">
        <v>13740</v>
      </c>
      <c r="U1028" s="620">
        <v>13859</v>
      </c>
      <c r="V1028" s="620">
        <v>30</v>
      </c>
      <c r="W1028" s="620">
        <v>1</v>
      </c>
    </row>
    <row r="1029" spans="1:23" x14ac:dyDescent="0.25">
      <c r="A1029" s="620" t="s">
        <v>3589</v>
      </c>
      <c r="B1029" s="620" t="s">
        <v>3590</v>
      </c>
      <c r="C1029" s="620">
        <v>0</v>
      </c>
      <c r="D1029" s="620">
        <v>0</v>
      </c>
      <c r="E1029" s="620">
        <v>0</v>
      </c>
      <c r="F1029" s="620">
        <v>931500</v>
      </c>
      <c r="G1029" s="620">
        <v>0</v>
      </c>
      <c r="H1029" s="620">
        <v>931500</v>
      </c>
      <c r="I1029" s="620">
        <v>0</v>
      </c>
      <c r="J1029" s="620">
        <v>0</v>
      </c>
      <c r="K1029" s="620">
        <v>931500</v>
      </c>
      <c r="L1029" s="620">
        <v>0</v>
      </c>
      <c r="M1029" s="620">
        <v>0</v>
      </c>
      <c r="N1029" s="620">
        <v>0</v>
      </c>
      <c r="O1029" s="620">
        <v>0</v>
      </c>
      <c r="R1029" s="620">
        <v>1</v>
      </c>
      <c r="S1029" s="620">
        <v>1400</v>
      </c>
      <c r="T1029" s="620">
        <v>930000</v>
      </c>
      <c r="U1029" s="620">
        <v>939000</v>
      </c>
      <c r="V1029" s="620">
        <v>1400</v>
      </c>
      <c r="W1029" s="620">
        <v>1</v>
      </c>
    </row>
    <row r="1030" spans="1:23" x14ac:dyDescent="0.25">
      <c r="A1030" s="620" t="s">
        <v>3591</v>
      </c>
      <c r="B1030" s="620" t="s">
        <v>3592</v>
      </c>
      <c r="C1030" s="620">
        <v>391</v>
      </c>
      <c r="D1030" s="620">
        <v>1381988</v>
      </c>
      <c r="E1030" s="620">
        <v>5983232442</v>
      </c>
      <c r="F1030" s="620">
        <v>4553</v>
      </c>
      <c r="G1030" s="620">
        <v>4326</v>
      </c>
      <c r="H1030" s="620">
        <v>4326</v>
      </c>
      <c r="I1030" s="620">
        <v>-227</v>
      </c>
      <c r="J1030" s="620">
        <v>-4.99</v>
      </c>
      <c r="K1030" s="620">
        <v>4329</v>
      </c>
      <c r="L1030" s="620">
        <v>-224</v>
      </c>
      <c r="M1030" s="620">
        <v>-4.92</v>
      </c>
      <c r="N1030" s="620">
        <v>4326</v>
      </c>
      <c r="O1030" s="620">
        <v>4542</v>
      </c>
      <c r="P1030" s="620" t="s">
        <v>3593</v>
      </c>
      <c r="Q1030" s="620" t="s">
        <v>3594</v>
      </c>
      <c r="R1030" s="620">
        <v>0</v>
      </c>
      <c r="S1030" s="620">
        <v>0</v>
      </c>
      <c r="T1030" s="620">
        <v>0</v>
      </c>
      <c r="U1030" s="620">
        <v>4326</v>
      </c>
      <c r="V1030" s="620">
        <v>329699</v>
      </c>
      <c r="W1030" s="620">
        <v>28</v>
      </c>
    </row>
    <row r="1031" spans="1:23" x14ac:dyDescent="0.25">
      <c r="A1031" s="620" t="s">
        <v>3595</v>
      </c>
      <c r="B1031" s="620" t="s">
        <v>3596</v>
      </c>
      <c r="C1031" s="620">
        <v>177</v>
      </c>
      <c r="D1031" s="620">
        <v>832213</v>
      </c>
      <c r="E1031" s="620">
        <v>8345027152</v>
      </c>
      <c r="F1031" s="620">
        <v>9806</v>
      </c>
      <c r="G1031" s="620">
        <v>9513</v>
      </c>
      <c r="H1031" s="620">
        <v>10100</v>
      </c>
      <c r="I1031" s="620">
        <v>294</v>
      </c>
      <c r="J1031" s="620">
        <v>3</v>
      </c>
      <c r="K1031" s="620">
        <v>10028</v>
      </c>
      <c r="L1031" s="620">
        <v>222</v>
      </c>
      <c r="M1031" s="620">
        <v>2.2599999999999998</v>
      </c>
      <c r="N1031" s="620">
        <v>9513</v>
      </c>
      <c r="O1031" s="620">
        <v>10100</v>
      </c>
      <c r="P1031" s="620" t="s">
        <v>3597</v>
      </c>
      <c r="Q1031" s="620" t="s">
        <v>3598</v>
      </c>
      <c r="R1031" s="620">
        <v>20</v>
      </c>
      <c r="S1031" s="620">
        <v>77168</v>
      </c>
      <c r="T1031" s="620">
        <v>10100</v>
      </c>
      <c r="U1031" s="620">
        <v>0</v>
      </c>
      <c r="V1031" s="620">
        <v>0</v>
      </c>
      <c r="W1031" s="620">
        <v>0</v>
      </c>
    </row>
    <row r="1032" spans="1:23" x14ac:dyDescent="0.25">
      <c r="A1032" s="620" t="s">
        <v>3599</v>
      </c>
      <c r="B1032" s="620" t="s">
        <v>3600</v>
      </c>
      <c r="C1032" s="620">
        <v>4</v>
      </c>
      <c r="D1032" s="620">
        <v>5520</v>
      </c>
      <c r="E1032" s="620">
        <v>5285401000</v>
      </c>
      <c r="F1032" s="620">
        <v>956338</v>
      </c>
      <c r="G1032" s="620">
        <v>957278</v>
      </c>
      <c r="H1032" s="620">
        <v>969999</v>
      </c>
      <c r="I1032" s="620">
        <v>13661</v>
      </c>
      <c r="J1032" s="620">
        <v>1.43</v>
      </c>
      <c r="K1032" s="620">
        <v>957500</v>
      </c>
      <c r="L1032" s="620">
        <v>1162</v>
      </c>
      <c r="M1032" s="620">
        <v>0.12</v>
      </c>
      <c r="N1032" s="620">
        <v>957278</v>
      </c>
      <c r="O1032" s="620">
        <v>969999</v>
      </c>
      <c r="R1032" s="620">
        <v>1</v>
      </c>
      <c r="S1032" s="620">
        <v>25</v>
      </c>
      <c r="T1032" s="620">
        <v>958004</v>
      </c>
      <c r="U1032" s="620">
        <v>964800</v>
      </c>
      <c r="V1032" s="620">
        <v>30</v>
      </c>
      <c r="W1032" s="620">
        <v>2</v>
      </c>
    </row>
    <row r="1033" spans="1:23" x14ac:dyDescent="0.25">
      <c r="A1033" s="620" t="s">
        <v>3601</v>
      </c>
      <c r="B1033" s="620" t="s">
        <v>3602</v>
      </c>
      <c r="C1033" s="620">
        <v>23</v>
      </c>
      <c r="D1033" s="620">
        <v>78301</v>
      </c>
      <c r="E1033" s="620">
        <v>3213508864</v>
      </c>
      <c r="F1033" s="620">
        <v>41787</v>
      </c>
      <c r="G1033" s="620">
        <v>40975</v>
      </c>
      <c r="H1033" s="620">
        <v>40975</v>
      </c>
      <c r="I1033" s="620">
        <v>-812</v>
      </c>
      <c r="J1033" s="620">
        <v>-1.94</v>
      </c>
      <c r="K1033" s="620">
        <v>41040</v>
      </c>
      <c r="L1033" s="620">
        <v>-747</v>
      </c>
      <c r="M1033" s="620">
        <v>-1.79</v>
      </c>
      <c r="N1033" s="620">
        <v>40975</v>
      </c>
      <c r="O1033" s="620">
        <v>41359</v>
      </c>
      <c r="R1033" s="620">
        <v>3</v>
      </c>
      <c r="S1033" s="620">
        <v>240399</v>
      </c>
      <c r="T1033" s="620">
        <v>40975</v>
      </c>
      <c r="U1033" s="620">
        <v>41019</v>
      </c>
      <c r="V1033" s="620">
        <v>3646</v>
      </c>
      <c r="W1033" s="620">
        <v>2</v>
      </c>
    </row>
    <row r="1034" spans="1:23" x14ac:dyDescent="0.25">
      <c r="A1034" s="620" t="s">
        <v>3603</v>
      </c>
      <c r="B1034" s="620" t="s">
        <v>3604</v>
      </c>
      <c r="C1034" s="620">
        <v>180</v>
      </c>
      <c r="D1034" s="620">
        <v>493174</v>
      </c>
      <c r="E1034" s="620">
        <v>3247550790</v>
      </c>
      <c r="F1034" s="620">
        <v>6931</v>
      </c>
      <c r="G1034" s="620">
        <v>6585</v>
      </c>
      <c r="H1034" s="620">
        <v>6585</v>
      </c>
      <c r="I1034" s="620">
        <v>-346</v>
      </c>
      <c r="J1034" s="620">
        <v>-4.99</v>
      </c>
      <c r="K1034" s="620">
        <v>6585</v>
      </c>
      <c r="L1034" s="620">
        <v>-346</v>
      </c>
      <c r="M1034" s="620">
        <v>-4.99</v>
      </c>
      <c r="N1034" s="620">
        <v>6585</v>
      </c>
      <c r="O1034" s="620">
        <v>6585</v>
      </c>
      <c r="P1034" s="620" t="s">
        <v>3605</v>
      </c>
      <c r="Q1034" s="620" t="s">
        <v>3606</v>
      </c>
      <c r="R1034" s="620">
        <v>0</v>
      </c>
      <c r="S1034" s="620">
        <v>0</v>
      </c>
      <c r="T1034" s="620">
        <v>0</v>
      </c>
      <c r="U1034" s="620">
        <v>6585</v>
      </c>
      <c r="V1034" s="620">
        <v>2456901</v>
      </c>
      <c r="W1034" s="620">
        <v>353</v>
      </c>
    </row>
    <row r="1035" spans="1:23" x14ac:dyDescent="0.25">
      <c r="A1035" s="620" t="s">
        <v>3607</v>
      </c>
      <c r="B1035" s="620" t="s">
        <v>3608</v>
      </c>
      <c r="C1035" s="620">
        <v>0</v>
      </c>
      <c r="D1035" s="620">
        <v>0</v>
      </c>
      <c r="E1035" s="620">
        <v>0</v>
      </c>
      <c r="F1035" s="620">
        <v>1</v>
      </c>
      <c r="G1035" s="620">
        <v>0</v>
      </c>
      <c r="H1035" s="620">
        <v>1</v>
      </c>
      <c r="I1035" s="620">
        <v>0</v>
      </c>
      <c r="J1035" s="620">
        <v>0</v>
      </c>
      <c r="K1035" s="620">
        <v>1</v>
      </c>
      <c r="L1035" s="620">
        <v>0</v>
      </c>
      <c r="M1035" s="620">
        <v>0</v>
      </c>
      <c r="N1035" s="620">
        <v>0</v>
      </c>
      <c r="O1035" s="620">
        <v>0</v>
      </c>
      <c r="R1035" s="620">
        <v>1</v>
      </c>
      <c r="S1035" s="620">
        <v>5</v>
      </c>
      <c r="T1035" s="620">
        <v>10</v>
      </c>
      <c r="U1035" s="620">
        <v>0</v>
      </c>
      <c r="V1035" s="620">
        <v>0</v>
      </c>
      <c r="W1035" s="620">
        <v>0</v>
      </c>
    </row>
    <row r="1036" spans="1:23" x14ac:dyDescent="0.25">
      <c r="A1036" s="620" t="s">
        <v>3609</v>
      </c>
      <c r="B1036" s="620" t="s">
        <v>3610</v>
      </c>
      <c r="C1036" s="620">
        <v>2882</v>
      </c>
      <c r="D1036" s="620">
        <v>35177133</v>
      </c>
      <c r="E1036" s="620">
        <v>83132622069</v>
      </c>
      <c r="F1036" s="620">
        <v>2442</v>
      </c>
      <c r="G1036" s="620">
        <v>2370</v>
      </c>
      <c r="H1036" s="620">
        <v>2320</v>
      </c>
      <c r="I1036" s="620">
        <v>-122</v>
      </c>
      <c r="J1036" s="620">
        <v>-5</v>
      </c>
      <c r="K1036" s="620">
        <v>2363</v>
      </c>
      <c r="L1036" s="620">
        <v>-79</v>
      </c>
      <c r="M1036" s="620">
        <v>-3.24</v>
      </c>
      <c r="N1036" s="620">
        <v>2320</v>
      </c>
      <c r="O1036" s="620">
        <v>2469</v>
      </c>
      <c r="P1036" s="620" t="s">
        <v>3611</v>
      </c>
      <c r="Q1036" s="620" t="s">
        <v>3612</v>
      </c>
      <c r="R1036" s="620">
        <v>0</v>
      </c>
      <c r="S1036" s="620">
        <v>0</v>
      </c>
      <c r="T1036" s="620">
        <v>0</v>
      </c>
      <c r="U1036" s="620">
        <v>2320</v>
      </c>
      <c r="V1036" s="620">
        <v>447187</v>
      </c>
      <c r="W1036" s="620">
        <v>23</v>
      </c>
    </row>
    <row r="1037" spans="1:23" x14ac:dyDescent="0.25">
      <c r="A1037" s="620" t="s">
        <v>3613</v>
      </c>
      <c r="B1037" s="620" t="s">
        <v>3614</v>
      </c>
      <c r="C1037" s="620">
        <v>0</v>
      </c>
      <c r="D1037" s="620">
        <v>0</v>
      </c>
      <c r="E1037" s="620">
        <v>0</v>
      </c>
      <c r="F1037" s="620">
        <v>115</v>
      </c>
      <c r="G1037" s="620">
        <v>0</v>
      </c>
      <c r="H1037" s="620">
        <v>115</v>
      </c>
      <c r="I1037" s="620">
        <v>0</v>
      </c>
      <c r="J1037" s="620">
        <v>0</v>
      </c>
      <c r="K1037" s="620">
        <v>115</v>
      </c>
      <c r="L1037" s="620">
        <v>0</v>
      </c>
      <c r="M1037" s="620">
        <v>0</v>
      </c>
      <c r="N1037" s="620">
        <v>0</v>
      </c>
      <c r="O1037" s="620">
        <v>0</v>
      </c>
      <c r="R1037" s="620">
        <v>2</v>
      </c>
      <c r="S1037" s="620">
        <v>105</v>
      </c>
      <c r="T1037" s="620">
        <v>66</v>
      </c>
      <c r="U1037" s="620">
        <v>333</v>
      </c>
      <c r="V1037" s="620">
        <v>6</v>
      </c>
      <c r="W1037" s="620">
        <v>1</v>
      </c>
    </row>
    <row r="1038" spans="1:23" x14ac:dyDescent="0.25">
      <c r="A1038" s="620" t="s">
        <v>3615</v>
      </c>
      <c r="B1038" s="620" t="s">
        <v>3616</v>
      </c>
      <c r="C1038" s="620">
        <v>11</v>
      </c>
      <c r="D1038" s="620">
        <v>4816</v>
      </c>
      <c r="E1038" s="620">
        <v>27383776</v>
      </c>
      <c r="F1038" s="620">
        <v>5861</v>
      </c>
      <c r="G1038" s="620">
        <v>5686</v>
      </c>
      <c r="H1038" s="620">
        <v>5686</v>
      </c>
      <c r="I1038" s="620">
        <v>-175</v>
      </c>
      <c r="J1038" s="620">
        <v>-2.99</v>
      </c>
      <c r="K1038" s="620">
        <v>5686</v>
      </c>
      <c r="L1038" s="620">
        <v>-175</v>
      </c>
      <c r="M1038" s="620">
        <v>-2.99</v>
      </c>
      <c r="N1038" s="620">
        <v>5686</v>
      </c>
      <c r="O1038" s="620">
        <v>5686</v>
      </c>
      <c r="R1038" s="620">
        <v>0</v>
      </c>
      <c r="S1038" s="620">
        <v>0</v>
      </c>
      <c r="T1038" s="620">
        <v>0</v>
      </c>
      <c r="U1038" s="620">
        <v>5686</v>
      </c>
      <c r="V1038" s="620">
        <v>625163</v>
      </c>
      <c r="W1038" s="620">
        <v>50</v>
      </c>
    </row>
    <row r="1039" spans="1:23" x14ac:dyDescent="0.25">
      <c r="A1039" s="620" t="s">
        <v>3617</v>
      </c>
      <c r="B1039" s="620" t="s">
        <v>3618</v>
      </c>
      <c r="C1039" s="620">
        <v>0</v>
      </c>
      <c r="D1039" s="620">
        <v>0</v>
      </c>
      <c r="E1039" s="620">
        <v>0</v>
      </c>
      <c r="F1039" s="620">
        <v>1</v>
      </c>
      <c r="G1039" s="620">
        <v>0</v>
      </c>
      <c r="H1039" s="620">
        <v>1</v>
      </c>
      <c r="I1039" s="620">
        <v>0</v>
      </c>
      <c r="J1039" s="620">
        <v>0</v>
      </c>
      <c r="K1039" s="620">
        <v>1</v>
      </c>
      <c r="L1039" s="620">
        <v>0</v>
      </c>
      <c r="M1039" s="620">
        <v>0</v>
      </c>
      <c r="N1039" s="620">
        <v>0</v>
      </c>
      <c r="O1039" s="620">
        <v>0</v>
      </c>
      <c r="R1039" s="620">
        <v>1</v>
      </c>
      <c r="S1039" s="620">
        <v>5</v>
      </c>
      <c r="T1039" s="620">
        <v>50</v>
      </c>
      <c r="U1039" s="620">
        <v>0</v>
      </c>
      <c r="V1039" s="620">
        <v>0</v>
      </c>
      <c r="W1039" s="620">
        <v>0</v>
      </c>
    </row>
    <row r="1040" spans="1:23" x14ac:dyDescent="0.25">
      <c r="A1040" s="620" t="s">
        <v>3619</v>
      </c>
      <c r="B1040" s="620" t="s">
        <v>3620</v>
      </c>
      <c r="C1040" s="620">
        <v>0</v>
      </c>
      <c r="D1040" s="620">
        <v>0</v>
      </c>
      <c r="E1040" s="620">
        <v>0</v>
      </c>
      <c r="F1040" s="620">
        <v>316617</v>
      </c>
      <c r="G1040" s="620">
        <v>0</v>
      </c>
      <c r="H1040" s="620">
        <v>326830</v>
      </c>
      <c r="I1040" s="620">
        <v>10213</v>
      </c>
      <c r="J1040" s="620">
        <v>3.23</v>
      </c>
      <c r="K1040" s="620">
        <v>316617</v>
      </c>
      <c r="L1040" s="620">
        <v>0</v>
      </c>
      <c r="M1040" s="620">
        <v>0</v>
      </c>
      <c r="N1040" s="620">
        <v>0</v>
      </c>
      <c r="O1040" s="620">
        <v>0</v>
      </c>
      <c r="R1040" s="620">
        <v>0</v>
      </c>
      <c r="S1040" s="620">
        <v>0</v>
      </c>
      <c r="T1040" s="620">
        <v>0</v>
      </c>
      <c r="U1040" s="620">
        <v>332447</v>
      </c>
      <c r="V1040" s="620">
        <v>11</v>
      </c>
      <c r="W1040" s="620">
        <v>1</v>
      </c>
    </row>
    <row r="1041" spans="1:23" x14ac:dyDescent="0.25">
      <c r="A1041" s="620" t="s">
        <v>3621</v>
      </c>
      <c r="B1041" s="620" t="s">
        <v>3622</v>
      </c>
      <c r="C1041" s="620">
        <v>237</v>
      </c>
      <c r="D1041" s="620">
        <v>328007</v>
      </c>
      <c r="E1041" s="620">
        <v>7138145729</v>
      </c>
      <c r="F1041" s="620">
        <v>22826</v>
      </c>
      <c r="G1041" s="620">
        <v>21685</v>
      </c>
      <c r="H1041" s="620">
        <v>21685</v>
      </c>
      <c r="I1041" s="620">
        <v>-1141</v>
      </c>
      <c r="J1041" s="620">
        <v>-5</v>
      </c>
      <c r="K1041" s="620">
        <v>21762</v>
      </c>
      <c r="L1041" s="620">
        <v>-1064</v>
      </c>
      <c r="M1041" s="620">
        <v>-4.66</v>
      </c>
      <c r="N1041" s="620">
        <v>21685</v>
      </c>
      <c r="O1041" s="620">
        <v>23500</v>
      </c>
      <c r="P1041" s="620" t="s">
        <v>3623</v>
      </c>
      <c r="Q1041" s="620" t="s">
        <v>3624</v>
      </c>
      <c r="R1041" s="620">
        <v>0</v>
      </c>
      <c r="S1041" s="620">
        <v>0</v>
      </c>
      <c r="T1041" s="620">
        <v>0</v>
      </c>
      <c r="U1041" s="620">
        <v>21685</v>
      </c>
      <c r="V1041" s="620">
        <v>43270</v>
      </c>
      <c r="W1041" s="620">
        <v>8</v>
      </c>
    </row>
    <row r="1042" spans="1:23" x14ac:dyDescent="0.25">
      <c r="A1042" s="620" t="s">
        <v>3625</v>
      </c>
      <c r="B1042" s="620" t="s">
        <v>3626</v>
      </c>
      <c r="C1042" s="620">
        <v>1</v>
      </c>
      <c r="D1042" s="620">
        <v>20</v>
      </c>
      <c r="E1042" s="620">
        <v>40000</v>
      </c>
      <c r="F1042" s="620">
        <v>94</v>
      </c>
      <c r="G1042" s="620">
        <v>2</v>
      </c>
      <c r="H1042" s="620">
        <v>2</v>
      </c>
      <c r="I1042" s="620">
        <v>-92</v>
      </c>
      <c r="J1042" s="620">
        <v>-97.87</v>
      </c>
      <c r="K1042" s="620">
        <v>2</v>
      </c>
      <c r="L1042" s="620">
        <v>-92</v>
      </c>
      <c r="M1042" s="620">
        <v>-97.87</v>
      </c>
      <c r="N1042" s="620">
        <v>2</v>
      </c>
      <c r="O1042" s="620">
        <v>2</v>
      </c>
      <c r="R1042" s="620">
        <v>0</v>
      </c>
      <c r="S1042" s="620">
        <v>0</v>
      </c>
      <c r="T1042" s="620">
        <v>0</v>
      </c>
      <c r="U1042" s="620">
        <v>1</v>
      </c>
      <c r="V1042" s="620">
        <v>400</v>
      </c>
      <c r="W1042" s="620">
        <v>4</v>
      </c>
    </row>
    <row r="1043" spans="1:23" x14ac:dyDescent="0.25">
      <c r="A1043" s="620" t="s">
        <v>3627</v>
      </c>
      <c r="B1043" s="620" t="s">
        <v>3628</v>
      </c>
      <c r="C1043" s="620">
        <v>47</v>
      </c>
      <c r="D1043" s="620">
        <v>4700</v>
      </c>
      <c r="E1043" s="620">
        <v>97400000</v>
      </c>
      <c r="F1043" s="620">
        <v>20</v>
      </c>
      <c r="G1043" s="620">
        <v>20</v>
      </c>
      <c r="H1043" s="620">
        <v>20</v>
      </c>
      <c r="I1043" s="620">
        <v>0</v>
      </c>
      <c r="J1043" s="620">
        <v>0</v>
      </c>
      <c r="K1043" s="620">
        <v>21</v>
      </c>
      <c r="L1043" s="620">
        <v>1</v>
      </c>
      <c r="M1043" s="620">
        <v>5</v>
      </c>
      <c r="N1043" s="620">
        <v>20</v>
      </c>
      <c r="O1043" s="620">
        <v>21</v>
      </c>
      <c r="R1043" s="620">
        <v>1</v>
      </c>
      <c r="S1043" s="620">
        <v>24</v>
      </c>
      <c r="T1043" s="620">
        <v>17</v>
      </c>
      <c r="U1043" s="620">
        <v>32</v>
      </c>
      <c r="V1043" s="620">
        <v>100</v>
      </c>
      <c r="W1043" s="620">
        <v>1</v>
      </c>
    </row>
    <row r="1044" spans="1:23" x14ac:dyDescent="0.25">
      <c r="A1044" s="620" t="s">
        <v>3629</v>
      </c>
      <c r="B1044" s="620" t="s">
        <v>3630</v>
      </c>
      <c r="C1044" s="620">
        <v>0</v>
      </c>
      <c r="D1044" s="620">
        <v>0</v>
      </c>
      <c r="E1044" s="620">
        <v>0</v>
      </c>
      <c r="F1044" s="620">
        <v>995065</v>
      </c>
      <c r="G1044" s="620">
        <v>0</v>
      </c>
      <c r="H1044" s="620">
        <v>995065</v>
      </c>
      <c r="I1044" s="620">
        <v>0</v>
      </c>
      <c r="J1044" s="620">
        <v>0</v>
      </c>
      <c r="K1044" s="620">
        <v>995065</v>
      </c>
      <c r="L1044" s="620">
        <v>0</v>
      </c>
      <c r="M1044" s="620">
        <v>0</v>
      </c>
      <c r="N1044" s="620">
        <v>0</v>
      </c>
      <c r="O1044" s="620">
        <v>0</v>
      </c>
      <c r="R1044" s="620">
        <v>1</v>
      </c>
      <c r="S1044" s="620">
        <v>1000</v>
      </c>
      <c r="T1044" s="620">
        <v>985212</v>
      </c>
      <c r="U1044" s="620">
        <v>995065</v>
      </c>
      <c r="V1044" s="620">
        <v>998</v>
      </c>
      <c r="W1044" s="620">
        <v>1</v>
      </c>
    </row>
    <row r="1045" spans="1:23" x14ac:dyDescent="0.25">
      <c r="A1045" s="620" t="s">
        <v>3631</v>
      </c>
      <c r="B1045" s="620" t="s">
        <v>3632</v>
      </c>
      <c r="C1045" s="620">
        <v>372</v>
      </c>
      <c r="D1045" s="620">
        <v>370337</v>
      </c>
      <c r="E1045" s="620">
        <v>10658389491</v>
      </c>
      <c r="F1045" s="620">
        <v>29712</v>
      </c>
      <c r="G1045" s="620">
        <v>28900</v>
      </c>
      <c r="H1045" s="620">
        <v>28227</v>
      </c>
      <c r="I1045" s="620">
        <v>-1485</v>
      </c>
      <c r="J1045" s="620">
        <v>-5</v>
      </c>
      <c r="K1045" s="620">
        <v>28780</v>
      </c>
      <c r="L1045" s="620">
        <v>-932</v>
      </c>
      <c r="M1045" s="620">
        <v>-3.14</v>
      </c>
      <c r="N1045" s="620">
        <v>28227</v>
      </c>
      <c r="O1045" s="620">
        <v>30739</v>
      </c>
      <c r="P1045" s="620" t="s">
        <v>3633</v>
      </c>
      <c r="Q1045" s="620" t="s">
        <v>3634</v>
      </c>
      <c r="R1045" s="620">
        <v>1</v>
      </c>
      <c r="S1045" s="620">
        <v>100</v>
      </c>
      <c r="T1045" s="620">
        <v>24600</v>
      </c>
      <c r="U1045" s="620">
        <v>28227</v>
      </c>
      <c r="V1045" s="620">
        <v>20</v>
      </c>
      <c r="W1045" s="620">
        <v>1</v>
      </c>
    </row>
    <row r="1046" spans="1:23" x14ac:dyDescent="0.25">
      <c r="A1046" s="620" t="s">
        <v>3635</v>
      </c>
      <c r="B1046" s="620" t="s">
        <v>3636</v>
      </c>
      <c r="C1046" s="620">
        <v>0</v>
      </c>
      <c r="D1046" s="620">
        <v>0</v>
      </c>
      <c r="E1046" s="620">
        <v>0</v>
      </c>
      <c r="F1046" s="620">
        <v>70</v>
      </c>
      <c r="G1046" s="620">
        <v>0</v>
      </c>
      <c r="H1046" s="620">
        <v>70</v>
      </c>
      <c r="I1046" s="620">
        <v>0</v>
      </c>
      <c r="J1046" s="620">
        <v>0</v>
      </c>
      <c r="K1046" s="620">
        <v>70</v>
      </c>
      <c r="L1046" s="620">
        <v>0</v>
      </c>
      <c r="M1046" s="620">
        <v>0</v>
      </c>
      <c r="N1046" s="620">
        <v>0</v>
      </c>
      <c r="O1046" s="620">
        <v>0</v>
      </c>
      <c r="R1046" s="620">
        <v>1</v>
      </c>
      <c r="S1046" s="620">
        <v>100</v>
      </c>
      <c r="T1046" s="620">
        <v>1</v>
      </c>
      <c r="U1046" s="620">
        <v>70</v>
      </c>
      <c r="V1046" s="620">
        <v>47</v>
      </c>
      <c r="W1046" s="620">
        <v>2</v>
      </c>
    </row>
    <row r="1047" spans="1:23" x14ac:dyDescent="0.25">
      <c r="A1047" s="620" t="s">
        <v>3637</v>
      </c>
      <c r="B1047" s="620" t="s">
        <v>3638</v>
      </c>
      <c r="C1047" s="620">
        <v>0</v>
      </c>
      <c r="D1047" s="620">
        <v>0</v>
      </c>
      <c r="E1047" s="620">
        <v>0</v>
      </c>
      <c r="F1047" s="620">
        <v>1</v>
      </c>
      <c r="G1047" s="620">
        <v>0</v>
      </c>
      <c r="H1047" s="620">
        <v>1</v>
      </c>
      <c r="I1047" s="620">
        <v>0</v>
      </c>
      <c r="J1047" s="620">
        <v>0</v>
      </c>
      <c r="K1047" s="620">
        <v>1</v>
      </c>
      <c r="L1047" s="620">
        <v>0</v>
      </c>
      <c r="M1047" s="620">
        <v>0</v>
      </c>
      <c r="N1047" s="620">
        <v>0</v>
      </c>
      <c r="O1047" s="620">
        <v>0</v>
      </c>
      <c r="R1047" s="620">
        <v>1</v>
      </c>
      <c r="S1047" s="620">
        <v>5</v>
      </c>
      <c r="T1047" s="620">
        <v>10</v>
      </c>
      <c r="U1047" s="620">
        <v>0</v>
      </c>
      <c r="V1047" s="620">
        <v>0</v>
      </c>
      <c r="W1047" s="620">
        <v>0</v>
      </c>
    </row>
    <row r="1048" spans="1:23" x14ac:dyDescent="0.25">
      <c r="A1048" s="620" t="s">
        <v>3639</v>
      </c>
      <c r="B1048" s="620" t="s">
        <v>3640</v>
      </c>
      <c r="C1048" s="620">
        <v>0</v>
      </c>
      <c r="D1048" s="620">
        <v>0</v>
      </c>
      <c r="E1048" s="620">
        <v>0</v>
      </c>
      <c r="F1048" s="620">
        <v>1</v>
      </c>
      <c r="G1048" s="620">
        <v>0</v>
      </c>
      <c r="H1048" s="620">
        <v>1</v>
      </c>
      <c r="I1048" s="620">
        <v>0</v>
      </c>
      <c r="J1048" s="620">
        <v>0</v>
      </c>
      <c r="K1048" s="620">
        <v>1</v>
      </c>
      <c r="L1048" s="620">
        <v>0</v>
      </c>
      <c r="M1048" s="620">
        <v>0</v>
      </c>
      <c r="N1048" s="620">
        <v>0</v>
      </c>
      <c r="O1048" s="620">
        <v>0</v>
      </c>
      <c r="R1048" s="620">
        <v>1</v>
      </c>
      <c r="S1048" s="620">
        <v>10</v>
      </c>
      <c r="T1048" s="620">
        <v>6</v>
      </c>
      <c r="U1048" s="620">
        <v>0</v>
      </c>
      <c r="V1048" s="620">
        <v>0</v>
      </c>
      <c r="W1048" s="620">
        <v>0</v>
      </c>
    </row>
    <row r="1049" spans="1:23" x14ac:dyDescent="0.25">
      <c r="A1049" s="620" t="s">
        <v>3641</v>
      </c>
      <c r="B1049" s="620" t="s">
        <v>3642</v>
      </c>
      <c r="C1049" s="620">
        <v>0</v>
      </c>
      <c r="D1049" s="620">
        <v>0</v>
      </c>
      <c r="E1049" s="620">
        <v>0</v>
      </c>
      <c r="F1049" s="620">
        <v>1000000</v>
      </c>
      <c r="G1049" s="620">
        <v>0</v>
      </c>
      <c r="H1049" s="620">
        <v>1000000</v>
      </c>
      <c r="I1049" s="620">
        <v>0</v>
      </c>
      <c r="J1049" s="620">
        <v>0</v>
      </c>
      <c r="K1049" s="620">
        <v>1000000</v>
      </c>
      <c r="L1049" s="620">
        <v>0</v>
      </c>
      <c r="M1049" s="620">
        <v>0</v>
      </c>
      <c r="N1049" s="620">
        <v>0</v>
      </c>
      <c r="O1049" s="620">
        <v>0</v>
      </c>
      <c r="R1049" s="620">
        <v>1</v>
      </c>
      <c r="S1049" s="620">
        <v>1000</v>
      </c>
      <c r="T1049" s="620">
        <v>1000010</v>
      </c>
      <c r="U1049" s="620">
        <v>1020000</v>
      </c>
      <c r="V1049" s="620">
        <v>10</v>
      </c>
      <c r="W1049" s="620">
        <v>1</v>
      </c>
    </row>
    <row r="1050" spans="1:23" x14ac:dyDescent="0.25">
      <c r="A1050" s="620" t="s">
        <v>3643</v>
      </c>
      <c r="B1050" s="620" t="s">
        <v>3644</v>
      </c>
      <c r="C1050" s="620">
        <v>180</v>
      </c>
      <c r="D1050" s="620">
        <v>142925</v>
      </c>
      <c r="E1050" s="620">
        <v>4226632741</v>
      </c>
      <c r="F1050" s="620">
        <v>30963</v>
      </c>
      <c r="G1050" s="620">
        <v>32200</v>
      </c>
      <c r="H1050" s="620">
        <v>29415</v>
      </c>
      <c r="I1050" s="620">
        <v>-1548</v>
      </c>
      <c r="J1050" s="620">
        <v>-5</v>
      </c>
      <c r="K1050" s="620">
        <v>29572</v>
      </c>
      <c r="L1050" s="620">
        <v>-1391</v>
      </c>
      <c r="M1050" s="620">
        <v>-4.49</v>
      </c>
      <c r="N1050" s="620">
        <v>29415</v>
      </c>
      <c r="O1050" s="620">
        <v>32200</v>
      </c>
      <c r="P1050" s="620" t="s">
        <v>1838</v>
      </c>
      <c r="Q1050" s="620" t="s">
        <v>3645</v>
      </c>
      <c r="R1050" s="620">
        <v>0</v>
      </c>
      <c r="S1050" s="620">
        <v>0</v>
      </c>
      <c r="T1050" s="620">
        <v>0</v>
      </c>
      <c r="U1050" s="620">
        <v>29415</v>
      </c>
      <c r="V1050" s="620">
        <v>2258</v>
      </c>
      <c r="W1050" s="620">
        <v>3</v>
      </c>
    </row>
    <row r="1051" spans="1:23" x14ac:dyDescent="0.25">
      <c r="A1051" s="620" t="s">
        <v>3646</v>
      </c>
      <c r="B1051" s="620" t="s">
        <v>3647</v>
      </c>
      <c r="C1051" s="620">
        <v>0</v>
      </c>
      <c r="D1051" s="620">
        <v>0</v>
      </c>
      <c r="E1051" s="620">
        <v>0</v>
      </c>
      <c r="F1051" s="620">
        <v>2235</v>
      </c>
      <c r="G1051" s="620">
        <v>0</v>
      </c>
      <c r="H1051" s="620">
        <v>2430</v>
      </c>
      <c r="I1051" s="620">
        <v>195</v>
      </c>
      <c r="J1051" s="620">
        <v>8.7200000000000006</v>
      </c>
      <c r="K1051" s="620">
        <v>2235</v>
      </c>
      <c r="L1051" s="620">
        <v>0</v>
      </c>
      <c r="M1051" s="620">
        <v>0</v>
      </c>
      <c r="N1051" s="620">
        <v>0</v>
      </c>
      <c r="O1051" s="620">
        <v>0</v>
      </c>
      <c r="R1051" s="620">
        <v>1</v>
      </c>
      <c r="S1051" s="620">
        <v>11</v>
      </c>
      <c r="T1051" s="620">
        <v>1001</v>
      </c>
      <c r="U1051" s="620">
        <v>3300</v>
      </c>
      <c r="V1051" s="620">
        <v>2</v>
      </c>
      <c r="W1051" s="620">
        <v>1</v>
      </c>
    </row>
    <row r="1052" spans="1:23" x14ac:dyDescent="0.25">
      <c r="A1052" s="620" t="s">
        <v>3648</v>
      </c>
      <c r="B1052" s="620" t="s">
        <v>3649</v>
      </c>
      <c r="C1052" s="620">
        <v>1656</v>
      </c>
      <c r="D1052" s="620">
        <v>35350024</v>
      </c>
      <c r="E1052" s="620">
        <v>105475318395</v>
      </c>
      <c r="F1052" s="620">
        <v>3126</v>
      </c>
      <c r="G1052" s="620">
        <v>3019</v>
      </c>
      <c r="H1052" s="620">
        <v>2970</v>
      </c>
      <c r="I1052" s="620">
        <v>-156</v>
      </c>
      <c r="J1052" s="620">
        <v>-4.99</v>
      </c>
      <c r="K1052" s="620">
        <v>2984</v>
      </c>
      <c r="L1052" s="620">
        <v>-142</v>
      </c>
      <c r="M1052" s="620">
        <v>-4.54</v>
      </c>
      <c r="N1052" s="620">
        <v>2970</v>
      </c>
      <c r="O1052" s="620">
        <v>3090</v>
      </c>
      <c r="P1052" s="620" t="s">
        <v>3650</v>
      </c>
      <c r="Q1052" s="620" t="s">
        <v>2781</v>
      </c>
      <c r="R1052" s="620">
        <v>0</v>
      </c>
      <c r="S1052" s="620">
        <v>0</v>
      </c>
      <c r="T1052" s="620">
        <v>0</v>
      </c>
      <c r="U1052" s="620">
        <v>2970</v>
      </c>
      <c r="V1052" s="620">
        <v>77100</v>
      </c>
      <c r="W1052" s="620">
        <v>4</v>
      </c>
    </row>
    <row r="1053" spans="1:23" x14ac:dyDescent="0.25">
      <c r="A1053" s="620" t="s">
        <v>3651</v>
      </c>
      <c r="B1053" s="620" t="s">
        <v>3652</v>
      </c>
      <c r="C1053" s="620">
        <v>176</v>
      </c>
      <c r="D1053" s="620">
        <v>14062</v>
      </c>
      <c r="E1053" s="620">
        <v>14421982352</v>
      </c>
      <c r="F1053" s="620">
        <v>993190</v>
      </c>
      <c r="G1053" s="620">
        <v>1042848</v>
      </c>
      <c r="H1053" s="620">
        <v>1039000</v>
      </c>
      <c r="I1053" s="620">
        <v>45810</v>
      </c>
      <c r="J1053" s="620">
        <v>4.6100000000000003</v>
      </c>
      <c r="K1053" s="620">
        <v>1025600</v>
      </c>
      <c r="L1053" s="620">
        <v>32410</v>
      </c>
      <c r="M1053" s="620">
        <v>3.26</v>
      </c>
      <c r="N1053" s="620">
        <v>985000</v>
      </c>
      <c r="O1053" s="620">
        <v>1042848</v>
      </c>
      <c r="R1053" s="620">
        <v>2</v>
      </c>
      <c r="S1053" s="620">
        <v>6</v>
      </c>
      <c r="T1053" s="620">
        <v>1025006</v>
      </c>
      <c r="U1053" s="620">
        <v>1039000</v>
      </c>
      <c r="V1053" s="620">
        <v>70</v>
      </c>
      <c r="W1053" s="620">
        <v>1</v>
      </c>
    </row>
    <row r="1054" spans="1:23" x14ac:dyDescent="0.25">
      <c r="A1054" s="620" t="s">
        <v>3653</v>
      </c>
      <c r="B1054" s="620" t="s">
        <v>3654</v>
      </c>
      <c r="C1054" s="620">
        <v>191</v>
      </c>
      <c r="D1054" s="620">
        <v>1871303</v>
      </c>
      <c r="E1054" s="620">
        <v>9839311174</v>
      </c>
      <c r="F1054" s="620">
        <v>5534</v>
      </c>
      <c r="G1054" s="620">
        <v>5258</v>
      </c>
      <c r="H1054" s="620">
        <v>5258</v>
      </c>
      <c r="I1054" s="620">
        <v>-276</v>
      </c>
      <c r="J1054" s="620">
        <v>-4.99</v>
      </c>
      <c r="K1054" s="620">
        <v>5258</v>
      </c>
      <c r="L1054" s="620">
        <v>-276</v>
      </c>
      <c r="M1054" s="620">
        <v>-4.99</v>
      </c>
      <c r="N1054" s="620">
        <v>5258</v>
      </c>
      <c r="O1054" s="620">
        <v>5258</v>
      </c>
      <c r="P1054" s="620" t="s">
        <v>3213</v>
      </c>
      <c r="Q1054" s="620" t="s">
        <v>3655</v>
      </c>
      <c r="R1054" s="620">
        <v>1</v>
      </c>
      <c r="S1054" s="620">
        <v>2500</v>
      </c>
      <c r="T1054" s="620">
        <v>4200</v>
      </c>
      <c r="U1054" s="620">
        <v>5258</v>
      </c>
      <c r="V1054" s="620">
        <v>2063759</v>
      </c>
      <c r="W1054" s="620">
        <v>139</v>
      </c>
    </row>
    <row r="1055" spans="1:23" x14ac:dyDescent="0.25">
      <c r="A1055" s="620" t="s">
        <v>3656</v>
      </c>
      <c r="B1055" s="620" t="s">
        <v>3657</v>
      </c>
      <c r="C1055" s="620">
        <v>0</v>
      </c>
      <c r="D1055" s="620">
        <v>0</v>
      </c>
      <c r="E1055" s="620">
        <v>0</v>
      </c>
      <c r="F1055" s="620">
        <v>1</v>
      </c>
      <c r="G1055" s="620">
        <v>0</v>
      </c>
      <c r="H1055" s="620">
        <v>1</v>
      </c>
      <c r="I1055" s="620">
        <v>0</v>
      </c>
      <c r="J1055" s="620">
        <v>0</v>
      </c>
      <c r="K1055" s="620">
        <v>1</v>
      </c>
      <c r="L1055" s="620">
        <v>0</v>
      </c>
      <c r="M1055" s="620">
        <v>0</v>
      </c>
      <c r="N1055" s="620">
        <v>0</v>
      </c>
      <c r="O1055" s="620">
        <v>0</v>
      </c>
      <c r="R1055" s="620">
        <v>1</v>
      </c>
      <c r="S1055" s="620">
        <v>60</v>
      </c>
      <c r="T1055" s="620">
        <v>1</v>
      </c>
      <c r="U1055" s="620">
        <v>0</v>
      </c>
      <c r="V1055" s="620">
        <v>0</v>
      </c>
      <c r="W1055" s="620">
        <v>0</v>
      </c>
    </row>
    <row r="1056" spans="1:23" x14ac:dyDescent="0.25">
      <c r="A1056" s="620" t="s">
        <v>3658</v>
      </c>
      <c r="B1056" s="620" t="s">
        <v>3659</v>
      </c>
      <c r="C1056" s="620">
        <v>0</v>
      </c>
      <c r="D1056" s="620">
        <v>0</v>
      </c>
      <c r="E1056" s="620">
        <v>0</v>
      </c>
      <c r="F1056" s="620">
        <v>757100</v>
      </c>
      <c r="G1056" s="620">
        <v>0</v>
      </c>
      <c r="H1056" s="620">
        <v>757100</v>
      </c>
      <c r="I1056" s="620">
        <v>0</v>
      </c>
      <c r="J1056" s="620">
        <v>0</v>
      </c>
      <c r="K1056" s="620">
        <v>757100</v>
      </c>
      <c r="L1056" s="620">
        <v>0</v>
      </c>
      <c r="M1056" s="620">
        <v>0</v>
      </c>
      <c r="N1056" s="620">
        <v>0</v>
      </c>
      <c r="O1056" s="620">
        <v>0</v>
      </c>
      <c r="R1056" s="620">
        <v>1</v>
      </c>
      <c r="S1056" s="620">
        <v>33</v>
      </c>
      <c r="T1056" s="620">
        <v>770000</v>
      </c>
      <c r="U1056" s="620">
        <v>0</v>
      </c>
      <c r="V1056" s="620">
        <v>0</v>
      </c>
      <c r="W1056" s="620">
        <v>0</v>
      </c>
    </row>
    <row r="1057" spans="1:23" x14ac:dyDescent="0.25">
      <c r="A1057" s="620" t="s">
        <v>3660</v>
      </c>
      <c r="B1057" s="620" t="s">
        <v>3661</v>
      </c>
      <c r="C1057" s="620">
        <v>304</v>
      </c>
      <c r="D1057" s="620">
        <v>828125</v>
      </c>
      <c r="E1057" s="620">
        <v>24957131680</v>
      </c>
      <c r="F1057" s="620">
        <v>31430</v>
      </c>
      <c r="G1057" s="620">
        <v>30000</v>
      </c>
      <c r="H1057" s="620">
        <v>29859</v>
      </c>
      <c r="I1057" s="620">
        <v>-1571</v>
      </c>
      <c r="J1057" s="620">
        <v>-5</v>
      </c>
      <c r="K1057" s="620">
        <v>30137</v>
      </c>
      <c r="L1057" s="620">
        <v>-1293</v>
      </c>
      <c r="M1057" s="620">
        <v>-4.1100000000000003</v>
      </c>
      <c r="N1057" s="620">
        <v>29859</v>
      </c>
      <c r="O1057" s="620">
        <v>31925</v>
      </c>
      <c r="P1057" s="620" t="s">
        <v>3662</v>
      </c>
      <c r="Q1057" s="620" t="s">
        <v>3663</v>
      </c>
      <c r="R1057" s="620">
        <v>1</v>
      </c>
      <c r="S1057" s="620">
        <v>685</v>
      </c>
      <c r="T1057" s="620">
        <v>29859</v>
      </c>
      <c r="U1057" s="620">
        <v>29859</v>
      </c>
      <c r="V1057" s="620">
        <v>13390</v>
      </c>
      <c r="W1057" s="620">
        <v>8</v>
      </c>
    </row>
    <row r="1058" spans="1:23" x14ac:dyDescent="0.25">
      <c r="A1058" s="620" t="s">
        <v>343</v>
      </c>
      <c r="B1058" s="620" t="s">
        <v>3664</v>
      </c>
      <c r="C1058" s="620">
        <v>1132</v>
      </c>
      <c r="D1058" s="620">
        <v>6226831</v>
      </c>
      <c r="E1058" s="620">
        <v>38102433922</v>
      </c>
      <c r="F1058" s="620">
        <v>6359</v>
      </c>
      <c r="G1058" s="620">
        <v>6090</v>
      </c>
      <c r="H1058" s="620">
        <v>6042</v>
      </c>
      <c r="I1058" s="620">
        <v>-317</v>
      </c>
      <c r="J1058" s="620">
        <v>-4.99</v>
      </c>
      <c r="K1058" s="620">
        <v>6119</v>
      </c>
      <c r="L1058" s="620">
        <v>-240</v>
      </c>
      <c r="M1058" s="620">
        <v>-3.77</v>
      </c>
      <c r="N1058" s="620">
        <v>6042</v>
      </c>
      <c r="O1058" s="620">
        <v>6365</v>
      </c>
      <c r="P1058" s="620" t="s">
        <v>3665</v>
      </c>
      <c r="Q1058" s="620" t="s">
        <v>3666</v>
      </c>
      <c r="R1058" s="620">
        <v>0</v>
      </c>
      <c r="S1058" s="620">
        <v>0</v>
      </c>
      <c r="T1058" s="620">
        <v>0</v>
      </c>
      <c r="U1058" s="620">
        <v>6044</v>
      </c>
      <c r="V1058" s="620">
        <v>48153</v>
      </c>
      <c r="W1058" s="620">
        <v>1</v>
      </c>
    </row>
    <row r="1059" spans="1:23" x14ac:dyDescent="0.25">
      <c r="A1059" s="620" t="s">
        <v>3667</v>
      </c>
      <c r="B1059" s="620" t="s">
        <v>3668</v>
      </c>
      <c r="C1059" s="620">
        <v>0</v>
      </c>
      <c r="D1059" s="620">
        <v>0</v>
      </c>
      <c r="E1059" s="620">
        <v>0</v>
      </c>
      <c r="F1059" s="620">
        <v>1</v>
      </c>
      <c r="G1059" s="620">
        <v>0</v>
      </c>
      <c r="H1059" s="620">
        <v>1</v>
      </c>
      <c r="I1059" s="620">
        <v>0</v>
      </c>
      <c r="J1059" s="620">
        <v>0</v>
      </c>
      <c r="K1059" s="620">
        <v>1</v>
      </c>
      <c r="L1059" s="620">
        <v>0</v>
      </c>
      <c r="M1059" s="620">
        <v>0</v>
      </c>
      <c r="N1059" s="620">
        <v>0</v>
      </c>
      <c r="O1059" s="620">
        <v>0</v>
      </c>
      <c r="R1059" s="620">
        <v>4</v>
      </c>
      <c r="S1059" s="620">
        <v>400</v>
      </c>
      <c r="T1059" s="620">
        <v>1</v>
      </c>
      <c r="U1059" s="620">
        <v>0</v>
      </c>
      <c r="V1059" s="620">
        <v>0</v>
      </c>
      <c r="W1059" s="620">
        <v>0</v>
      </c>
    </row>
    <row r="1060" spans="1:23" x14ac:dyDescent="0.25">
      <c r="A1060" s="620" t="s">
        <v>3669</v>
      </c>
      <c r="B1060" s="620" t="s">
        <v>3670</v>
      </c>
      <c r="C1060" s="620">
        <v>1383</v>
      </c>
      <c r="D1060" s="620">
        <v>59510531</v>
      </c>
      <c r="E1060" s="620">
        <v>598928688631</v>
      </c>
      <c r="F1060" s="620">
        <v>10047</v>
      </c>
      <c r="G1060" s="620">
        <v>10054</v>
      </c>
      <c r="H1060" s="620">
        <v>10080</v>
      </c>
      <c r="I1060" s="620">
        <v>33</v>
      </c>
      <c r="J1060" s="620">
        <v>0.33</v>
      </c>
      <c r="K1060" s="620">
        <v>10064</v>
      </c>
      <c r="L1060" s="620">
        <v>17</v>
      </c>
      <c r="M1060" s="620">
        <v>0.17</v>
      </c>
      <c r="N1060" s="620">
        <v>10054</v>
      </c>
      <c r="O1060" s="620">
        <v>10080</v>
      </c>
      <c r="R1060" s="620">
        <v>1</v>
      </c>
      <c r="S1060" s="620">
        <v>3000</v>
      </c>
      <c r="T1060" s="620">
        <v>10072</v>
      </c>
      <c r="U1060" s="620">
        <v>10079</v>
      </c>
      <c r="V1060" s="620">
        <v>72508</v>
      </c>
      <c r="W1060" s="620">
        <v>2</v>
      </c>
    </row>
    <row r="1061" spans="1:23" x14ac:dyDescent="0.25">
      <c r="A1061" s="620" t="s">
        <v>3671</v>
      </c>
      <c r="B1061" s="620" t="s">
        <v>3672</v>
      </c>
      <c r="C1061" s="620">
        <v>0</v>
      </c>
      <c r="D1061" s="620">
        <v>0</v>
      </c>
      <c r="E1061" s="620">
        <v>0</v>
      </c>
      <c r="F1061" s="620">
        <v>500</v>
      </c>
      <c r="G1061" s="620">
        <v>0</v>
      </c>
      <c r="H1061" s="620">
        <v>500</v>
      </c>
      <c r="I1061" s="620">
        <v>0</v>
      </c>
      <c r="J1061" s="620">
        <v>0</v>
      </c>
      <c r="K1061" s="620">
        <v>500</v>
      </c>
      <c r="L1061" s="620">
        <v>0</v>
      </c>
      <c r="M1061" s="620">
        <v>0</v>
      </c>
      <c r="N1061" s="620">
        <v>0</v>
      </c>
      <c r="O1061" s="620">
        <v>0</v>
      </c>
      <c r="R1061" s="620">
        <v>1</v>
      </c>
      <c r="S1061" s="620">
        <v>20</v>
      </c>
      <c r="T1061" s="620">
        <v>250</v>
      </c>
      <c r="U1061" s="620">
        <v>0</v>
      </c>
      <c r="V1061" s="620">
        <v>0</v>
      </c>
      <c r="W1061" s="620">
        <v>0</v>
      </c>
    </row>
    <row r="1062" spans="1:23" x14ac:dyDescent="0.25">
      <c r="A1062" s="620" t="s">
        <v>3673</v>
      </c>
      <c r="B1062" s="620" t="s">
        <v>3674</v>
      </c>
      <c r="C1062" s="620">
        <v>9</v>
      </c>
      <c r="D1062" s="620">
        <v>9563</v>
      </c>
      <c r="E1062" s="620">
        <v>9179730800</v>
      </c>
      <c r="F1062" s="620">
        <v>958875</v>
      </c>
      <c r="G1062" s="620">
        <v>960000</v>
      </c>
      <c r="H1062" s="620">
        <v>960000</v>
      </c>
      <c r="I1062" s="620">
        <v>1125</v>
      </c>
      <c r="J1062" s="620">
        <v>0.12</v>
      </c>
      <c r="K1062" s="620">
        <v>959922</v>
      </c>
      <c r="L1062" s="620">
        <v>1047</v>
      </c>
      <c r="M1062" s="620">
        <v>0.11</v>
      </c>
      <c r="N1062" s="620">
        <v>959500</v>
      </c>
      <c r="O1062" s="620">
        <v>960000</v>
      </c>
      <c r="R1062" s="620">
        <v>1</v>
      </c>
      <c r="S1062" s="620">
        <v>50</v>
      </c>
      <c r="T1062" s="620">
        <v>957216</v>
      </c>
      <c r="U1062" s="620">
        <v>968000</v>
      </c>
      <c r="V1062" s="620">
        <v>110</v>
      </c>
      <c r="W1062" s="620">
        <v>1</v>
      </c>
    </row>
    <row r="1063" spans="1:23" x14ac:dyDescent="0.25">
      <c r="A1063" s="620" t="s">
        <v>3675</v>
      </c>
      <c r="B1063" s="620" t="s">
        <v>3676</v>
      </c>
      <c r="C1063" s="620">
        <v>0</v>
      </c>
      <c r="D1063" s="620">
        <v>0</v>
      </c>
      <c r="E1063" s="620">
        <v>0</v>
      </c>
      <c r="F1063" s="620">
        <v>2450</v>
      </c>
      <c r="G1063" s="620">
        <v>0</v>
      </c>
      <c r="H1063" s="620">
        <v>2400</v>
      </c>
      <c r="I1063" s="620">
        <v>-50</v>
      </c>
      <c r="J1063" s="620">
        <v>-2.04</v>
      </c>
      <c r="K1063" s="620">
        <v>2450</v>
      </c>
      <c r="L1063" s="620">
        <v>0</v>
      </c>
      <c r="M1063" s="620">
        <v>0</v>
      </c>
      <c r="N1063" s="620">
        <v>0</v>
      </c>
      <c r="O1063" s="620">
        <v>0</v>
      </c>
      <c r="R1063" s="620">
        <v>1</v>
      </c>
      <c r="S1063" s="620">
        <v>50</v>
      </c>
      <c r="T1063" s="620">
        <v>1500</v>
      </c>
      <c r="U1063" s="620">
        <v>2850</v>
      </c>
      <c r="V1063" s="620">
        <v>10</v>
      </c>
      <c r="W1063" s="620">
        <v>1</v>
      </c>
    </row>
    <row r="1064" spans="1:23" x14ac:dyDescent="0.25">
      <c r="A1064" s="620" t="s">
        <v>3677</v>
      </c>
      <c r="B1064" s="620" t="s">
        <v>3678</v>
      </c>
      <c r="C1064" s="620">
        <v>872</v>
      </c>
      <c r="D1064" s="620">
        <v>1131193</v>
      </c>
      <c r="E1064" s="620">
        <v>25284144545</v>
      </c>
      <c r="F1064" s="620">
        <v>21956</v>
      </c>
      <c r="G1064" s="620">
        <v>21900</v>
      </c>
      <c r="H1064" s="620">
        <v>22300</v>
      </c>
      <c r="I1064" s="620">
        <v>344</v>
      </c>
      <c r="J1064" s="620">
        <v>1.57</v>
      </c>
      <c r="K1064" s="620">
        <v>22352</v>
      </c>
      <c r="L1064" s="620">
        <v>396</v>
      </c>
      <c r="M1064" s="620">
        <v>1.8</v>
      </c>
      <c r="N1064" s="620">
        <v>21900</v>
      </c>
      <c r="O1064" s="620">
        <v>23053</v>
      </c>
      <c r="P1064" s="620" t="s">
        <v>3679</v>
      </c>
      <c r="Q1064" s="620" t="s">
        <v>3680</v>
      </c>
      <c r="R1064" s="620">
        <v>1</v>
      </c>
      <c r="S1064" s="620">
        <v>50</v>
      </c>
      <c r="T1064" s="620">
        <v>22300</v>
      </c>
      <c r="U1064" s="620">
        <v>22300</v>
      </c>
      <c r="V1064" s="620">
        <v>23263</v>
      </c>
      <c r="W1064" s="620">
        <v>1</v>
      </c>
    </row>
    <row r="1065" spans="1:23" x14ac:dyDescent="0.25">
      <c r="A1065" s="620" t="s">
        <v>3681</v>
      </c>
      <c r="B1065" s="620" t="s">
        <v>3682</v>
      </c>
      <c r="C1065" s="620">
        <v>0</v>
      </c>
      <c r="D1065" s="620">
        <v>0</v>
      </c>
      <c r="E1065" s="620">
        <v>0</v>
      </c>
      <c r="F1065" s="620">
        <v>3</v>
      </c>
      <c r="G1065" s="620">
        <v>0</v>
      </c>
      <c r="H1065" s="620">
        <v>3</v>
      </c>
      <c r="I1065" s="620">
        <v>0</v>
      </c>
      <c r="J1065" s="620">
        <v>0</v>
      </c>
      <c r="K1065" s="620">
        <v>3</v>
      </c>
      <c r="L1065" s="620">
        <v>0</v>
      </c>
      <c r="M1065" s="620">
        <v>0</v>
      </c>
      <c r="N1065" s="620">
        <v>0</v>
      </c>
      <c r="O1065" s="620">
        <v>0</v>
      </c>
      <c r="R1065" s="620">
        <v>0</v>
      </c>
      <c r="S1065" s="620">
        <v>0</v>
      </c>
      <c r="T1065" s="620">
        <v>0</v>
      </c>
      <c r="U1065" s="620">
        <v>9</v>
      </c>
      <c r="V1065" s="620">
        <v>50</v>
      </c>
      <c r="W1065" s="620">
        <v>1</v>
      </c>
    </row>
    <row r="1066" spans="1:23" x14ac:dyDescent="0.25">
      <c r="A1066" s="620" t="s">
        <v>3683</v>
      </c>
      <c r="B1066" s="620" t="s">
        <v>3684</v>
      </c>
      <c r="C1066" s="620">
        <v>493</v>
      </c>
      <c r="D1066" s="620">
        <v>1170782</v>
      </c>
      <c r="E1066" s="620">
        <v>17315015580</v>
      </c>
      <c r="F1066" s="620">
        <v>15513</v>
      </c>
      <c r="G1066" s="620">
        <v>14738</v>
      </c>
      <c r="H1066" s="620">
        <v>14738</v>
      </c>
      <c r="I1066" s="620">
        <v>-775</v>
      </c>
      <c r="J1066" s="620">
        <v>-5</v>
      </c>
      <c r="K1066" s="620">
        <v>14789</v>
      </c>
      <c r="L1066" s="620">
        <v>-724</v>
      </c>
      <c r="M1066" s="620">
        <v>-4.67</v>
      </c>
      <c r="N1066" s="620">
        <v>14738</v>
      </c>
      <c r="O1066" s="620">
        <v>15334</v>
      </c>
      <c r="P1066" s="620" t="s">
        <v>3685</v>
      </c>
      <c r="Q1066" s="620" t="s">
        <v>3295</v>
      </c>
      <c r="R1066" s="620">
        <v>1</v>
      </c>
      <c r="S1066" s="620">
        <v>1375</v>
      </c>
      <c r="T1066" s="620">
        <v>14473</v>
      </c>
      <c r="U1066" s="620">
        <v>14738</v>
      </c>
      <c r="V1066" s="620">
        <v>204179</v>
      </c>
      <c r="W1066" s="620">
        <v>23</v>
      </c>
    </row>
    <row r="1067" spans="1:23" x14ac:dyDescent="0.25">
      <c r="A1067" s="620" t="s">
        <v>3686</v>
      </c>
      <c r="B1067" s="620" t="s">
        <v>3687</v>
      </c>
      <c r="C1067" s="620">
        <v>0</v>
      </c>
      <c r="D1067" s="620">
        <v>0</v>
      </c>
      <c r="E1067" s="620">
        <v>0</v>
      </c>
      <c r="F1067" s="620">
        <v>20</v>
      </c>
      <c r="G1067" s="620">
        <v>0</v>
      </c>
      <c r="H1067" s="620">
        <v>20</v>
      </c>
      <c r="I1067" s="620">
        <v>0</v>
      </c>
      <c r="J1067" s="620">
        <v>0</v>
      </c>
      <c r="K1067" s="620">
        <v>20</v>
      </c>
      <c r="L1067" s="620">
        <v>0</v>
      </c>
      <c r="M1067" s="620">
        <v>0</v>
      </c>
      <c r="N1067" s="620">
        <v>0</v>
      </c>
      <c r="O1067" s="620">
        <v>0</v>
      </c>
      <c r="R1067" s="620">
        <v>1</v>
      </c>
      <c r="S1067" s="620">
        <v>1</v>
      </c>
      <c r="T1067" s="620">
        <v>21</v>
      </c>
      <c r="U1067" s="620">
        <v>230</v>
      </c>
      <c r="V1067" s="620">
        <v>28</v>
      </c>
      <c r="W1067" s="620">
        <v>2</v>
      </c>
    </row>
    <row r="1068" spans="1:23" x14ac:dyDescent="0.25">
      <c r="A1068" s="620" t="s">
        <v>3688</v>
      </c>
      <c r="B1068" s="620" t="s">
        <v>3689</v>
      </c>
      <c r="C1068" s="620">
        <v>218</v>
      </c>
      <c r="D1068" s="620">
        <v>820238</v>
      </c>
      <c r="E1068" s="620">
        <v>4907144145</v>
      </c>
      <c r="F1068" s="620">
        <v>270</v>
      </c>
      <c r="G1068" s="620">
        <v>6200</v>
      </c>
      <c r="H1068" s="620">
        <v>5890</v>
      </c>
      <c r="I1068" s="620">
        <v>5620</v>
      </c>
      <c r="J1068" s="620">
        <v>2081.48</v>
      </c>
      <c r="K1068" s="620">
        <v>5983</v>
      </c>
      <c r="L1068" s="620">
        <v>5713</v>
      </c>
      <c r="M1068" s="620">
        <v>2115.9299999999998</v>
      </c>
      <c r="N1068" s="620">
        <v>5890</v>
      </c>
      <c r="O1068" s="620">
        <v>6200</v>
      </c>
      <c r="R1068" s="620">
        <v>0</v>
      </c>
      <c r="S1068" s="620">
        <v>0</v>
      </c>
      <c r="T1068" s="620">
        <v>0</v>
      </c>
      <c r="U1068" s="620">
        <v>5890</v>
      </c>
      <c r="V1068" s="620">
        <v>239864</v>
      </c>
      <c r="W1068" s="620">
        <v>88</v>
      </c>
    </row>
    <row r="1069" spans="1:23" x14ac:dyDescent="0.25">
      <c r="A1069" s="620" t="s">
        <v>3690</v>
      </c>
      <c r="B1069" s="620" t="s">
        <v>3691</v>
      </c>
      <c r="C1069" s="620">
        <v>128</v>
      </c>
      <c r="D1069" s="620">
        <v>273570</v>
      </c>
      <c r="E1069" s="620">
        <v>2107036140</v>
      </c>
      <c r="F1069" s="620">
        <v>8107</v>
      </c>
      <c r="G1069" s="620">
        <v>7702</v>
      </c>
      <c r="H1069" s="620">
        <v>7702</v>
      </c>
      <c r="I1069" s="620">
        <v>-405</v>
      </c>
      <c r="J1069" s="620">
        <v>-5</v>
      </c>
      <c r="K1069" s="620">
        <v>7702</v>
      </c>
      <c r="L1069" s="620">
        <v>-405</v>
      </c>
      <c r="M1069" s="620">
        <v>-5</v>
      </c>
      <c r="N1069" s="620">
        <v>7702</v>
      </c>
      <c r="O1069" s="620">
        <v>7702</v>
      </c>
      <c r="P1069" s="620" t="s">
        <v>3692</v>
      </c>
      <c r="Q1069" s="620" t="s">
        <v>3693</v>
      </c>
      <c r="R1069" s="620">
        <v>0</v>
      </c>
      <c r="S1069" s="620">
        <v>0</v>
      </c>
      <c r="T1069" s="620">
        <v>0</v>
      </c>
      <c r="U1069" s="620">
        <v>7702</v>
      </c>
      <c r="V1069" s="620">
        <v>2019138</v>
      </c>
      <c r="W1069" s="620">
        <v>241</v>
      </c>
    </row>
    <row r="1070" spans="1:23" x14ac:dyDescent="0.25">
      <c r="A1070" s="620" t="s">
        <v>3694</v>
      </c>
      <c r="B1070" s="620" t="s">
        <v>3695</v>
      </c>
      <c r="C1070" s="620">
        <v>614</v>
      </c>
      <c r="D1070" s="620">
        <v>1778064</v>
      </c>
      <c r="E1070" s="620">
        <v>18002582905</v>
      </c>
      <c r="F1070" s="620">
        <v>10642</v>
      </c>
      <c r="G1070" s="620">
        <v>10110</v>
      </c>
      <c r="H1070" s="620">
        <v>10110</v>
      </c>
      <c r="I1070" s="620">
        <v>-532</v>
      </c>
      <c r="J1070" s="620">
        <v>-5</v>
      </c>
      <c r="K1070" s="620">
        <v>10125</v>
      </c>
      <c r="L1070" s="620">
        <v>-517</v>
      </c>
      <c r="M1070" s="620">
        <v>-4.8600000000000003</v>
      </c>
      <c r="N1070" s="620">
        <v>10110</v>
      </c>
      <c r="O1070" s="620">
        <v>10488</v>
      </c>
      <c r="P1070" s="620" t="s">
        <v>3696</v>
      </c>
      <c r="Q1070" s="620" t="s">
        <v>3697</v>
      </c>
      <c r="R1070" s="620">
        <v>0</v>
      </c>
      <c r="S1070" s="620">
        <v>0</v>
      </c>
      <c r="T1070" s="620">
        <v>0</v>
      </c>
      <c r="U1070" s="620">
        <v>10110</v>
      </c>
      <c r="V1070" s="620">
        <v>362637</v>
      </c>
      <c r="W1070" s="620">
        <v>29</v>
      </c>
    </row>
    <row r="1071" spans="1:23" x14ac:dyDescent="0.25">
      <c r="A1071" s="620" t="s">
        <v>3698</v>
      </c>
      <c r="B1071" s="620" t="s">
        <v>3699</v>
      </c>
      <c r="C1071" s="620">
        <v>0</v>
      </c>
      <c r="D1071" s="620">
        <v>0</v>
      </c>
      <c r="E1071" s="620">
        <v>0</v>
      </c>
      <c r="F1071" s="620">
        <v>971323</v>
      </c>
      <c r="G1071" s="620">
        <v>0</v>
      </c>
      <c r="H1071" s="620">
        <v>971300</v>
      </c>
      <c r="I1071" s="620">
        <v>-23</v>
      </c>
      <c r="J1071" s="620">
        <v>0</v>
      </c>
      <c r="K1071" s="620">
        <v>971323</v>
      </c>
      <c r="L1071" s="620">
        <v>0</v>
      </c>
      <c r="M1071" s="620">
        <v>0</v>
      </c>
      <c r="N1071" s="620">
        <v>0</v>
      </c>
      <c r="O1071" s="620">
        <v>0</v>
      </c>
      <c r="R1071" s="620">
        <v>1</v>
      </c>
      <c r="S1071" s="620">
        <v>2998</v>
      </c>
      <c r="T1071" s="620">
        <v>932002</v>
      </c>
      <c r="U1071" s="620">
        <v>0</v>
      </c>
      <c r="V1071" s="620">
        <v>0</v>
      </c>
      <c r="W1071" s="620">
        <v>0</v>
      </c>
    </row>
    <row r="1072" spans="1:23" x14ac:dyDescent="0.25">
      <c r="A1072" s="620" t="s">
        <v>3700</v>
      </c>
      <c r="B1072" s="620" t="s">
        <v>3701</v>
      </c>
      <c r="C1072" s="620">
        <v>9</v>
      </c>
      <c r="D1072" s="620">
        <v>19268</v>
      </c>
      <c r="E1072" s="620">
        <v>286939056</v>
      </c>
      <c r="F1072" s="620">
        <v>15352</v>
      </c>
      <c r="G1072" s="620">
        <v>14892</v>
      </c>
      <c r="H1072" s="620">
        <v>14892</v>
      </c>
      <c r="I1072" s="620">
        <v>-460</v>
      </c>
      <c r="J1072" s="620">
        <v>-3</v>
      </c>
      <c r="K1072" s="620">
        <v>14892</v>
      </c>
      <c r="L1072" s="620">
        <v>-460</v>
      </c>
      <c r="M1072" s="620">
        <v>-3</v>
      </c>
      <c r="N1072" s="620">
        <v>14892</v>
      </c>
      <c r="O1072" s="620">
        <v>14892</v>
      </c>
      <c r="R1072" s="620">
        <v>0</v>
      </c>
      <c r="S1072" s="620">
        <v>0</v>
      </c>
      <c r="T1072" s="620">
        <v>0</v>
      </c>
      <c r="U1072" s="620">
        <v>14892</v>
      </c>
      <c r="V1072" s="620">
        <v>431557</v>
      </c>
      <c r="W1072" s="620">
        <v>25</v>
      </c>
    </row>
    <row r="1073" spans="1:23" x14ac:dyDescent="0.25">
      <c r="A1073" s="620" t="s">
        <v>3702</v>
      </c>
      <c r="B1073" s="620" t="s">
        <v>3703</v>
      </c>
      <c r="C1073" s="620">
        <v>2</v>
      </c>
      <c r="D1073" s="620">
        <v>2660</v>
      </c>
      <c r="E1073" s="620">
        <v>91607220</v>
      </c>
      <c r="F1073" s="620">
        <v>35222</v>
      </c>
      <c r="G1073" s="620">
        <v>34558</v>
      </c>
      <c r="H1073" s="620">
        <v>34367</v>
      </c>
      <c r="I1073" s="620">
        <v>-855</v>
      </c>
      <c r="J1073" s="620">
        <v>-2.4300000000000002</v>
      </c>
      <c r="K1073" s="620">
        <v>34439</v>
      </c>
      <c r="L1073" s="620">
        <v>-783</v>
      </c>
      <c r="M1073" s="620">
        <v>-2.2200000000000002</v>
      </c>
      <c r="N1073" s="620">
        <v>34367</v>
      </c>
      <c r="O1073" s="620">
        <v>34558</v>
      </c>
      <c r="R1073" s="620">
        <v>1</v>
      </c>
      <c r="S1073" s="620">
        <v>60</v>
      </c>
      <c r="T1073" s="620">
        <v>34300</v>
      </c>
      <c r="U1073" s="620">
        <v>34583</v>
      </c>
      <c r="V1073" s="620">
        <v>50000</v>
      </c>
      <c r="W1073" s="620">
        <v>1</v>
      </c>
    </row>
    <row r="1074" spans="1:23" x14ac:dyDescent="0.25">
      <c r="A1074" s="620" t="s">
        <v>3704</v>
      </c>
      <c r="B1074" s="620" t="s">
        <v>3705</v>
      </c>
      <c r="C1074" s="620">
        <v>8</v>
      </c>
      <c r="D1074" s="620">
        <v>429</v>
      </c>
      <c r="E1074" s="620">
        <v>17241000</v>
      </c>
      <c r="F1074" s="620">
        <v>40</v>
      </c>
      <c r="G1074" s="620">
        <v>40</v>
      </c>
      <c r="H1074" s="620">
        <v>50</v>
      </c>
      <c r="I1074" s="620">
        <v>10</v>
      </c>
      <c r="J1074" s="620">
        <v>25</v>
      </c>
      <c r="K1074" s="620">
        <v>40</v>
      </c>
      <c r="L1074" s="620">
        <v>0</v>
      </c>
      <c r="M1074" s="620">
        <v>0</v>
      </c>
      <c r="N1074" s="620">
        <v>40</v>
      </c>
      <c r="O1074" s="620">
        <v>50</v>
      </c>
      <c r="R1074" s="620">
        <v>2</v>
      </c>
      <c r="S1074" s="620">
        <v>119</v>
      </c>
      <c r="T1074" s="620">
        <v>41</v>
      </c>
      <c r="U1074" s="620">
        <v>59</v>
      </c>
      <c r="V1074" s="620">
        <v>5000</v>
      </c>
      <c r="W1074" s="620">
        <v>50</v>
      </c>
    </row>
    <row r="1075" spans="1:23" x14ac:dyDescent="0.25">
      <c r="A1075" s="620" t="s">
        <v>3706</v>
      </c>
      <c r="B1075" s="620" t="s">
        <v>3707</v>
      </c>
      <c r="C1075" s="620">
        <v>526</v>
      </c>
      <c r="D1075" s="620">
        <v>4893133</v>
      </c>
      <c r="E1075" s="620">
        <v>10258061807</v>
      </c>
      <c r="F1075" s="620">
        <v>2204</v>
      </c>
      <c r="G1075" s="620">
        <v>2094</v>
      </c>
      <c r="H1075" s="620">
        <v>2094</v>
      </c>
      <c r="I1075" s="620">
        <v>-110</v>
      </c>
      <c r="J1075" s="620">
        <v>-4.99</v>
      </c>
      <c r="K1075" s="620">
        <v>2096</v>
      </c>
      <c r="L1075" s="620">
        <v>-108</v>
      </c>
      <c r="M1075" s="620">
        <v>-4.9000000000000004</v>
      </c>
      <c r="N1075" s="620">
        <v>2094</v>
      </c>
      <c r="O1075" s="620">
        <v>2169</v>
      </c>
      <c r="P1075" s="620" t="s">
        <v>3708</v>
      </c>
      <c r="Q1075" s="620" t="s">
        <v>3709</v>
      </c>
      <c r="R1075" s="620">
        <v>1</v>
      </c>
      <c r="S1075" s="620">
        <v>2000</v>
      </c>
      <c r="T1075" s="620">
        <v>1128</v>
      </c>
      <c r="U1075" s="620">
        <v>2094</v>
      </c>
      <c r="V1075" s="620">
        <v>1595051</v>
      </c>
      <c r="W1075" s="620">
        <v>39</v>
      </c>
    </row>
    <row r="1076" spans="1:23" x14ac:dyDescent="0.25">
      <c r="A1076" s="620" t="s">
        <v>3710</v>
      </c>
      <c r="B1076" s="620" t="s">
        <v>3711</v>
      </c>
      <c r="C1076" s="620">
        <v>49</v>
      </c>
      <c r="D1076" s="620">
        <v>46662</v>
      </c>
      <c r="E1076" s="620">
        <v>40767606974</v>
      </c>
      <c r="F1076" s="620">
        <v>872981</v>
      </c>
      <c r="G1076" s="620">
        <v>872800</v>
      </c>
      <c r="H1076" s="620">
        <v>876500</v>
      </c>
      <c r="I1076" s="620">
        <v>3519</v>
      </c>
      <c r="J1076" s="620">
        <v>0.4</v>
      </c>
      <c r="K1076" s="620">
        <v>873679</v>
      </c>
      <c r="L1076" s="620">
        <v>698</v>
      </c>
      <c r="M1076" s="620">
        <v>0.08</v>
      </c>
      <c r="N1076" s="620">
        <v>872800</v>
      </c>
      <c r="O1076" s="620">
        <v>876500</v>
      </c>
      <c r="R1076" s="620">
        <v>1</v>
      </c>
      <c r="S1076" s="620">
        <v>294</v>
      </c>
      <c r="T1076" s="620">
        <v>845584</v>
      </c>
      <c r="U1076" s="620">
        <v>885000</v>
      </c>
      <c r="V1076" s="620">
        <v>2</v>
      </c>
      <c r="W1076" s="620">
        <v>1</v>
      </c>
    </row>
    <row r="1077" spans="1:23" x14ac:dyDescent="0.25">
      <c r="A1077" s="620" t="s">
        <v>3712</v>
      </c>
      <c r="B1077" s="620" t="s">
        <v>3713</v>
      </c>
      <c r="C1077" s="620">
        <v>325</v>
      </c>
      <c r="D1077" s="620">
        <v>549840</v>
      </c>
      <c r="E1077" s="620">
        <v>6645162509</v>
      </c>
      <c r="F1077" s="620">
        <v>12694</v>
      </c>
      <c r="G1077" s="620">
        <v>12060</v>
      </c>
      <c r="H1077" s="620">
        <v>12060</v>
      </c>
      <c r="I1077" s="620">
        <v>-634</v>
      </c>
      <c r="J1077" s="620">
        <v>-4.99</v>
      </c>
      <c r="K1077" s="620">
        <v>12273</v>
      </c>
      <c r="L1077" s="620">
        <v>-421</v>
      </c>
      <c r="M1077" s="620">
        <v>-3.32</v>
      </c>
      <c r="N1077" s="620">
        <v>12060</v>
      </c>
      <c r="O1077" s="620">
        <v>12377</v>
      </c>
      <c r="P1077" s="620" t="s">
        <v>3714</v>
      </c>
      <c r="Q1077" s="620" t="s">
        <v>3715</v>
      </c>
      <c r="R1077" s="620">
        <v>1</v>
      </c>
      <c r="S1077" s="620">
        <v>150</v>
      </c>
      <c r="T1077" s="620">
        <v>10830</v>
      </c>
      <c r="U1077" s="620">
        <v>12060</v>
      </c>
      <c r="V1077" s="620">
        <v>306558</v>
      </c>
      <c r="W1077" s="620">
        <v>33</v>
      </c>
    </row>
    <row r="1078" spans="1:23" x14ac:dyDescent="0.25">
      <c r="A1078" s="620" t="s">
        <v>3716</v>
      </c>
      <c r="B1078" s="620" t="s">
        <v>3717</v>
      </c>
      <c r="C1078" s="620">
        <v>30</v>
      </c>
      <c r="D1078" s="620">
        <v>19080</v>
      </c>
      <c r="E1078" s="620">
        <v>13478528936</v>
      </c>
      <c r="F1078" s="620">
        <v>706084</v>
      </c>
      <c r="G1078" s="620">
        <v>703840</v>
      </c>
      <c r="H1078" s="620">
        <v>709970</v>
      </c>
      <c r="I1078" s="620">
        <v>3886</v>
      </c>
      <c r="J1078" s="620">
        <v>0.55000000000000004</v>
      </c>
      <c r="K1078" s="620">
        <v>706422</v>
      </c>
      <c r="L1078" s="620">
        <v>338</v>
      </c>
      <c r="M1078" s="620">
        <v>0.05</v>
      </c>
      <c r="N1078" s="620">
        <v>703741</v>
      </c>
      <c r="O1078" s="620">
        <v>709999</v>
      </c>
      <c r="R1078" s="620">
        <v>1</v>
      </c>
      <c r="S1078" s="620">
        <v>1000</v>
      </c>
      <c r="T1078" s="620">
        <v>705590</v>
      </c>
      <c r="U1078" s="620">
        <v>709970</v>
      </c>
      <c r="V1078" s="620">
        <v>1197</v>
      </c>
      <c r="W1078" s="620">
        <v>1</v>
      </c>
    </row>
    <row r="1079" spans="1:23" x14ac:dyDescent="0.25">
      <c r="A1079" s="620" t="s">
        <v>3718</v>
      </c>
      <c r="B1079" s="620" t="s">
        <v>3719</v>
      </c>
      <c r="C1079" s="620">
        <v>836</v>
      </c>
      <c r="D1079" s="620">
        <v>8170069</v>
      </c>
      <c r="E1079" s="620">
        <v>12064248399</v>
      </c>
      <c r="F1079" s="620">
        <v>1515</v>
      </c>
      <c r="G1079" s="620">
        <v>1470</v>
      </c>
      <c r="H1079" s="620">
        <v>1470</v>
      </c>
      <c r="I1079" s="620">
        <v>-45</v>
      </c>
      <c r="J1079" s="620">
        <v>-2.97</v>
      </c>
      <c r="K1079" s="620">
        <v>1477</v>
      </c>
      <c r="L1079" s="620">
        <v>-38</v>
      </c>
      <c r="M1079" s="620">
        <v>-2.5099999999999998</v>
      </c>
      <c r="N1079" s="620">
        <v>1470</v>
      </c>
      <c r="O1079" s="620">
        <v>1510</v>
      </c>
      <c r="R1079" s="620">
        <v>0</v>
      </c>
      <c r="S1079" s="620">
        <v>0</v>
      </c>
      <c r="T1079" s="620">
        <v>0</v>
      </c>
      <c r="U1079" s="620">
        <v>1470</v>
      </c>
      <c r="V1079" s="620">
        <v>650636</v>
      </c>
      <c r="W1079" s="620">
        <v>24</v>
      </c>
    </row>
    <row r="1080" spans="1:23" x14ac:dyDescent="0.25">
      <c r="A1080" s="620" t="s">
        <v>3720</v>
      </c>
      <c r="B1080" s="620" t="s">
        <v>3721</v>
      </c>
      <c r="C1080" s="620">
        <v>0</v>
      </c>
      <c r="D1080" s="620">
        <v>0</v>
      </c>
      <c r="E1080" s="620">
        <v>0</v>
      </c>
      <c r="F1080" s="620">
        <v>733</v>
      </c>
      <c r="G1080" s="620">
        <v>0</v>
      </c>
      <c r="H1080" s="620">
        <v>733</v>
      </c>
      <c r="I1080" s="620">
        <v>0</v>
      </c>
      <c r="J1080" s="620">
        <v>0</v>
      </c>
      <c r="K1080" s="620">
        <v>733</v>
      </c>
      <c r="L1080" s="620">
        <v>0</v>
      </c>
      <c r="M1080" s="620">
        <v>0</v>
      </c>
      <c r="N1080" s="620">
        <v>0</v>
      </c>
      <c r="O1080" s="620">
        <v>0</v>
      </c>
      <c r="R1080" s="620">
        <v>0</v>
      </c>
      <c r="S1080" s="620">
        <v>0</v>
      </c>
      <c r="T1080" s="620">
        <v>0</v>
      </c>
      <c r="U1080" s="620">
        <v>2100</v>
      </c>
      <c r="V1080" s="620">
        <v>38</v>
      </c>
      <c r="W1080" s="620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ارفع</vt:lpstr>
      <vt:lpstr>ذوب</vt:lpstr>
      <vt:lpstr>فخوز</vt:lpstr>
      <vt:lpstr>هرمز</vt:lpstr>
      <vt:lpstr>کاوه</vt:lpstr>
      <vt:lpstr>فولاژ</vt:lpstr>
      <vt:lpstr>فولاد</vt:lpstr>
      <vt:lpstr>پنل</vt:lpstr>
      <vt:lpstr>دیده بان بازار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mamali</dc:creator>
  <cp:lastModifiedBy>mamali</cp:lastModifiedBy>
  <dcterms:created xsi:type="dcterms:W3CDTF">2019-09-28T20:56:14Z</dcterms:created>
  <dcterms:modified xsi:type="dcterms:W3CDTF">2019-10-16T21:59:38Z</dcterms:modified>
</cp:coreProperties>
</file>