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li\Desktop\"/>
    </mc:Choice>
  </mc:AlternateContent>
  <bookViews>
    <workbookView xWindow="0" yWindow="0" windowWidth="15345" windowHeight="4560" activeTab="8"/>
  </bookViews>
  <sheets>
    <sheet name="قزوین" sheetId="2" r:id="rId1"/>
    <sheet name="قصفها" sheetId="1" r:id="rId2"/>
    <sheet name="قهکمت" sheetId="3" r:id="rId3"/>
    <sheet name="قپیرا" sheetId="4" r:id="rId4"/>
    <sheet name="قاروم" sheetId="5" r:id="rId5"/>
    <sheet name="قمرو" sheetId="6" r:id="rId6"/>
    <sheet name="قلرست" sheetId="7" r:id="rId7"/>
    <sheet name="پنل" sheetId="8" r:id="rId8"/>
    <sheet name="دیده بان بازار" sheetId="9" r:id="rId9"/>
  </sheets>
  <definedNames>
    <definedName name="MarketWatchPlus.aspx?d_0" localSheetId="8" hidden="1">'دیده بان بازار'!$A$4:$W$985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1" i="1" l="1"/>
  <c r="B130" i="1"/>
  <c r="B150" i="3"/>
  <c r="B149" i="3"/>
  <c r="B139" i="6"/>
  <c r="B138" i="6"/>
  <c r="B139" i="7"/>
  <c r="B125" i="2"/>
  <c r="B141" i="4"/>
  <c r="B140" i="4"/>
  <c r="B151" i="5"/>
  <c r="A151" i="2"/>
  <c r="A154" i="1"/>
  <c r="B143" i="2"/>
  <c r="B146" i="2" s="1"/>
  <c r="B145" i="2" l="1"/>
  <c r="B144" i="2"/>
  <c r="B128" i="2"/>
  <c r="B127" i="2"/>
  <c r="B142" i="7"/>
  <c r="B142" i="6"/>
  <c r="B154" i="5"/>
  <c r="B144" i="4"/>
  <c r="B153" i="3"/>
  <c r="B134" i="1"/>
  <c r="A10" i="8" l="1"/>
  <c r="A9" i="8"/>
  <c r="A8" i="8"/>
  <c r="A7" i="8"/>
  <c r="A6" i="8"/>
  <c r="A5" i="8"/>
  <c r="A4" i="8"/>
  <c r="B131" i="6" l="1"/>
  <c r="B130" i="6"/>
  <c r="C56" i="6"/>
  <c r="D56" i="6"/>
  <c r="E56" i="6"/>
  <c r="F56" i="6"/>
  <c r="G56" i="6"/>
  <c r="H56" i="6"/>
  <c r="I56" i="6"/>
  <c r="B56" i="6"/>
  <c r="C51" i="6"/>
  <c r="C47" i="6"/>
  <c r="D47" i="6"/>
  <c r="E47" i="6"/>
  <c r="F47" i="6"/>
  <c r="G47" i="6"/>
  <c r="H47" i="6"/>
  <c r="I47" i="6"/>
  <c r="B47" i="6"/>
  <c r="B131" i="7" l="1"/>
  <c r="B130" i="7"/>
  <c r="B143" i="5" l="1"/>
  <c r="B142" i="5"/>
  <c r="B133" i="4"/>
  <c r="B132" i="4"/>
  <c r="R5" i="4" s="1"/>
  <c r="R123" i="4"/>
  <c r="R20" i="4"/>
  <c r="R30" i="4" s="1"/>
  <c r="R16" i="4"/>
  <c r="R26" i="4" s="1"/>
  <c r="E132" i="4"/>
  <c r="K58" i="4"/>
  <c r="H77" i="4"/>
  <c r="AE10" i="4"/>
  <c r="AE9" i="4"/>
  <c r="AE8" i="4"/>
  <c r="B142" i="3"/>
  <c r="B141" i="3"/>
  <c r="I146" i="7"/>
  <c r="D10" i="8" s="1"/>
  <c r="J53" i="7"/>
  <c r="K53" i="7" s="1"/>
  <c r="R119" i="7"/>
  <c r="Q119" i="7"/>
  <c r="R118" i="7"/>
  <c r="Q118" i="7"/>
  <c r="R117" i="7"/>
  <c r="Q117" i="7"/>
  <c r="R114" i="7"/>
  <c r="Q114" i="7"/>
  <c r="R113" i="7"/>
  <c r="Q113" i="7"/>
  <c r="P32" i="7"/>
  <c r="P34" i="7" s="1"/>
  <c r="P6" i="7"/>
  <c r="P7" i="7" s="1"/>
  <c r="P15" i="7" s="1"/>
  <c r="C27" i="7"/>
  <c r="D27" i="7"/>
  <c r="E27" i="7"/>
  <c r="F27" i="7"/>
  <c r="G27" i="7"/>
  <c r="H27" i="7"/>
  <c r="I27" i="7"/>
  <c r="J27" i="7"/>
  <c r="K27" i="7"/>
  <c r="L27" i="7"/>
  <c r="M27" i="7"/>
  <c r="N27" i="7"/>
  <c r="B27" i="7"/>
  <c r="K52" i="7"/>
  <c r="J52" i="7"/>
  <c r="K44" i="7"/>
  <c r="J44" i="7"/>
  <c r="K43" i="7"/>
  <c r="J43" i="7"/>
  <c r="J63" i="7"/>
  <c r="I63" i="7"/>
  <c r="C140" i="7"/>
  <c r="J73" i="7"/>
  <c r="I73" i="7"/>
  <c r="E134" i="7"/>
  <c r="E142" i="7" s="1"/>
  <c r="B132" i="7"/>
  <c r="C132" i="7"/>
  <c r="E132" i="7"/>
  <c r="C63" i="7"/>
  <c r="D63" i="7"/>
  <c r="E63" i="7"/>
  <c r="F63" i="7"/>
  <c r="G63" i="7"/>
  <c r="B63" i="7"/>
  <c r="E62" i="7"/>
  <c r="F62" i="7"/>
  <c r="G62" i="7"/>
  <c r="D62" i="7"/>
  <c r="C62" i="7"/>
  <c r="B62" i="7"/>
  <c r="K95" i="7"/>
  <c r="K98" i="7"/>
  <c r="K99" i="7"/>
  <c r="K102" i="7"/>
  <c r="K103" i="7"/>
  <c r="I95" i="7"/>
  <c r="I96" i="7"/>
  <c r="K96" i="7" s="1"/>
  <c r="I97" i="7"/>
  <c r="K97" i="7" s="1"/>
  <c r="I98" i="7"/>
  <c r="I99" i="7"/>
  <c r="I100" i="7"/>
  <c r="K100" i="7" s="1"/>
  <c r="I101" i="7"/>
  <c r="K101" i="7" s="1"/>
  <c r="I102" i="7"/>
  <c r="I103" i="7"/>
  <c r="I94" i="7"/>
  <c r="K94" i="7" s="1"/>
  <c r="J104" i="7"/>
  <c r="H95" i="7"/>
  <c r="H96" i="7"/>
  <c r="H97" i="7"/>
  <c r="H98" i="7"/>
  <c r="H99" i="7"/>
  <c r="H100" i="7"/>
  <c r="H101" i="7"/>
  <c r="H102" i="7"/>
  <c r="H103" i="7"/>
  <c r="H94" i="7"/>
  <c r="H104" i="7" s="1"/>
  <c r="K81" i="7"/>
  <c r="K82" i="7"/>
  <c r="K85" i="7"/>
  <c r="K86" i="7"/>
  <c r="I79" i="7"/>
  <c r="I80" i="7"/>
  <c r="K80" i="7" s="1"/>
  <c r="I81" i="7"/>
  <c r="I82" i="7"/>
  <c r="I83" i="7"/>
  <c r="K83" i="7" s="1"/>
  <c r="I84" i="7"/>
  <c r="K84" i="7" s="1"/>
  <c r="I85" i="7"/>
  <c r="I86" i="7"/>
  <c r="I87" i="7"/>
  <c r="K87" i="7" s="1"/>
  <c r="I78" i="7"/>
  <c r="K78" i="7" s="1"/>
  <c r="J88" i="7"/>
  <c r="H79" i="7"/>
  <c r="H80" i="7"/>
  <c r="H81" i="7"/>
  <c r="H82" i="7"/>
  <c r="H83" i="7"/>
  <c r="H84" i="7"/>
  <c r="H85" i="7"/>
  <c r="H86" i="7"/>
  <c r="H87" i="7"/>
  <c r="H78" i="7"/>
  <c r="H88" i="7" s="1"/>
  <c r="S35" i="7"/>
  <c r="S34" i="7"/>
  <c r="S33" i="7"/>
  <c r="I130" i="7"/>
  <c r="H130" i="7"/>
  <c r="E130" i="7"/>
  <c r="O6" i="7" s="1"/>
  <c r="C130" i="7"/>
  <c r="AF8" i="7"/>
  <c r="AG8" i="7" s="1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 s="1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 s="1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 s="1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 s="1"/>
  <c r="T6" i="7"/>
  <c r="U6" i="7"/>
  <c r="V6" i="7"/>
  <c r="W6" i="7"/>
  <c r="X6" i="7"/>
  <c r="Y6" i="7"/>
  <c r="Z6" i="7"/>
  <c r="AA6" i="7"/>
  <c r="AB6" i="7"/>
  <c r="AC6" i="7"/>
  <c r="AD6" i="7"/>
  <c r="AE6" i="7"/>
  <c r="AF6" i="7" s="1"/>
  <c r="T7" i="7"/>
  <c r="U7" i="7"/>
  <c r="V7" i="7"/>
  <c r="W7" i="7"/>
  <c r="X7" i="7"/>
  <c r="Y7" i="7"/>
  <c r="Z7" i="7"/>
  <c r="AA7" i="7"/>
  <c r="AB7" i="7"/>
  <c r="AC7" i="7"/>
  <c r="AD7" i="7"/>
  <c r="AE7" i="7"/>
  <c r="AF7" i="7" s="1"/>
  <c r="AG7" i="7" s="1"/>
  <c r="T8" i="7"/>
  <c r="U8" i="7"/>
  <c r="V8" i="7"/>
  <c r="W8" i="7"/>
  <c r="X8" i="7"/>
  <c r="Y8" i="7"/>
  <c r="Z8" i="7"/>
  <c r="AA8" i="7"/>
  <c r="AB8" i="7"/>
  <c r="AC8" i="7"/>
  <c r="AD8" i="7"/>
  <c r="AE8" i="7"/>
  <c r="T9" i="7"/>
  <c r="U9" i="7"/>
  <c r="V9" i="7"/>
  <c r="W9" i="7"/>
  <c r="X9" i="7"/>
  <c r="Y9" i="7"/>
  <c r="Z9" i="7"/>
  <c r="AA9" i="7"/>
  <c r="AB9" i="7"/>
  <c r="AC9" i="7"/>
  <c r="AD9" i="7"/>
  <c r="AE9" i="7"/>
  <c r="AF9" i="7" s="1"/>
  <c r="AG9" i="7" s="1"/>
  <c r="S15" i="7"/>
  <c r="S16" i="7"/>
  <c r="S17" i="7"/>
  <c r="S14" i="7"/>
  <c r="S9" i="7"/>
  <c r="S8" i="7"/>
  <c r="S7" i="7"/>
  <c r="S6" i="7"/>
  <c r="B32" i="7"/>
  <c r="S32" i="7" s="1"/>
  <c r="C32" i="7"/>
  <c r="T32" i="7" s="1"/>
  <c r="D32" i="7"/>
  <c r="U32" i="7" s="1"/>
  <c r="E32" i="7"/>
  <c r="V32" i="7" s="1"/>
  <c r="F32" i="7"/>
  <c r="W32" i="7" s="1"/>
  <c r="G32" i="7"/>
  <c r="X32" i="7" s="1"/>
  <c r="H32" i="7"/>
  <c r="Y32" i="7" s="1"/>
  <c r="I32" i="7"/>
  <c r="Z32" i="7" s="1"/>
  <c r="B33" i="7"/>
  <c r="C33" i="7"/>
  <c r="T33" i="7" s="1"/>
  <c r="D33" i="7"/>
  <c r="U33" i="7" s="1"/>
  <c r="E33" i="7"/>
  <c r="V33" i="7" s="1"/>
  <c r="F33" i="7"/>
  <c r="W33" i="7" s="1"/>
  <c r="G33" i="7"/>
  <c r="X33" i="7" s="1"/>
  <c r="H33" i="7"/>
  <c r="Y33" i="7" s="1"/>
  <c r="I33" i="7"/>
  <c r="Z33" i="7" s="1"/>
  <c r="B34" i="7"/>
  <c r="C34" i="7"/>
  <c r="T34" i="7" s="1"/>
  <c r="D34" i="7"/>
  <c r="U34" i="7" s="1"/>
  <c r="E34" i="7"/>
  <c r="V34" i="7" s="1"/>
  <c r="F34" i="7"/>
  <c r="W34" i="7" s="1"/>
  <c r="G34" i="7"/>
  <c r="X34" i="7" s="1"/>
  <c r="H34" i="7"/>
  <c r="Y34" i="7" s="1"/>
  <c r="I34" i="7"/>
  <c r="Z34" i="7" s="1"/>
  <c r="B35" i="7"/>
  <c r="C35" i="7"/>
  <c r="T35" i="7" s="1"/>
  <c r="D35" i="7"/>
  <c r="U35" i="7" s="1"/>
  <c r="E35" i="7"/>
  <c r="V35" i="7" s="1"/>
  <c r="F35" i="7"/>
  <c r="W35" i="7" s="1"/>
  <c r="G35" i="7"/>
  <c r="X35" i="7" s="1"/>
  <c r="H35" i="7"/>
  <c r="Y35" i="7" s="1"/>
  <c r="I35" i="7"/>
  <c r="Z35" i="7" s="1"/>
  <c r="D158" i="7"/>
  <c r="A158" i="7"/>
  <c r="E151" i="7"/>
  <c r="E150" i="7"/>
  <c r="E147" i="7"/>
  <c r="C138" i="7"/>
  <c r="B134" i="7"/>
  <c r="E140" i="7"/>
  <c r="B140" i="7" s="1"/>
  <c r="I138" i="7"/>
  <c r="H138" i="7"/>
  <c r="G1" i="7"/>
  <c r="J53" i="6"/>
  <c r="K53" i="6"/>
  <c r="E147" i="6"/>
  <c r="I66" i="3"/>
  <c r="F52" i="2"/>
  <c r="J52" i="1"/>
  <c r="Q121" i="6"/>
  <c r="R119" i="6"/>
  <c r="Q119" i="6"/>
  <c r="R118" i="6"/>
  <c r="Q118" i="6"/>
  <c r="R117" i="6"/>
  <c r="Q117" i="6"/>
  <c r="R115" i="6"/>
  <c r="Q115" i="6"/>
  <c r="R114" i="6"/>
  <c r="Q114" i="6"/>
  <c r="R113" i="6"/>
  <c r="K103" i="6"/>
  <c r="K94" i="6"/>
  <c r="K95" i="6"/>
  <c r="K96" i="6"/>
  <c r="K97" i="6"/>
  <c r="K98" i="6"/>
  <c r="K99" i="6"/>
  <c r="K100" i="6"/>
  <c r="K101" i="6"/>
  <c r="K102" i="6"/>
  <c r="K93" i="6"/>
  <c r="Q113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K52" i="6"/>
  <c r="K44" i="6"/>
  <c r="K89" i="6"/>
  <c r="K80" i="6"/>
  <c r="K81" i="6"/>
  <c r="K82" i="6"/>
  <c r="K83" i="6"/>
  <c r="K84" i="6"/>
  <c r="K85" i="6"/>
  <c r="K86" i="6"/>
  <c r="K87" i="6"/>
  <c r="K88" i="6"/>
  <c r="K79" i="6"/>
  <c r="J44" i="6"/>
  <c r="K43" i="6"/>
  <c r="J74" i="6"/>
  <c r="I74" i="6"/>
  <c r="E142" i="6"/>
  <c r="E134" i="6"/>
  <c r="E140" i="6"/>
  <c r="B140" i="6" s="1"/>
  <c r="E132" i="6"/>
  <c r="I64" i="6"/>
  <c r="C64" i="6"/>
  <c r="D64" i="6"/>
  <c r="E64" i="6"/>
  <c r="F64" i="6"/>
  <c r="G64" i="6"/>
  <c r="B64" i="6"/>
  <c r="G63" i="6"/>
  <c r="F63" i="6"/>
  <c r="E63" i="6"/>
  <c r="D63" i="6"/>
  <c r="C63" i="6"/>
  <c r="B63" i="6"/>
  <c r="J52" i="6"/>
  <c r="J43" i="6"/>
  <c r="P6" i="6"/>
  <c r="P7" i="6" s="1"/>
  <c r="O6" i="6"/>
  <c r="O8" i="6" s="1"/>
  <c r="I130" i="6"/>
  <c r="H130" i="6"/>
  <c r="H138" i="6" s="1"/>
  <c r="E130" i="6"/>
  <c r="C130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 s="1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 s="1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 s="1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 s="1"/>
  <c r="T16" i="6"/>
  <c r="T17" i="6"/>
  <c r="T18" i="6"/>
  <c r="T15" i="6"/>
  <c r="AG7" i="6"/>
  <c r="AG9" i="6"/>
  <c r="U6" i="6"/>
  <c r="V6" i="6"/>
  <c r="W6" i="6"/>
  <c r="X6" i="6"/>
  <c r="Y6" i="6"/>
  <c r="Z6" i="6"/>
  <c r="AA6" i="6"/>
  <c r="AB6" i="6"/>
  <c r="AC6" i="6"/>
  <c r="AD6" i="6"/>
  <c r="AE6" i="6"/>
  <c r="AF6" i="6"/>
  <c r="AG6" i="6" s="1"/>
  <c r="U7" i="6"/>
  <c r="V7" i="6"/>
  <c r="W7" i="6"/>
  <c r="X7" i="6"/>
  <c r="Y7" i="6"/>
  <c r="Z7" i="6"/>
  <c r="AA7" i="6"/>
  <c r="AB7" i="6"/>
  <c r="AC7" i="6"/>
  <c r="AD7" i="6"/>
  <c r="AE7" i="6"/>
  <c r="AF7" i="6"/>
  <c r="U8" i="6"/>
  <c r="V8" i="6"/>
  <c r="W8" i="6"/>
  <c r="X8" i="6"/>
  <c r="Y8" i="6"/>
  <c r="Z8" i="6"/>
  <c r="AA8" i="6"/>
  <c r="AB8" i="6"/>
  <c r="AC8" i="6"/>
  <c r="AD8" i="6"/>
  <c r="AE8" i="6"/>
  <c r="AF8" i="6"/>
  <c r="AG8" i="6" s="1"/>
  <c r="U9" i="6"/>
  <c r="V9" i="6"/>
  <c r="W9" i="6"/>
  <c r="AH9" i="6" s="1"/>
  <c r="X9" i="6"/>
  <c r="Y9" i="6"/>
  <c r="Z9" i="6"/>
  <c r="AA9" i="6"/>
  <c r="AB9" i="6"/>
  <c r="AC9" i="6"/>
  <c r="AD9" i="6"/>
  <c r="AE9" i="6"/>
  <c r="AF9" i="6"/>
  <c r="T9" i="6"/>
  <c r="T8" i="6"/>
  <c r="AH8" i="6" s="1"/>
  <c r="T7" i="6"/>
  <c r="AH7" i="6" s="1"/>
  <c r="T6" i="6"/>
  <c r="I146" i="6"/>
  <c r="D9" i="8" s="1"/>
  <c r="I94" i="6"/>
  <c r="I95" i="6"/>
  <c r="I96" i="6"/>
  <c r="I97" i="6"/>
  <c r="I98" i="6"/>
  <c r="I99" i="6"/>
  <c r="I100" i="6"/>
  <c r="I101" i="6"/>
  <c r="I102" i="6"/>
  <c r="I93" i="6"/>
  <c r="J103" i="6"/>
  <c r="H94" i="6"/>
  <c r="H95" i="6"/>
  <c r="H96" i="6"/>
  <c r="H97" i="6"/>
  <c r="H103" i="6" s="1"/>
  <c r="H98" i="6"/>
  <c r="H99" i="6"/>
  <c r="H100" i="6"/>
  <c r="H101" i="6"/>
  <c r="H102" i="6"/>
  <c r="H93" i="6"/>
  <c r="F1" i="6"/>
  <c r="D158" i="6"/>
  <c r="A158" i="6"/>
  <c r="E151" i="6"/>
  <c r="E150" i="6"/>
  <c r="B134" i="6"/>
  <c r="B132" i="6"/>
  <c r="I138" i="6"/>
  <c r="C138" i="6"/>
  <c r="I80" i="6"/>
  <c r="I81" i="6"/>
  <c r="I82" i="6"/>
  <c r="I83" i="6"/>
  <c r="I84" i="6"/>
  <c r="I85" i="6"/>
  <c r="I86" i="6"/>
  <c r="I87" i="6"/>
  <c r="I88" i="6"/>
  <c r="I79" i="6"/>
  <c r="H80" i="6"/>
  <c r="H81" i="6"/>
  <c r="H82" i="6"/>
  <c r="H83" i="6"/>
  <c r="H84" i="6"/>
  <c r="H85" i="6"/>
  <c r="H86" i="6"/>
  <c r="H87" i="6"/>
  <c r="H88" i="6"/>
  <c r="H79" i="6"/>
  <c r="I159" i="5"/>
  <c r="E163" i="5"/>
  <c r="E162" i="5"/>
  <c r="D8" i="8"/>
  <c r="N136" i="5"/>
  <c r="P129" i="5"/>
  <c r="O129" i="5"/>
  <c r="P128" i="5"/>
  <c r="O128" i="5"/>
  <c r="O125" i="5"/>
  <c r="P125" i="5" s="1"/>
  <c r="O124" i="5"/>
  <c r="H105" i="5"/>
  <c r="I105" i="5" s="1"/>
  <c r="H106" i="5"/>
  <c r="I106" i="5" s="1"/>
  <c r="H109" i="5"/>
  <c r="H110" i="5"/>
  <c r="I110" i="5" s="1"/>
  <c r="H113" i="5"/>
  <c r="I113" i="5" s="1"/>
  <c r="H114" i="5"/>
  <c r="I114" i="5" s="1"/>
  <c r="G50" i="5"/>
  <c r="G53" i="5" s="1"/>
  <c r="G55" i="5" s="1"/>
  <c r="G59" i="5" s="1"/>
  <c r="G51" i="5"/>
  <c r="I51" i="5" s="1"/>
  <c r="J51" i="5" s="1"/>
  <c r="G52" i="5"/>
  <c r="G54" i="5"/>
  <c r="G56" i="5"/>
  <c r="I56" i="5" s="1"/>
  <c r="J56" i="5" s="1"/>
  <c r="G57" i="5"/>
  <c r="G58" i="5"/>
  <c r="G64" i="5"/>
  <c r="H90" i="5"/>
  <c r="I90" i="5" s="1"/>
  <c r="H94" i="5"/>
  <c r="H87" i="5"/>
  <c r="N123" i="5"/>
  <c r="N127" i="5" s="1"/>
  <c r="N131" i="5" s="1"/>
  <c r="N135" i="5" s="1"/>
  <c r="I109" i="5"/>
  <c r="J58" i="5"/>
  <c r="J54" i="5"/>
  <c r="I94" i="5"/>
  <c r="I87" i="5"/>
  <c r="F71" i="5"/>
  <c r="H71" i="5" s="1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AJ18" i="5"/>
  <c r="AI18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 s="1"/>
  <c r="AJ17" i="5" s="1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 s="1"/>
  <c r="AJ19" i="5" s="1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 s="1"/>
  <c r="AJ20" i="5" s="1"/>
  <c r="U20" i="5"/>
  <c r="U19" i="5"/>
  <c r="U18" i="5"/>
  <c r="U17" i="5"/>
  <c r="Q10" i="5"/>
  <c r="AI8" i="5"/>
  <c r="D72" i="5"/>
  <c r="B72" i="5"/>
  <c r="C71" i="5"/>
  <c r="C72" i="5" s="1"/>
  <c r="D71" i="5"/>
  <c r="B71" i="5"/>
  <c r="F104" i="5"/>
  <c r="H104" i="5" s="1"/>
  <c r="I104" i="5" s="1"/>
  <c r="F105" i="5"/>
  <c r="F106" i="5"/>
  <c r="F107" i="5"/>
  <c r="H107" i="5" s="1"/>
  <c r="I107" i="5" s="1"/>
  <c r="F108" i="5"/>
  <c r="H108" i="5" s="1"/>
  <c r="I108" i="5" s="1"/>
  <c r="F109" i="5"/>
  <c r="F110" i="5"/>
  <c r="F111" i="5"/>
  <c r="H111" i="5" s="1"/>
  <c r="I111" i="5" s="1"/>
  <c r="F112" i="5"/>
  <c r="H112" i="5" s="1"/>
  <c r="I112" i="5" s="1"/>
  <c r="F113" i="5"/>
  <c r="F114" i="5"/>
  <c r="F103" i="5"/>
  <c r="H103" i="5" s="1"/>
  <c r="I103" i="5" s="1"/>
  <c r="F88" i="5"/>
  <c r="H88" i="5" s="1"/>
  <c r="I88" i="5" s="1"/>
  <c r="F89" i="5"/>
  <c r="H89" i="5" s="1"/>
  <c r="I89" i="5" s="1"/>
  <c r="F90" i="5"/>
  <c r="F92" i="5"/>
  <c r="H92" i="5" s="1"/>
  <c r="I92" i="5" s="1"/>
  <c r="F93" i="5"/>
  <c r="H93" i="5" s="1"/>
  <c r="I93" i="5" s="1"/>
  <c r="F94" i="5"/>
  <c r="F87" i="5"/>
  <c r="I64" i="5"/>
  <c r="J64" i="5" s="1"/>
  <c r="P21" i="5"/>
  <c r="Q21" i="5" s="1"/>
  <c r="P22" i="5"/>
  <c r="Q22" i="5" s="1"/>
  <c r="P10" i="5"/>
  <c r="P11" i="5"/>
  <c r="Q11" i="5" s="1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 s="1"/>
  <c r="AJ9" i="5" s="1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 s="1"/>
  <c r="U10" i="5"/>
  <c r="U9" i="5"/>
  <c r="U8" i="5"/>
  <c r="AJ8" i="5" s="1"/>
  <c r="U7" i="5"/>
  <c r="I142" i="5"/>
  <c r="I150" i="5" s="1"/>
  <c r="H142" i="5"/>
  <c r="H150" i="5" s="1"/>
  <c r="E142" i="5"/>
  <c r="C142" i="5"/>
  <c r="C150" i="5" s="1"/>
  <c r="Q9" i="5" s="1"/>
  <c r="F77" i="5"/>
  <c r="I50" i="5" s="1"/>
  <c r="I57" i="5"/>
  <c r="J57" i="5" s="1"/>
  <c r="I54" i="5"/>
  <c r="I148" i="6" l="1"/>
  <c r="I160" i="5"/>
  <c r="I161" i="5"/>
  <c r="I147" i="6"/>
  <c r="I149" i="6"/>
  <c r="P9" i="7"/>
  <c r="P17" i="7" s="1"/>
  <c r="P33" i="7"/>
  <c r="P24" i="7" s="1"/>
  <c r="P9" i="6"/>
  <c r="P8" i="6"/>
  <c r="P8" i="7"/>
  <c r="P16" i="7" s="1"/>
  <c r="P25" i="7" s="1"/>
  <c r="O7" i="6"/>
  <c r="P9" i="5"/>
  <c r="P7" i="5" s="1"/>
  <c r="P18" i="5" s="1"/>
  <c r="R9" i="4"/>
  <c r="R19" i="4" s="1"/>
  <c r="R15" i="4"/>
  <c r="R7" i="4"/>
  <c r="R17" i="4" s="1"/>
  <c r="R8" i="4"/>
  <c r="R18" i="4" s="1"/>
  <c r="R28" i="4" s="1"/>
  <c r="P35" i="7"/>
  <c r="P14" i="7"/>
  <c r="P23" i="7" s="1"/>
  <c r="AG17" i="7"/>
  <c r="AG15" i="7"/>
  <c r="K104" i="7"/>
  <c r="O8" i="7"/>
  <c r="O16" i="7" s="1"/>
  <c r="O9" i="7"/>
  <c r="O17" i="7" s="1"/>
  <c r="O7" i="7"/>
  <c r="O15" i="7" s="1"/>
  <c r="I104" i="7"/>
  <c r="I88" i="7"/>
  <c r="K79" i="7"/>
  <c r="K88" i="7" s="1"/>
  <c r="O14" i="7"/>
  <c r="AG14" i="7"/>
  <c r="AG16" i="7"/>
  <c r="B133" i="7"/>
  <c r="I61" i="7" s="1"/>
  <c r="I68" i="7" s="1"/>
  <c r="J42" i="7" s="1"/>
  <c r="B141" i="7"/>
  <c r="J61" i="7" s="1"/>
  <c r="J68" i="7" s="1"/>
  <c r="K42" i="7" s="1"/>
  <c r="K45" i="7" s="1"/>
  <c r="K47" i="7" s="1"/>
  <c r="K51" i="7" s="1"/>
  <c r="K54" i="7" s="1"/>
  <c r="K56" i="7" s="1"/>
  <c r="R111" i="7" s="1"/>
  <c r="O17" i="6"/>
  <c r="O9" i="6"/>
  <c r="O18" i="6" s="1"/>
  <c r="I89" i="6"/>
  <c r="H89" i="6"/>
  <c r="O16" i="6"/>
  <c r="I103" i="6"/>
  <c r="AH15" i="6"/>
  <c r="P15" i="6" s="1"/>
  <c r="O15" i="6"/>
  <c r="AH16" i="6"/>
  <c r="P16" i="6" s="1"/>
  <c r="AH17" i="6"/>
  <c r="AH18" i="6"/>
  <c r="B141" i="6"/>
  <c r="J62" i="6" s="1"/>
  <c r="J69" i="6" s="1"/>
  <c r="K42" i="6" s="1"/>
  <c r="K45" i="6" s="1"/>
  <c r="B133" i="6"/>
  <c r="I62" i="6" s="1"/>
  <c r="I69" i="6" s="1"/>
  <c r="J42" i="6" s="1"/>
  <c r="J45" i="6" s="1"/>
  <c r="J47" i="6" s="1"/>
  <c r="Q20" i="5"/>
  <c r="P8" i="5"/>
  <c r="P19" i="5" s="1"/>
  <c r="Q8" i="5"/>
  <c r="Q19" i="5" s="1"/>
  <c r="Q7" i="5"/>
  <c r="Q18" i="5" s="1"/>
  <c r="AJ10" i="5"/>
  <c r="Q6" i="5" s="1"/>
  <c r="Q17" i="5" s="1"/>
  <c r="F72" i="5"/>
  <c r="H72" i="5" s="1"/>
  <c r="E152" i="5" s="1"/>
  <c r="F82" i="5"/>
  <c r="E146" i="5" s="1"/>
  <c r="B146" i="5" s="1"/>
  <c r="H82" i="5" s="1"/>
  <c r="E154" i="5" s="1"/>
  <c r="I82" i="5" s="1"/>
  <c r="D170" i="5"/>
  <c r="A170" i="5"/>
  <c r="G1" i="5"/>
  <c r="S36" i="4"/>
  <c r="S10" i="4"/>
  <c r="S20" i="4"/>
  <c r="D160" i="4"/>
  <c r="I148" i="4"/>
  <c r="S6" i="4"/>
  <c r="S16" i="4" s="1"/>
  <c r="R36" i="4"/>
  <c r="Q41" i="4"/>
  <c r="P127" i="4"/>
  <c r="S121" i="4"/>
  <c r="R121" i="4"/>
  <c r="S120" i="4"/>
  <c r="R120" i="4"/>
  <c r="Q119" i="4"/>
  <c r="R119" i="4" s="1"/>
  <c r="S119" i="4" s="1"/>
  <c r="X15" i="4"/>
  <c r="Y15" i="4"/>
  <c r="Z15" i="4"/>
  <c r="AA15" i="4"/>
  <c r="AB15" i="4"/>
  <c r="AC15" i="4"/>
  <c r="AE15" i="4" s="1"/>
  <c r="X16" i="4"/>
  <c r="Y16" i="4"/>
  <c r="Z16" i="4"/>
  <c r="AA16" i="4"/>
  <c r="AB16" i="4"/>
  <c r="AC16" i="4"/>
  <c r="AE16" i="4" s="1"/>
  <c r="X17" i="4"/>
  <c r="Y17" i="4"/>
  <c r="Z17" i="4"/>
  <c r="AA17" i="4"/>
  <c r="AB17" i="4"/>
  <c r="AC17" i="4"/>
  <c r="AE17" i="4" s="1"/>
  <c r="X18" i="4"/>
  <c r="Y18" i="4"/>
  <c r="Z18" i="4"/>
  <c r="AA18" i="4"/>
  <c r="AB18" i="4"/>
  <c r="AC18" i="4"/>
  <c r="AE18" i="4" s="1"/>
  <c r="W18" i="4"/>
  <c r="W17" i="4"/>
  <c r="W16" i="4"/>
  <c r="W15" i="4"/>
  <c r="L58" i="4"/>
  <c r="J58" i="4"/>
  <c r="K57" i="4"/>
  <c r="L57" i="4" s="1"/>
  <c r="J57" i="4"/>
  <c r="J48" i="4"/>
  <c r="K48" i="4" s="1"/>
  <c r="L48" i="4" s="1"/>
  <c r="F97" i="4"/>
  <c r="F98" i="4"/>
  <c r="G98" i="4" s="1"/>
  <c r="H98" i="4" s="1"/>
  <c r="F99" i="4"/>
  <c r="G99" i="4" s="1"/>
  <c r="H99" i="4" s="1"/>
  <c r="F100" i="4"/>
  <c r="G100" i="4" s="1"/>
  <c r="H100" i="4" s="1"/>
  <c r="F101" i="4"/>
  <c r="G101" i="4" s="1"/>
  <c r="H101" i="4" s="1"/>
  <c r="F102" i="4"/>
  <c r="G102" i="4" s="1"/>
  <c r="H102" i="4" s="1"/>
  <c r="F103" i="4"/>
  <c r="G103" i="4" s="1"/>
  <c r="H103" i="4" s="1"/>
  <c r="F104" i="4"/>
  <c r="G104" i="4" s="1"/>
  <c r="H104" i="4" s="1"/>
  <c r="F105" i="4"/>
  <c r="G105" i="4" s="1"/>
  <c r="H105" i="4" s="1"/>
  <c r="F96" i="4"/>
  <c r="G96" i="4" s="1"/>
  <c r="H96" i="4" s="1"/>
  <c r="F83" i="4"/>
  <c r="G83" i="4" s="1"/>
  <c r="H83" i="4" s="1"/>
  <c r="F84" i="4"/>
  <c r="G84" i="4" s="1"/>
  <c r="H84" i="4" s="1"/>
  <c r="F85" i="4"/>
  <c r="G85" i="4" s="1"/>
  <c r="H85" i="4" s="1"/>
  <c r="F86" i="4"/>
  <c r="G86" i="4" s="1"/>
  <c r="H86" i="4" s="1"/>
  <c r="F87" i="4"/>
  <c r="G87" i="4" s="1"/>
  <c r="H87" i="4" s="1"/>
  <c r="F88" i="4"/>
  <c r="G88" i="4" s="1"/>
  <c r="H88" i="4" s="1"/>
  <c r="F89" i="4"/>
  <c r="G89" i="4" s="1"/>
  <c r="H89" i="4" s="1"/>
  <c r="F90" i="4"/>
  <c r="G90" i="4" s="1"/>
  <c r="H90" i="4" s="1"/>
  <c r="F91" i="4"/>
  <c r="G91" i="4" s="1"/>
  <c r="H91" i="4" s="1"/>
  <c r="F82" i="4"/>
  <c r="G82" i="4" s="1"/>
  <c r="H82" i="4" s="1"/>
  <c r="D141" i="4"/>
  <c r="X7" i="4"/>
  <c r="Y7" i="4"/>
  <c r="Z7" i="4"/>
  <c r="AA7" i="4"/>
  <c r="AB7" i="4"/>
  <c r="AE7" i="4" s="1"/>
  <c r="AC7" i="4"/>
  <c r="X8" i="4"/>
  <c r="Y8" i="4"/>
  <c r="Z8" i="4"/>
  <c r="AA8" i="4"/>
  <c r="AB8" i="4"/>
  <c r="AC8" i="4"/>
  <c r="X9" i="4"/>
  <c r="Y9" i="4"/>
  <c r="Z9" i="4"/>
  <c r="AA9" i="4"/>
  <c r="AB9" i="4"/>
  <c r="AC9" i="4"/>
  <c r="X10" i="4"/>
  <c r="Y10" i="4"/>
  <c r="Z10" i="4"/>
  <c r="AA10" i="4"/>
  <c r="AB10" i="4"/>
  <c r="AC10" i="4"/>
  <c r="W10" i="4"/>
  <c r="W9" i="4"/>
  <c r="W8" i="4"/>
  <c r="W7" i="4"/>
  <c r="S5" i="4"/>
  <c r="I140" i="4"/>
  <c r="H140" i="4"/>
  <c r="C140" i="4"/>
  <c r="I132" i="4"/>
  <c r="H132" i="4"/>
  <c r="C132" i="4"/>
  <c r="A160" i="4"/>
  <c r="H72" i="4"/>
  <c r="K47" i="4" s="1"/>
  <c r="B66" i="4"/>
  <c r="D67" i="4"/>
  <c r="D68" i="4" s="1"/>
  <c r="E67" i="4"/>
  <c r="E68" i="4" s="1"/>
  <c r="F67" i="4"/>
  <c r="F68" i="4" s="1"/>
  <c r="C67" i="4"/>
  <c r="C68" i="4" s="1"/>
  <c r="B67" i="4"/>
  <c r="Q30" i="4"/>
  <c r="Q26" i="4"/>
  <c r="K31" i="4"/>
  <c r="L31" i="4"/>
  <c r="M31" i="4"/>
  <c r="N31" i="4"/>
  <c r="O31" i="4"/>
  <c r="P31" i="4"/>
  <c r="J31" i="4"/>
  <c r="Q37" i="4"/>
  <c r="Q20" i="4"/>
  <c r="Q16" i="4"/>
  <c r="Q10" i="4"/>
  <c r="Q6" i="4"/>
  <c r="F1" i="4"/>
  <c r="P43" i="3"/>
  <c r="P44" i="3"/>
  <c r="P45" i="3"/>
  <c r="P46" i="3"/>
  <c r="P49" i="3"/>
  <c r="Q23" i="3"/>
  <c r="Q24" i="3"/>
  <c r="R11" i="3"/>
  <c r="R21" i="3" s="1"/>
  <c r="R10" i="3"/>
  <c r="R20" i="3" s="1"/>
  <c r="I56" i="3"/>
  <c r="P18" i="6" l="1"/>
  <c r="I149" i="4"/>
  <c r="D7" i="8"/>
  <c r="P26" i="7"/>
  <c r="P27" i="7" s="1"/>
  <c r="R110" i="7" s="1"/>
  <c r="R112" i="7" s="1"/>
  <c r="R116" i="7" s="1"/>
  <c r="R120" i="7" s="1"/>
  <c r="K47" i="6"/>
  <c r="K51" i="6" s="1"/>
  <c r="K54" i="6" s="1"/>
  <c r="P17" i="6"/>
  <c r="P20" i="5"/>
  <c r="P6" i="5"/>
  <c r="P17" i="5" s="1"/>
  <c r="AE41" i="4"/>
  <c r="AF41" i="4" s="1"/>
  <c r="S41" i="4" s="1"/>
  <c r="S30" i="4" s="1"/>
  <c r="R25" i="4"/>
  <c r="B152" i="5"/>
  <c r="B153" i="5" s="1"/>
  <c r="I70" i="5" s="1"/>
  <c r="I77" i="5" s="1"/>
  <c r="J50" i="5" s="1"/>
  <c r="E144" i="5"/>
  <c r="B144" i="5" s="1"/>
  <c r="B145" i="5" s="1"/>
  <c r="H70" i="5" s="1"/>
  <c r="H77" i="5" s="1"/>
  <c r="I151" i="4"/>
  <c r="I150" i="4"/>
  <c r="AF15" i="4"/>
  <c r="S15" i="4" s="1"/>
  <c r="S25" i="4" s="1"/>
  <c r="B68" i="4"/>
  <c r="C134" i="4" s="1"/>
  <c r="S20" i="3"/>
  <c r="Q20" i="3"/>
  <c r="Q21" i="3"/>
  <c r="S21" i="3"/>
  <c r="AF8" i="4"/>
  <c r="S7" i="4" s="1"/>
  <c r="AF17" i="4"/>
  <c r="B77" i="4"/>
  <c r="AF10" i="4"/>
  <c r="S9" i="4" s="1"/>
  <c r="I134" i="4"/>
  <c r="H92" i="4"/>
  <c r="L49" i="4" s="1"/>
  <c r="AF9" i="4"/>
  <c r="S8" i="4" s="1"/>
  <c r="AF18" i="4"/>
  <c r="AF16" i="4"/>
  <c r="Q31" i="4"/>
  <c r="Q112" i="4" s="1"/>
  <c r="F106" i="4"/>
  <c r="Q115" i="4" s="1"/>
  <c r="R115" i="4" s="1"/>
  <c r="G97" i="4"/>
  <c r="H97" i="4" s="1"/>
  <c r="H106" i="4" s="1"/>
  <c r="S115" i="4" s="1"/>
  <c r="F92" i="4"/>
  <c r="J49" i="4" s="1"/>
  <c r="J50" i="4" s="1"/>
  <c r="J52" i="4" s="1"/>
  <c r="J56" i="4" s="1"/>
  <c r="J59" i="4" s="1"/>
  <c r="J61" i="4" s="1"/>
  <c r="Q113" i="4" s="1"/>
  <c r="G92" i="4"/>
  <c r="K49" i="4" s="1"/>
  <c r="K50" i="4" s="1"/>
  <c r="K52" i="4" s="1"/>
  <c r="K56" i="4" s="1"/>
  <c r="K59" i="4" s="1"/>
  <c r="K61" i="4" s="1"/>
  <c r="R113" i="4" s="1"/>
  <c r="H134" i="4"/>
  <c r="H142" i="4" s="1"/>
  <c r="B142" i="4" s="1"/>
  <c r="E134" i="4"/>
  <c r="B134" i="4" s="1"/>
  <c r="B135" i="4" s="1"/>
  <c r="H66" i="4" s="1"/>
  <c r="K56" i="6" l="1"/>
  <c r="R111" i="6" s="1"/>
  <c r="R121" i="7"/>
  <c r="R122" i="7" s="1"/>
  <c r="R124" i="7" s="1"/>
  <c r="R125" i="7" s="1"/>
  <c r="B143" i="7" s="1"/>
  <c r="B10" i="8" s="1"/>
  <c r="S17" i="4"/>
  <c r="S19" i="4"/>
  <c r="S18" i="4"/>
  <c r="Q114" i="4"/>
  <c r="Q118" i="4" s="1"/>
  <c r="Q122" i="4" s="1"/>
  <c r="Q123" i="4" s="1"/>
  <c r="G106" i="4"/>
  <c r="I68" i="4"/>
  <c r="B143" i="4"/>
  <c r="I66" i="4" s="1"/>
  <c r="E159" i="7" l="1"/>
  <c r="E160" i="7" s="1"/>
  <c r="N146" i="7"/>
  <c r="E148" i="7"/>
  <c r="E161" i="7" s="1"/>
  <c r="Q124" i="4"/>
  <c r="Q126" i="4" s="1"/>
  <c r="Q127" i="4" s="1"/>
  <c r="E162" i="7" l="1"/>
  <c r="C10" i="8" s="1"/>
  <c r="D169" i="3"/>
  <c r="I156" i="3"/>
  <c r="D6" i="8" s="1"/>
  <c r="B136" i="3"/>
  <c r="C136" i="3"/>
  <c r="Q130" i="3"/>
  <c r="R130" i="3" s="1"/>
  <c r="S130" i="3" s="1"/>
  <c r="R128" i="3"/>
  <c r="Q128" i="3" s="1"/>
  <c r="R125" i="3"/>
  <c r="Q125" i="3" s="1"/>
  <c r="H66" i="3"/>
  <c r="H65" i="3"/>
  <c r="I65" i="3" s="1"/>
  <c r="J62" i="3"/>
  <c r="J61" i="3"/>
  <c r="H62" i="3"/>
  <c r="I62" i="3" s="1"/>
  <c r="H61" i="3"/>
  <c r="I61" i="3" s="1"/>
  <c r="B58" i="3"/>
  <c r="B60" i="3" s="1"/>
  <c r="B64" i="3" s="1"/>
  <c r="B67" i="3" s="1"/>
  <c r="B69" i="3" s="1"/>
  <c r="C58" i="3"/>
  <c r="C60" i="3" s="1"/>
  <c r="C64" i="3" s="1"/>
  <c r="C67" i="3" s="1"/>
  <c r="C69" i="3" s="1"/>
  <c r="D58" i="3"/>
  <c r="D60" i="3" s="1"/>
  <c r="D64" i="3" s="1"/>
  <c r="D67" i="3" s="1"/>
  <c r="D69" i="3" s="1"/>
  <c r="E58" i="3"/>
  <c r="E60" i="3" s="1"/>
  <c r="E64" i="3" s="1"/>
  <c r="E67" i="3" s="1"/>
  <c r="E69" i="3" s="1"/>
  <c r="F58" i="3"/>
  <c r="F60" i="3" s="1"/>
  <c r="F64" i="3" s="1"/>
  <c r="F67" i="3" s="1"/>
  <c r="F69" i="3" s="1"/>
  <c r="G58" i="3"/>
  <c r="G60" i="3" s="1"/>
  <c r="G64" i="3" s="1"/>
  <c r="G67" i="3" s="1"/>
  <c r="G69" i="3" s="1"/>
  <c r="K116" i="3"/>
  <c r="J116" i="3" s="1"/>
  <c r="Q124" i="3" s="1"/>
  <c r="R124" i="3" s="1"/>
  <c r="K101" i="3"/>
  <c r="L101" i="3" s="1"/>
  <c r="J57" i="3" s="1"/>
  <c r="J56" i="3"/>
  <c r="H56" i="3"/>
  <c r="C75" i="3"/>
  <c r="C76" i="3" s="1"/>
  <c r="D75" i="3"/>
  <c r="D76" i="3" s="1"/>
  <c r="E75" i="3"/>
  <c r="E76" i="3" s="1"/>
  <c r="F75" i="3"/>
  <c r="F76" i="3" s="1"/>
  <c r="G75" i="3"/>
  <c r="G76" i="3" s="1"/>
  <c r="B75" i="3"/>
  <c r="B76" i="3" s="1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B37" i="3"/>
  <c r="E43" i="3"/>
  <c r="E44" i="3"/>
  <c r="E45" i="3"/>
  <c r="D43" i="3"/>
  <c r="D44" i="3"/>
  <c r="D45" i="3"/>
  <c r="M43" i="3"/>
  <c r="M44" i="3"/>
  <c r="M45" i="3"/>
  <c r="M42" i="3"/>
  <c r="AG42" i="3" s="1"/>
  <c r="R24" i="3"/>
  <c r="S24" i="3" s="1"/>
  <c r="S11" i="3"/>
  <c r="S10" i="3"/>
  <c r="E141" i="3"/>
  <c r="R5" i="3" s="1"/>
  <c r="I141" i="3"/>
  <c r="C141" i="3"/>
  <c r="H141" i="3"/>
  <c r="L7" i="3"/>
  <c r="AF6" i="3" s="1"/>
  <c r="L8" i="3"/>
  <c r="AF7" i="3" s="1"/>
  <c r="L6" i="3"/>
  <c r="AF5" i="3" s="1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 s="1"/>
  <c r="Q16" i="3" s="1"/>
  <c r="W18" i="3"/>
  <c r="Y18" i="3"/>
  <c r="Z18" i="3"/>
  <c r="AC18" i="3"/>
  <c r="AD18" i="3"/>
  <c r="AG18" i="3"/>
  <c r="AH18" i="3"/>
  <c r="AI18" i="3"/>
  <c r="AJ18" i="3"/>
  <c r="AK18" i="3" s="1"/>
  <c r="Q17" i="3" s="1"/>
  <c r="W19" i="3"/>
  <c r="Y19" i="3"/>
  <c r="Z19" i="3"/>
  <c r="AC19" i="3"/>
  <c r="AD19" i="3"/>
  <c r="AG19" i="3"/>
  <c r="AH19" i="3"/>
  <c r="AI19" i="3"/>
  <c r="AJ19" i="3"/>
  <c r="AK19" i="3" s="1"/>
  <c r="W20" i="3"/>
  <c r="Y20" i="3"/>
  <c r="Z20" i="3"/>
  <c r="AC20" i="3"/>
  <c r="AD20" i="3"/>
  <c r="AG20" i="3"/>
  <c r="AH20" i="3"/>
  <c r="AI20" i="3"/>
  <c r="AJ20" i="3"/>
  <c r="AK20" i="3" s="1"/>
  <c r="Q19" i="3" s="1"/>
  <c r="V18" i="3"/>
  <c r="V19" i="3"/>
  <c r="V20" i="3"/>
  <c r="V17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 s="1"/>
  <c r="W5" i="3"/>
  <c r="Y5" i="3"/>
  <c r="Z5" i="3"/>
  <c r="AA5" i="3"/>
  <c r="AB5" i="3"/>
  <c r="AC5" i="3"/>
  <c r="AD5" i="3"/>
  <c r="AE5" i="3"/>
  <c r="AG5" i="3"/>
  <c r="AH5" i="3"/>
  <c r="AI5" i="3"/>
  <c r="AJ5" i="3"/>
  <c r="AK5" i="3" s="1"/>
  <c r="AL5" i="3" s="1"/>
  <c r="W6" i="3"/>
  <c r="Y6" i="3"/>
  <c r="Z6" i="3"/>
  <c r="AA6" i="3"/>
  <c r="AB6" i="3"/>
  <c r="AC6" i="3"/>
  <c r="AD6" i="3"/>
  <c r="AE6" i="3"/>
  <c r="AG6" i="3"/>
  <c r="AH6" i="3"/>
  <c r="AI6" i="3"/>
  <c r="AJ6" i="3"/>
  <c r="AK6" i="3" s="1"/>
  <c r="AL6" i="3" s="1"/>
  <c r="W7" i="3"/>
  <c r="Y7" i="3"/>
  <c r="Z7" i="3"/>
  <c r="AA7" i="3"/>
  <c r="AB7" i="3"/>
  <c r="AC7" i="3"/>
  <c r="AD7" i="3"/>
  <c r="AE7" i="3"/>
  <c r="AG7" i="3"/>
  <c r="AH7" i="3"/>
  <c r="AI7" i="3"/>
  <c r="AJ7" i="3"/>
  <c r="AK7" i="3" s="1"/>
  <c r="AL7" i="3" s="1"/>
  <c r="V7" i="3"/>
  <c r="V6" i="3"/>
  <c r="V5" i="3"/>
  <c r="V4" i="3"/>
  <c r="D7" i="3"/>
  <c r="X6" i="3" s="1"/>
  <c r="D8" i="3"/>
  <c r="X20" i="3" s="1"/>
  <c r="D6" i="3"/>
  <c r="X5" i="3" s="1"/>
  <c r="G141" i="3" l="1"/>
  <c r="AG43" i="3"/>
  <c r="S125" i="3"/>
  <c r="R7" i="3"/>
  <c r="H149" i="3"/>
  <c r="C149" i="3"/>
  <c r="S5" i="3" s="1"/>
  <c r="L116" i="3"/>
  <c r="S124" i="3" s="1"/>
  <c r="I149" i="3"/>
  <c r="S128" i="3"/>
  <c r="AM5" i="3"/>
  <c r="I159" i="3"/>
  <c r="I158" i="3"/>
  <c r="I157" i="3"/>
  <c r="E143" i="3"/>
  <c r="H76" i="3"/>
  <c r="I76" i="3"/>
  <c r="H143" i="3"/>
  <c r="X18" i="3"/>
  <c r="R8" i="3"/>
  <c r="R6" i="3"/>
  <c r="AG44" i="3"/>
  <c r="I143" i="3"/>
  <c r="I151" i="3" s="1"/>
  <c r="J65" i="3"/>
  <c r="AL20" i="3"/>
  <c r="AM20" i="3" s="1"/>
  <c r="AL18" i="3"/>
  <c r="AM18" i="3" s="1"/>
  <c r="AL17" i="3"/>
  <c r="R16" i="3" s="1"/>
  <c r="AG45" i="3"/>
  <c r="J101" i="3"/>
  <c r="H57" i="3" s="1"/>
  <c r="I57" i="3" s="1"/>
  <c r="X19" i="3"/>
  <c r="AL19" i="3" s="1"/>
  <c r="AM19" i="3" s="1"/>
  <c r="AM6" i="3"/>
  <c r="X7" i="3"/>
  <c r="H1" i="3"/>
  <c r="A169" i="3"/>
  <c r="B147" i="1"/>
  <c r="G1" i="1"/>
  <c r="B150" i="1" l="1"/>
  <c r="D5" i="8"/>
  <c r="S6" i="3"/>
  <c r="S17" i="3" s="1"/>
  <c r="R17" i="3"/>
  <c r="S7" i="3"/>
  <c r="S18" i="3" s="1"/>
  <c r="J76" i="3"/>
  <c r="C143" i="3"/>
  <c r="C151" i="3" s="1"/>
  <c r="H151" i="3"/>
  <c r="B151" i="3" s="1"/>
  <c r="B152" i="3" s="1"/>
  <c r="J74" i="3" s="1"/>
  <c r="B143" i="3"/>
  <c r="B144" i="3" s="1"/>
  <c r="I74" i="3" s="1"/>
  <c r="H74" i="3" s="1"/>
  <c r="AM17" i="3"/>
  <c r="S16" i="3" s="1"/>
  <c r="AM7" i="3"/>
  <c r="S8" i="3" s="1"/>
  <c r="S19" i="3" s="1"/>
  <c r="R18" i="3"/>
  <c r="Q18" i="3" s="1"/>
  <c r="B149" i="1"/>
  <c r="B148" i="1"/>
  <c r="R19" i="3" l="1"/>
  <c r="P120" i="1"/>
  <c r="O116" i="1"/>
  <c r="P116" i="1" s="1"/>
  <c r="O115" i="1"/>
  <c r="P115" i="1" s="1"/>
  <c r="O114" i="1"/>
  <c r="P114" i="1" s="1"/>
  <c r="O112" i="1"/>
  <c r="P112" i="1" s="1"/>
  <c r="O111" i="1"/>
  <c r="P111" i="1" s="1"/>
  <c r="H100" i="1"/>
  <c r="G100" i="1" s="1"/>
  <c r="H102" i="1"/>
  <c r="G102" i="1" s="1"/>
  <c r="H101" i="1"/>
  <c r="G101" i="1" s="1"/>
  <c r="H93" i="1"/>
  <c r="G93" i="1" s="1"/>
  <c r="H94" i="1"/>
  <c r="G94" i="1" s="1"/>
  <c r="H92" i="1"/>
  <c r="G92" i="1" s="1"/>
  <c r="B109" i="1"/>
  <c r="B113" i="1" s="1"/>
  <c r="B117" i="1" s="1"/>
  <c r="B119" i="1" s="1"/>
  <c r="B121" i="1" s="1"/>
  <c r="C109" i="1"/>
  <c r="C113" i="1" s="1"/>
  <c r="C117" i="1" s="1"/>
  <c r="C119" i="1" s="1"/>
  <c r="C121" i="1" s="1"/>
  <c r="D109" i="1"/>
  <c r="D113" i="1" s="1"/>
  <c r="D117" i="1" s="1"/>
  <c r="D119" i="1" s="1"/>
  <c r="D121" i="1" s="1"/>
  <c r="D122" i="1" s="1"/>
  <c r="E109" i="1"/>
  <c r="E113" i="1" s="1"/>
  <c r="E117" i="1" s="1"/>
  <c r="E119" i="1" s="1"/>
  <c r="E121" i="1" s="1"/>
  <c r="E122" i="1" s="1"/>
  <c r="F109" i="1"/>
  <c r="F113" i="1" s="1"/>
  <c r="F117" i="1" s="1"/>
  <c r="F119" i="1" s="1"/>
  <c r="F121" i="1" s="1"/>
  <c r="F122" i="1" s="1"/>
  <c r="G109" i="1"/>
  <c r="G113" i="1" s="1"/>
  <c r="G117" i="1" s="1"/>
  <c r="G119" i="1" s="1"/>
  <c r="G121" i="1" s="1"/>
  <c r="G122" i="1" s="1"/>
  <c r="H109" i="1"/>
  <c r="H113" i="1" s="1"/>
  <c r="H117" i="1" s="1"/>
  <c r="H119" i="1" s="1"/>
  <c r="H121" i="1" s="1"/>
  <c r="H122" i="1" s="1"/>
  <c r="I109" i="1"/>
  <c r="I113" i="1" s="1"/>
  <c r="I117" i="1" s="1"/>
  <c r="I119" i="1" s="1"/>
  <c r="I121" i="1" s="1"/>
  <c r="I122" i="1" s="1"/>
  <c r="J109" i="1"/>
  <c r="J113" i="1" s="1"/>
  <c r="J117" i="1" s="1"/>
  <c r="J119" i="1" s="1"/>
  <c r="J121" i="1" s="1"/>
  <c r="J122" i="1" s="1"/>
  <c r="K109" i="1"/>
  <c r="K113" i="1" s="1"/>
  <c r="K117" i="1" s="1"/>
  <c r="K119" i="1" s="1"/>
  <c r="K121" i="1" s="1"/>
  <c r="K122" i="1" s="1"/>
  <c r="L109" i="1"/>
  <c r="L113" i="1" s="1"/>
  <c r="L117" i="1" s="1"/>
  <c r="L119" i="1" s="1"/>
  <c r="L121" i="1" s="1"/>
  <c r="L122" i="1" s="1"/>
  <c r="M109" i="1"/>
  <c r="M113" i="1" s="1"/>
  <c r="M117" i="1" s="1"/>
  <c r="M119" i="1" s="1"/>
  <c r="M121" i="1" s="1"/>
  <c r="M122" i="1" s="1"/>
  <c r="N109" i="1"/>
  <c r="N113" i="1" s="1"/>
  <c r="N117" i="1" s="1"/>
  <c r="J54" i="1"/>
  <c r="J51" i="1"/>
  <c r="J45" i="1"/>
  <c r="B44" i="1"/>
  <c r="B46" i="1" s="1"/>
  <c r="B50" i="1" s="1"/>
  <c r="B53" i="1" s="1"/>
  <c r="B55" i="1" s="1"/>
  <c r="C44" i="1"/>
  <c r="C46" i="1" s="1"/>
  <c r="C50" i="1" s="1"/>
  <c r="C53" i="1" s="1"/>
  <c r="C55" i="1" s="1"/>
  <c r="D44" i="1"/>
  <c r="D46" i="1" s="1"/>
  <c r="D50" i="1" s="1"/>
  <c r="D53" i="1" s="1"/>
  <c r="D55" i="1" s="1"/>
  <c r="E44" i="1"/>
  <c r="E46" i="1" s="1"/>
  <c r="E50" i="1" s="1"/>
  <c r="E53" i="1" s="1"/>
  <c r="E55" i="1" s="1"/>
  <c r="F44" i="1"/>
  <c r="F46" i="1" s="1"/>
  <c r="F50" i="1" s="1"/>
  <c r="F53" i="1" s="1"/>
  <c r="F55" i="1" s="1"/>
  <c r="G44" i="1"/>
  <c r="G46" i="1" s="1"/>
  <c r="G50" i="1" s="1"/>
  <c r="G53" i="1" s="1"/>
  <c r="G55" i="1" s="1"/>
  <c r="H44" i="1"/>
  <c r="H46" i="1" s="1"/>
  <c r="H50" i="1" s="1"/>
  <c r="H53" i="1" s="1"/>
  <c r="H55" i="1" s="1"/>
  <c r="I44" i="1"/>
  <c r="I46" i="1" s="1"/>
  <c r="I50" i="1" s="1"/>
  <c r="I53" i="1" s="1"/>
  <c r="I55" i="1" s="1"/>
  <c r="H86" i="1"/>
  <c r="H78" i="1"/>
  <c r="G78" i="1" s="1"/>
  <c r="H79" i="1"/>
  <c r="G79" i="1" s="1"/>
  <c r="H77" i="1"/>
  <c r="G86" i="1"/>
  <c r="G77" i="1"/>
  <c r="G81" i="1"/>
  <c r="H80" i="1"/>
  <c r="G80" i="1" s="1"/>
  <c r="J42" i="1"/>
  <c r="C68" i="1"/>
  <c r="D68" i="1"/>
  <c r="E68" i="1"/>
  <c r="F68" i="1"/>
  <c r="B68" i="1"/>
  <c r="C73" i="1"/>
  <c r="D73" i="1"/>
  <c r="E73" i="1"/>
  <c r="F73" i="1"/>
  <c r="G73" i="1" s="1"/>
  <c r="L59" i="1"/>
  <c r="M59" i="1"/>
  <c r="N59" i="1"/>
  <c r="K59" i="1"/>
  <c r="J59" i="2"/>
  <c r="K59" i="2"/>
  <c r="C61" i="1"/>
  <c r="C62" i="1" s="1"/>
  <c r="D61" i="1"/>
  <c r="D62" i="1" s="1"/>
  <c r="E61" i="1"/>
  <c r="E62" i="1" s="1"/>
  <c r="F61" i="1"/>
  <c r="F62" i="1" s="1"/>
  <c r="E132" i="1" s="1"/>
  <c r="B132" i="1" s="1"/>
  <c r="B61" i="1"/>
  <c r="B62" i="1" s="1"/>
  <c r="C28" i="1"/>
  <c r="D28" i="1"/>
  <c r="E28" i="1"/>
  <c r="F28" i="1"/>
  <c r="G28" i="1"/>
  <c r="H28" i="1"/>
  <c r="I28" i="1"/>
  <c r="J28" i="1"/>
  <c r="K28" i="1"/>
  <c r="L28" i="1"/>
  <c r="M28" i="1"/>
  <c r="N28" i="1"/>
  <c r="B28" i="1"/>
  <c r="H136" i="1" l="1"/>
  <c r="O59" i="1"/>
  <c r="I136" i="1"/>
  <c r="G62" i="1"/>
  <c r="C132" i="1" s="1"/>
  <c r="N119" i="1"/>
  <c r="O32" i="1"/>
  <c r="P4" i="1"/>
  <c r="O4" i="1" s="1"/>
  <c r="G61" i="1" s="1"/>
  <c r="I130" i="1"/>
  <c r="H130" i="1"/>
  <c r="E130" i="1"/>
  <c r="C72" i="1"/>
  <c r="D72" i="1"/>
  <c r="E72" i="1"/>
  <c r="F72" i="1"/>
  <c r="B72" i="1"/>
  <c r="E134" i="1" l="1"/>
  <c r="F134" i="1" s="1"/>
  <c r="G72" i="1" s="1"/>
  <c r="C134" i="1"/>
  <c r="B133" i="1"/>
  <c r="G59" i="1" s="1"/>
  <c r="N121" i="1"/>
  <c r="O37" i="1"/>
  <c r="O27" i="1" s="1"/>
  <c r="D124" i="2"/>
  <c r="C130" i="1"/>
  <c r="P17" i="1"/>
  <c r="O17" i="1" s="1"/>
  <c r="P16" i="1"/>
  <c r="O16" i="1" s="1"/>
  <c r="U13" i="1"/>
  <c r="V13" i="1"/>
  <c r="W13" i="1"/>
  <c r="X13" i="1"/>
  <c r="Y13" i="1"/>
  <c r="Z13" i="1"/>
  <c r="AA13" i="1"/>
  <c r="AB13" i="1"/>
  <c r="AC13" i="1"/>
  <c r="AD13" i="1"/>
  <c r="AE13" i="1"/>
  <c r="AF13" i="1"/>
  <c r="U14" i="1"/>
  <c r="V14" i="1"/>
  <c r="W14" i="1"/>
  <c r="X14" i="1"/>
  <c r="Y14" i="1"/>
  <c r="Z14" i="1"/>
  <c r="AA14" i="1"/>
  <c r="AB14" i="1"/>
  <c r="AC14" i="1"/>
  <c r="AD14" i="1"/>
  <c r="AE14" i="1"/>
  <c r="AF14" i="1"/>
  <c r="U15" i="1"/>
  <c r="V15" i="1"/>
  <c r="W15" i="1"/>
  <c r="X15" i="1"/>
  <c r="Y15" i="1"/>
  <c r="Z15" i="1"/>
  <c r="AA15" i="1"/>
  <c r="AB15" i="1"/>
  <c r="AC15" i="1"/>
  <c r="AD15" i="1"/>
  <c r="AE15" i="1"/>
  <c r="AF15" i="1"/>
  <c r="T15" i="1"/>
  <c r="T14" i="1"/>
  <c r="T13" i="1"/>
  <c r="U5" i="1"/>
  <c r="V5" i="1"/>
  <c r="W5" i="1"/>
  <c r="X5" i="1"/>
  <c r="Y5" i="1"/>
  <c r="Z5" i="1"/>
  <c r="AA5" i="1"/>
  <c r="AB5" i="1"/>
  <c r="AC5" i="1"/>
  <c r="AD5" i="1"/>
  <c r="AE5" i="1"/>
  <c r="AF5" i="1"/>
  <c r="U6" i="1"/>
  <c r="V6" i="1"/>
  <c r="W6" i="1"/>
  <c r="X6" i="1"/>
  <c r="Y6" i="1"/>
  <c r="Z6" i="1"/>
  <c r="AA6" i="1"/>
  <c r="AB6" i="1"/>
  <c r="AC6" i="1"/>
  <c r="AD6" i="1"/>
  <c r="AE6" i="1"/>
  <c r="AF6" i="1"/>
  <c r="U4" i="1"/>
  <c r="V4" i="1"/>
  <c r="W4" i="1"/>
  <c r="X4" i="1"/>
  <c r="Y4" i="1"/>
  <c r="Z4" i="1"/>
  <c r="AA4" i="1"/>
  <c r="AB4" i="1"/>
  <c r="AC4" i="1"/>
  <c r="AD4" i="1"/>
  <c r="AE4" i="1"/>
  <c r="AF4" i="1"/>
  <c r="P8" i="1"/>
  <c r="O8" i="1" s="1"/>
  <c r="P7" i="1"/>
  <c r="O7" i="1" s="1"/>
  <c r="T6" i="1"/>
  <c r="T5" i="1"/>
  <c r="T4" i="1"/>
  <c r="M59" i="2"/>
  <c r="N59" i="2"/>
  <c r="L59" i="2"/>
  <c r="M60" i="2" s="1"/>
  <c r="AH5" i="1" l="1"/>
  <c r="P5" i="1" s="1"/>
  <c r="O5" i="1" s="1"/>
  <c r="AH14" i="1"/>
  <c r="AH15" i="1"/>
  <c r="AH6" i="1"/>
  <c r="P6" i="1" s="1"/>
  <c r="O6" i="1" s="1"/>
  <c r="AH13" i="1"/>
  <c r="G66" i="1"/>
  <c r="G60" i="1"/>
  <c r="G67" i="1" s="1"/>
  <c r="N122" i="1"/>
  <c r="P13" i="1"/>
  <c r="G97" i="2"/>
  <c r="F97" i="2" s="1"/>
  <c r="G89" i="2"/>
  <c r="F89" i="2" s="1"/>
  <c r="G88" i="2"/>
  <c r="F88" i="2" s="1"/>
  <c r="C98" i="2"/>
  <c r="D98" i="2"/>
  <c r="E98" i="2"/>
  <c r="B98" i="2"/>
  <c r="J130" i="2"/>
  <c r="I130" i="2"/>
  <c r="O108" i="2"/>
  <c r="P108" i="2" s="1"/>
  <c r="P117" i="2"/>
  <c r="O110" i="2"/>
  <c r="P110" i="2" s="1"/>
  <c r="O109" i="2"/>
  <c r="P109" i="2" s="1"/>
  <c r="P105" i="2"/>
  <c r="O105" i="2" s="1"/>
  <c r="B103" i="2"/>
  <c r="C103" i="2"/>
  <c r="D103" i="2"/>
  <c r="E103" i="2"/>
  <c r="F103" i="2"/>
  <c r="F107" i="2" s="1"/>
  <c r="G103" i="2"/>
  <c r="G107" i="2" s="1"/>
  <c r="H103" i="2"/>
  <c r="H107" i="2" s="1"/>
  <c r="I103" i="2"/>
  <c r="I107" i="2" s="1"/>
  <c r="J103" i="2"/>
  <c r="J107" i="2" s="1"/>
  <c r="K103" i="2"/>
  <c r="K107" i="2" s="1"/>
  <c r="L103" i="2"/>
  <c r="L107" i="2" s="1"/>
  <c r="M103" i="2"/>
  <c r="M107" i="2" s="1"/>
  <c r="N103" i="2"/>
  <c r="N107" i="2" s="1"/>
  <c r="J29" i="2"/>
  <c r="F42" i="2"/>
  <c r="F79" i="2"/>
  <c r="F80" i="2"/>
  <c r="F81" i="2"/>
  <c r="F82" i="2"/>
  <c r="F83" i="2"/>
  <c r="G84" i="2"/>
  <c r="F84" i="2" s="1"/>
  <c r="G77" i="2"/>
  <c r="F77" i="2" s="1"/>
  <c r="G76" i="2"/>
  <c r="F76" i="2" s="1"/>
  <c r="G75" i="2"/>
  <c r="F75" i="2" s="1"/>
  <c r="G78" i="2"/>
  <c r="F78" i="2" s="1"/>
  <c r="J124" i="2"/>
  <c r="I124" i="2"/>
  <c r="D4" i="8"/>
  <c r="F1" i="2"/>
  <c r="O13" i="1" l="1"/>
  <c r="O22" i="1" s="1"/>
  <c r="P14" i="1"/>
  <c r="O14" i="1" s="1"/>
  <c r="P15" i="1"/>
  <c r="O15" i="1" s="1"/>
  <c r="G68" i="1"/>
  <c r="F98" i="2"/>
  <c r="G98" i="2" s="1"/>
  <c r="O104" i="2" s="1"/>
  <c r="K15" i="2"/>
  <c r="L18" i="2"/>
  <c r="K18" i="2" s="1"/>
  <c r="L14" i="2"/>
  <c r="K14" i="2" s="1"/>
  <c r="P15" i="2"/>
  <c r="Q15" i="2"/>
  <c r="R15" i="2"/>
  <c r="S15" i="2"/>
  <c r="T15" i="2"/>
  <c r="U15" i="2"/>
  <c r="V15" i="2"/>
  <c r="W15" i="2"/>
  <c r="O15" i="2"/>
  <c r="P14" i="2"/>
  <c r="Q14" i="2"/>
  <c r="R14" i="2"/>
  <c r="S14" i="2"/>
  <c r="T14" i="2"/>
  <c r="U14" i="2"/>
  <c r="V14" i="2"/>
  <c r="W14" i="2"/>
  <c r="O14" i="2"/>
  <c r="P13" i="2"/>
  <c r="Q13" i="2"/>
  <c r="R13" i="2"/>
  <c r="S13" i="2"/>
  <c r="T13" i="2"/>
  <c r="U13" i="2"/>
  <c r="V13" i="2"/>
  <c r="W13" i="2"/>
  <c r="O13" i="2"/>
  <c r="L4" i="2"/>
  <c r="F124" i="2"/>
  <c r="C124" i="2"/>
  <c r="L8" i="2"/>
  <c r="K8" i="2" s="1"/>
  <c r="L9" i="2"/>
  <c r="K9" i="2" s="1"/>
  <c r="L6" i="2"/>
  <c r="K6" i="2" s="1"/>
  <c r="L5" i="2"/>
  <c r="K5" i="2" s="1"/>
  <c r="P5" i="2"/>
  <c r="Q5" i="2"/>
  <c r="R5" i="2"/>
  <c r="S5" i="2"/>
  <c r="T5" i="2"/>
  <c r="U5" i="2"/>
  <c r="V5" i="2"/>
  <c r="W5" i="2"/>
  <c r="P6" i="2"/>
  <c r="Q6" i="2"/>
  <c r="R6" i="2"/>
  <c r="S6" i="2"/>
  <c r="T6" i="2"/>
  <c r="U6" i="2"/>
  <c r="V6" i="2"/>
  <c r="W6" i="2"/>
  <c r="O6" i="2"/>
  <c r="O5" i="2"/>
  <c r="P4" i="2"/>
  <c r="Q4" i="2"/>
  <c r="R4" i="2"/>
  <c r="S4" i="2"/>
  <c r="T4" i="2"/>
  <c r="U4" i="2"/>
  <c r="V4" i="2"/>
  <c r="W4" i="2"/>
  <c r="O4" i="2"/>
  <c r="P18" i="1" l="1"/>
  <c r="H68" i="1"/>
  <c r="J41" i="1"/>
  <c r="Y5" i="2"/>
  <c r="L7" i="2" s="1"/>
  <c r="Y14" i="2"/>
  <c r="Y15" i="2"/>
  <c r="Y13" i="2"/>
  <c r="Y6" i="2"/>
  <c r="L10" i="2" s="1"/>
  <c r="K4" i="2"/>
  <c r="L13" i="2" l="1"/>
  <c r="K13" i="2" s="1"/>
  <c r="L19" i="2"/>
  <c r="K10" i="2"/>
  <c r="L16" i="2"/>
  <c r="K7" i="2"/>
  <c r="K19" i="2" l="1"/>
  <c r="K16" i="2"/>
  <c r="C82" i="5"/>
  <c r="B82" i="5"/>
  <c r="B57" i="5"/>
  <c r="C91" i="5"/>
  <c r="C95" i="5"/>
  <c r="D95" i="5"/>
  <c r="G95" i="5"/>
  <c r="B91" i="5"/>
  <c r="B95" i="5" s="1"/>
  <c r="E91" i="5"/>
  <c r="F91" i="5" s="1"/>
  <c r="C115" i="5"/>
  <c r="D115" i="5"/>
  <c r="E115" i="5"/>
  <c r="F115" i="5"/>
  <c r="G115" i="5"/>
  <c r="H115" i="5"/>
  <c r="I115" i="5"/>
  <c r="P124" i="5" s="1"/>
  <c r="B115" i="5"/>
  <c r="D61" i="5"/>
  <c r="D60" i="5"/>
  <c r="C61" i="5"/>
  <c r="C60" i="5"/>
  <c r="B53" i="5"/>
  <c r="B55" i="5" s="1"/>
  <c r="C53" i="5"/>
  <c r="C55" i="5" s="1"/>
  <c r="C59" i="5" s="1"/>
  <c r="D53" i="5"/>
  <c r="D55" i="5" s="1"/>
  <c r="D59" i="5" s="1"/>
  <c r="F61" i="5"/>
  <c r="F60" i="5"/>
  <c r="F53" i="5"/>
  <c r="F55" i="5" s="1"/>
  <c r="F59" i="5" s="1"/>
  <c r="B74" i="6"/>
  <c r="B73" i="7"/>
  <c r="D73" i="7"/>
  <c r="E73" i="7"/>
  <c r="F73" i="7"/>
  <c r="G73" i="7"/>
  <c r="C73" i="7"/>
  <c r="B45" i="7"/>
  <c r="B47" i="7" s="1"/>
  <c r="B51" i="7" s="1"/>
  <c r="B54" i="7" s="1"/>
  <c r="B56" i="7" s="1"/>
  <c r="C45" i="7"/>
  <c r="C47" i="7" s="1"/>
  <c r="C51" i="7" s="1"/>
  <c r="I60" i="5" l="1"/>
  <c r="J60" i="5" s="1"/>
  <c r="G60" i="5"/>
  <c r="G61" i="5"/>
  <c r="J61" i="5" s="1"/>
  <c r="C62" i="5"/>
  <c r="C65" i="5" s="1"/>
  <c r="H91" i="5"/>
  <c r="I91" i="5" s="1"/>
  <c r="I95" i="5" s="1"/>
  <c r="J52" i="5" s="1"/>
  <c r="J53" i="5" s="1"/>
  <c r="E95" i="5"/>
  <c r="D62" i="5"/>
  <c r="D65" i="5" s="1"/>
  <c r="F95" i="5"/>
  <c r="B59" i="5"/>
  <c r="B62" i="5" s="1"/>
  <c r="B65" i="5" s="1"/>
  <c r="F62" i="5"/>
  <c r="F65" i="5" s="1"/>
  <c r="C54" i="7"/>
  <c r="C56" i="7" s="1"/>
  <c r="E54" i="7"/>
  <c r="E56" i="7" s="1"/>
  <c r="F54" i="7"/>
  <c r="F56" i="7" s="1"/>
  <c r="G54" i="7"/>
  <c r="G56" i="7" s="1"/>
  <c r="H54" i="7"/>
  <c r="H56" i="7" s="1"/>
  <c r="D47" i="7"/>
  <c r="D51" i="7" s="1"/>
  <c r="D54" i="7" s="1"/>
  <c r="D56" i="7" s="1"/>
  <c r="E45" i="7"/>
  <c r="E47" i="7" s="1"/>
  <c r="F45" i="7"/>
  <c r="F47" i="7" s="1"/>
  <c r="G45" i="7"/>
  <c r="G47" i="7" s="1"/>
  <c r="H45" i="7"/>
  <c r="H47" i="7" s="1"/>
  <c r="J45" i="7"/>
  <c r="J47" i="7" s="1"/>
  <c r="J51" i="7" s="1"/>
  <c r="J54" i="7" s="1"/>
  <c r="J56" i="7" s="1"/>
  <c r="Q111" i="7" s="1"/>
  <c r="D45" i="7"/>
  <c r="D74" i="6"/>
  <c r="E74" i="6"/>
  <c r="F74" i="6"/>
  <c r="G74" i="6"/>
  <c r="C74" i="6"/>
  <c r="B102" i="6"/>
  <c r="B103" i="6" s="1"/>
  <c r="B88" i="6"/>
  <c r="B89" i="6" s="1"/>
  <c r="C102" i="6"/>
  <c r="C103" i="6" s="1"/>
  <c r="D89" i="6"/>
  <c r="E89" i="6"/>
  <c r="F89" i="6"/>
  <c r="G89" i="6"/>
  <c r="C88" i="6"/>
  <c r="C89" i="6" s="1"/>
  <c r="B45" i="6"/>
  <c r="B51" i="6" s="1"/>
  <c r="B54" i="6" s="1"/>
  <c r="C45" i="6"/>
  <c r="C54" i="6" s="1"/>
  <c r="E45" i="6"/>
  <c r="E51" i="6" s="1"/>
  <c r="E54" i="6" s="1"/>
  <c r="F45" i="6"/>
  <c r="F51" i="6" s="1"/>
  <c r="F54" i="6" s="1"/>
  <c r="G45" i="6"/>
  <c r="G51" i="6" s="1"/>
  <c r="G54" i="6" s="1"/>
  <c r="H45" i="6"/>
  <c r="H51" i="6" s="1"/>
  <c r="H54" i="6" s="1"/>
  <c r="I45" i="6"/>
  <c r="I51" i="6" s="1"/>
  <c r="I54" i="6" s="1"/>
  <c r="J51" i="6"/>
  <c r="J54" i="6" s="1"/>
  <c r="D45" i="6"/>
  <c r="D51" i="6" s="1"/>
  <c r="D54" i="6" s="1"/>
  <c r="J56" i="6" l="1"/>
  <c r="Q111" i="6" s="1"/>
  <c r="H95" i="5"/>
  <c r="I52" i="5" s="1"/>
  <c r="I53" i="5" s="1"/>
  <c r="G62" i="5"/>
  <c r="G65" i="5" s="1"/>
  <c r="J55" i="5"/>
  <c r="J59" i="5" s="1"/>
  <c r="J62" i="5" s="1"/>
  <c r="J65" i="5" s="1"/>
  <c r="P122" i="5" s="1"/>
  <c r="J33" i="7"/>
  <c r="AA33" i="7" s="1"/>
  <c r="K33" i="7"/>
  <c r="L33" i="7"/>
  <c r="AC33" i="7" s="1"/>
  <c r="M33" i="7"/>
  <c r="N33" i="7"/>
  <c r="AE33" i="7" s="1"/>
  <c r="AF33" i="7" s="1"/>
  <c r="J34" i="7"/>
  <c r="K34" i="7"/>
  <c r="L34" i="7"/>
  <c r="M34" i="7"/>
  <c r="AD34" i="7" s="1"/>
  <c r="N34" i="7"/>
  <c r="J35" i="7"/>
  <c r="AA35" i="7" s="1"/>
  <c r="K35" i="7"/>
  <c r="L35" i="7"/>
  <c r="AC35" i="7" s="1"/>
  <c r="M35" i="7"/>
  <c r="N35" i="7"/>
  <c r="AE35" i="7" s="1"/>
  <c r="AF35" i="7" s="1"/>
  <c r="AG35" i="7" s="1"/>
  <c r="J32" i="7"/>
  <c r="AA32" i="7" s="1"/>
  <c r="K32" i="7"/>
  <c r="AB32" i="7" s="1"/>
  <c r="L32" i="7"/>
  <c r="AC32" i="7" s="1"/>
  <c r="M32" i="7"/>
  <c r="AD32" i="7" s="1"/>
  <c r="N32" i="7"/>
  <c r="AB34" i="7" l="1"/>
  <c r="AD35" i="7"/>
  <c r="AE34" i="7"/>
  <c r="AF34" i="7" s="1"/>
  <c r="AG34" i="7" s="1"/>
  <c r="AA34" i="7"/>
  <c r="AB33" i="7"/>
  <c r="AG33" i="7"/>
  <c r="E131" i="7"/>
  <c r="AE32" i="7"/>
  <c r="AF32" i="7" s="1"/>
  <c r="AB35" i="7"/>
  <c r="AC34" i="7"/>
  <c r="AD33" i="7"/>
  <c r="I55" i="5"/>
  <c r="I59" i="5" s="1"/>
  <c r="I62" i="5" s="1"/>
  <c r="I65" i="5" s="1"/>
  <c r="O122" i="5" s="1"/>
  <c r="B34" i="6"/>
  <c r="C34" i="6"/>
  <c r="D34" i="6"/>
  <c r="E34" i="6"/>
  <c r="F34" i="6"/>
  <c r="G34" i="6"/>
  <c r="H34" i="6"/>
  <c r="I34" i="6"/>
  <c r="J34" i="6"/>
  <c r="AB34" i="6" s="1"/>
  <c r="K34" i="6"/>
  <c r="L34" i="6"/>
  <c r="M34" i="6"/>
  <c r="N34" i="6"/>
  <c r="AF34" i="6" s="1"/>
  <c r="AG34" i="6" s="1"/>
  <c r="AH34" i="6" s="1"/>
  <c r="B35" i="6"/>
  <c r="C35" i="6"/>
  <c r="E35" i="6"/>
  <c r="F35" i="6"/>
  <c r="G35" i="6"/>
  <c r="I35" i="6"/>
  <c r="J35" i="6"/>
  <c r="K35" i="6"/>
  <c r="L35" i="6"/>
  <c r="M35" i="6"/>
  <c r="N35" i="6"/>
  <c r="B36" i="6"/>
  <c r="C36" i="6"/>
  <c r="E36" i="6"/>
  <c r="W36" i="6" s="1"/>
  <c r="F36" i="6"/>
  <c r="G36" i="6"/>
  <c r="Y36" i="6" s="1"/>
  <c r="H36" i="6"/>
  <c r="I36" i="6"/>
  <c r="J36" i="6"/>
  <c r="K36" i="6"/>
  <c r="AC36" i="6" s="1"/>
  <c r="L36" i="6"/>
  <c r="M36" i="6"/>
  <c r="N36" i="6"/>
  <c r="C33" i="6"/>
  <c r="U33" i="6" s="1"/>
  <c r="E33" i="6"/>
  <c r="W33" i="6" s="1"/>
  <c r="F33" i="6"/>
  <c r="X33" i="6" s="1"/>
  <c r="G33" i="6"/>
  <c r="Y33" i="6" s="1"/>
  <c r="I33" i="6"/>
  <c r="AA33" i="6" s="1"/>
  <c r="J33" i="6"/>
  <c r="AB33" i="6" s="1"/>
  <c r="K33" i="6"/>
  <c r="AC33" i="6" s="1"/>
  <c r="L33" i="6"/>
  <c r="AD33" i="6" s="1"/>
  <c r="M33" i="6"/>
  <c r="AE33" i="6" s="1"/>
  <c r="N33" i="6"/>
  <c r="B33" i="6"/>
  <c r="T33" i="6" s="1"/>
  <c r="J44" i="5"/>
  <c r="AC44" i="5" s="1"/>
  <c r="K44" i="5"/>
  <c r="AD44" i="5" s="1"/>
  <c r="L44" i="5"/>
  <c r="M44" i="5"/>
  <c r="N44" i="5"/>
  <c r="AG44" i="5" s="1"/>
  <c r="O44" i="5"/>
  <c r="AH44" i="5" s="1"/>
  <c r="AI44" i="5" s="1"/>
  <c r="H43" i="5"/>
  <c r="J43" i="5"/>
  <c r="K43" i="5"/>
  <c r="L43" i="5"/>
  <c r="O43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B41" i="5"/>
  <c r="U41" i="5" s="1"/>
  <c r="C41" i="5"/>
  <c r="D41" i="5"/>
  <c r="E41" i="5"/>
  <c r="X41" i="5" s="1"/>
  <c r="F41" i="5"/>
  <c r="Y41" i="5" s="1"/>
  <c r="G41" i="5"/>
  <c r="H41" i="5"/>
  <c r="I41" i="5"/>
  <c r="AB41" i="5" s="1"/>
  <c r="J41" i="5"/>
  <c r="AC41" i="5" s="1"/>
  <c r="K41" i="5"/>
  <c r="L41" i="5"/>
  <c r="M41" i="5"/>
  <c r="AF41" i="5" s="1"/>
  <c r="N41" i="5"/>
  <c r="AG41" i="5" s="1"/>
  <c r="O41" i="5"/>
  <c r="B42" i="5"/>
  <c r="U42" i="5" s="1"/>
  <c r="C42" i="5"/>
  <c r="V42" i="5" s="1"/>
  <c r="D42" i="5"/>
  <c r="W42" i="5" s="1"/>
  <c r="E42" i="5"/>
  <c r="X42" i="5" s="1"/>
  <c r="F42" i="5"/>
  <c r="Y42" i="5" s="1"/>
  <c r="G42" i="5"/>
  <c r="H42" i="5"/>
  <c r="AA42" i="5" s="1"/>
  <c r="I42" i="5"/>
  <c r="AB42" i="5" s="1"/>
  <c r="J42" i="5"/>
  <c r="AC42" i="5" s="1"/>
  <c r="K42" i="5"/>
  <c r="AD42" i="5" s="1"/>
  <c r="L42" i="5"/>
  <c r="AE42" i="5" s="1"/>
  <c r="M42" i="5"/>
  <c r="N42" i="5"/>
  <c r="O42" i="5"/>
  <c r="AH42" i="5" s="1"/>
  <c r="AI42" i="5" s="1"/>
  <c r="C39" i="5"/>
  <c r="V39" i="5" s="1"/>
  <c r="D39" i="5"/>
  <c r="E39" i="5"/>
  <c r="X39" i="5" s="1"/>
  <c r="F39" i="5"/>
  <c r="Y39" i="5" s="1"/>
  <c r="G39" i="5"/>
  <c r="H39" i="5"/>
  <c r="I39" i="5"/>
  <c r="AB39" i="5" s="1"/>
  <c r="J39" i="5"/>
  <c r="AC39" i="5" s="1"/>
  <c r="K39" i="5"/>
  <c r="AD39" i="5" s="1"/>
  <c r="L39" i="5"/>
  <c r="M39" i="5"/>
  <c r="AF39" i="5" s="1"/>
  <c r="N39" i="5"/>
  <c r="AG39" i="5" s="1"/>
  <c r="O39" i="5"/>
  <c r="AH39" i="5" s="1"/>
  <c r="AI39" i="5" s="1"/>
  <c r="B39" i="5"/>
  <c r="U39" i="5" s="1"/>
  <c r="O32" i="7" l="1"/>
  <c r="E139" i="7"/>
  <c r="AD34" i="6"/>
  <c r="AE36" i="6"/>
  <c r="AA36" i="6"/>
  <c r="AE35" i="6"/>
  <c r="AH35" i="6" s="1"/>
  <c r="AA35" i="6"/>
  <c r="U35" i="6"/>
  <c r="AF33" i="6"/>
  <c r="AG33" i="6" s="1"/>
  <c r="AH33" i="6" s="1"/>
  <c r="E131" i="6"/>
  <c r="AD36" i="6"/>
  <c r="U36" i="6"/>
  <c r="AD35" i="6"/>
  <c r="Y35" i="6"/>
  <c r="T35" i="6"/>
  <c r="AC34" i="6"/>
  <c r="Y34" i="6"/>
  <c r="U34" i="6"/>
  <c r="T36" i="6"/>
  <c r="AC35" i="6"/>
  <c r="X35" i="6"/>
  <c r="X34" i="6"/>
  <c r="T34" i="6"/>
  <c r="AF36" i="6"/>
  <c r="AG36" i="6" s="1"/>
  <c r="AH36" i="6" s="1"/>
  <c r="AB36" i="6"/>
  <c r="X36" i="6"/>
  <c r="AF35" i="6"/>
  <c r="AG35" i="6" s="1"/>
  <c r="AB35" i="6"/>
  <c r="W35" i="6"/>
  <c r="AE34" i="6"/>
  <c r="AA34" i="6"/>
  <c r="W34" i="6"/>
  <c r="AE40" i="5"/>
  <c r="W40" i="5"/>
  <c r="AE43" i="5"/>
  <c r="AD40" i="5"/>
  <c r="V40" i="5"/>
  <c r="AG42" i="5"/>
  <c r="AG43" i="5"/>
  <c r="AE41" i="5"/>
  <c r="AA41" i="5"/>
  <c r="W41" i="5"/>
  <c r="AG40" i="5"/>
  <c r="AC40" i="5"/>
  <c r="Y40" i="5"/>
  <c r="U40" i="5"/>
  <c r="AC43" i="5"/>
  <c r="AF44" i="5"/>
  <c r="AA40" i="5"/>
  <c r="AJ42" i="5"/>
  <c r="AH40" i="5"/>
  <c r="AI40" i="5" s="1"/>
  <c r="AD43" i="5"/>
  <c r="AE39" i="5"/>
  <c r="AJ39" i="5" s="1"/>
  <c r="AA39" i="5"/>
  <c r="W39" i="5"/>
  <c r="AF43" i="5"/>
  <c r="AF42" i="5"/>
  <c r="AH41" i="5"/>
  <c r="AI41" i="5" s="1"/>
  <c r="AJ41" i="5" s="1"/>
  <c r="AD41" i="5"/>
  <c r="V41" i="5"/>
  <c r="AF40" i="5"/>
  <c r="AB40" i="5"/>
  <c r="X40" i="5"/>
  <c r="AH43" i="5"/>
  <c r="AI43" i="5" s="1"/>
  <c r="AE44" i="5"/>
  <c r="AJ44" i="5" s="1"/>
  <c r="E143" i="5"/>
  <c r="C86" i="3"/>
  <c r="D86" i="3"/>
  <c r="E86" i="3"/>
  <c r="F86" i="3"/>
  <c r="G86" i="3"/>
  <c r="B86" i="3"/>
  <c r="J38" i="4"/>
  <c r="K38" i="4"/>
  <c r="X37" i="4" s="1"/>
  <c r="L38" i="4"/>
  <c r="M38" i="4"/>
  <c r="N38" i="4"/>
  <c r="O38" i="4"/>
  <c r="AB37" i="4" s="1"/>
  <c r="P38" i="4"/>
  <c r="J39" i="4"/>
  <c r="K39" i="4"/>
  <c r="X38" i="4" s="1"/>
  <c r="L39" i="4"/>
  <c r="Y38" i="4" s="1"/>
  <c r="M39" i="4"/>
  <c r="N39" i="4"/>
  <c r="O39" i="4"/>
  <c r="AB38" i="4" s="1"/>
  <c r="P39" i="4"/>
  <c r="AC38" i="4" s="1"/>
  <c r="AE38" i="4" s="1"/>
  <c r="K40" i="4"/>
  <c r="L40" i="4"/>
  <c r="M40" i="4"/>
  <c r="N40" i="4"/>
  <c r="O40" i="4"/>
  <c r="P40" i="4"/>
  <c r="J41" i="4"/>
  <c r="K41" i="4"/>
  <c r="X41" i="4" s="1"/>
  <c r="L41" i="4"/>
  <c r="M41" i="4"/>
  <c r="N41" i="4"/>
  <c r="O41" i="4"/>
  <c r="AB41" i="4" s="1"/>
  <c r="P41" i="4"/>
  <c r="C36" i="4"/>
  <c r="D36" i="4"/>
  <c r="E36" i="4"/>
  <c r="F36" i="4"/>
  <c r="G36" i="4"/>
  <c r="H36" i="4"/>
  <c r="I36" i="4"/>
  <c r="J36" i="4"/>
  <c r="K36" i="4"/>
  <c r="L36" i="4"/>
  <c r="Y36" i="4" s="1"/>
  <c r="M36" i="4"/>
  <c r="N36" i="4"/>
  <c r="AA36" i="4" s="1"/>
  <c r="O36" i="4"/>
  <c r="AB36" i="4" s="1"/>
  <c r="P36" i="4"/>
  <c r="C37" i="4"/>
  <c r="D37" i="4"/>
  <c r="E37" i="4"/>
  <c r="F37" i="4"/>
  <c r="G37" i="4"/>
  <c r="H37" i="4"/>
  <c r="I37" i="4"/>
  <c r="J37" i="4"/>
  <c r="K37" i="4"/>
  <c r="X40" i="4" s="1"/>
  <c r="L37" i="4"/>
  <c r="M37" i="4"/>
  <c r="N37" i="4"/>
  <c r="O37" i="4"/>
  <c r="AB40" i="4" s="1"/>
  <c r="P37" i="4"/>
  <c r="B37" i="4"/>
  <c r="B36" i="4"/>
  <c r="D77" i="4"/>
  <c r="E77" i="4"/>
  <c r="F77" i="4"/>
  <c r="C77" i="4"/>
  <c r="C123" i="3"/>
  <c r="C127" i="3" s="1"/>
  <c r="D123" i="3"/>
  <c r="D127" i="3" s="1"/>
  <c r="E123" i="3"/>
  <c r="E127" i="3" s="1"/>
  <c r="F123" i="3"/>
  <c r="F127" i="3" s="1"/>
  <c r="G123" i="3"/>
  <c r="G127" i="3" s="1"/>
  <c r="H123" i="3"/>
  <c r="H127" i="3" s="1"/>
  <c r="I123" i="3"/>
  <c r="I127" i="3" s="1"/>
  <c r="J123" i="3"/>
  <c r="J127" i="3" s="1"/>
  <c r="J131" i="3" s="1"/>
  <c r="J133" i="3" s="1"/>
  <c r="J135" i="3" s="1"/>
  <c r="J136" i="3" s="1"/>
  <c r="K123" i="3"/>
  <c r="K127" i="3" s="1"/>
  <c r="K131" i="3" s="1"/>
  <c r="K133" i="3" s="1"/>
  <c r="K135" i="3" s="1"/>
  <c r="K136" i="3" s="1"/>
  <c r="L123" i="3"/>
  <c r="L127" i="3" s="1"/>
  <c r="L131" i="3" s="1"/>
  <c r="L133" i="3" s="1"/>
  <c r="L135" i="3" s="1"/>
  <c r="L136" i="3" s="1"/>
  <c r="M123" i="3"/>
  <c r="M127" i="3" s="1"/>
  <c r="M131" i="3" s="1"/>
  <c r="M133" i="3" s="1"/>
  <c r="M135" i="3" s="1"/>
  <c r="M136" i="3" s="1"/>
  <c r="N123" i="3"/>
  <c r="N127" i="3" s="1"/>
  <c r="N131" i="3" s="1"/>
  <c r="N133" i="3" s="1"/>
  <c r="N135" i="3" s="1"/>
  <c r="N136" i="3" s="1"/>
  <c r="O123" i="3"/>
  <c r="O127" i="3" s="1"/>
  <c r="O131" i="3" s="1"/>
  <c r="O133" i="3" s="1"/>
  <c r="O135" i="3" s="1"/>
  <c r="O136" i="3" s="1"/>
  <c r="P123" i="3"/>
  <c r="P127" i="3" s="1"/>
  <c r="P131" i="3" s="1"/>
  <c r="P133" i="3" s="1"/>
  <c r="P135" i="3" s="1"/>
  <c r="P136" i="3" s="1"/>
  <c r="B123" i="3"/>
  <c r="B127" i="3" s="1"/>
  <c r="O34" i="7" l="1"/>
  <c r="O25" i="7" s="1"/>
  <c r="O33" i="7"/>
  <c r="O24" i="7" s="1"/>
  <c r="O35" i="7"/>
  <c r="O26" i="7" s="1"/>
  <c r="O23" i="7"/>
  <c r="E139" i="6"/>
  <c r="P33" i="6" s="1"/>
  <c r="O33" i="6"/>
  <c r="P42" i="5"/>
  <c r="E151" i="5"/>
  <c r="Q42" i="5" s="1"/>
  <c r="AJ43" i="5"/>
  <c r="AJ40" i="5"/>
  <c r="AA39" i="4"/>
  <c r="AA40" i="4"/>
  <c r="W40" i="4"/>
  <c r="AA41" i="4"/>
  <c r="W41" i="4"/>
  <c r="AA37" i="4"/>
  <c r="W37" i="4"/>
  <c r="Z36" i="4"/>
  <c r="I133" i="4"/>
  <c r="Z39" i="4"/>
  <c r="E136" i="4"/>
  <c r="Z40" i="4"/>
  <c r="X36" i="4"/>
  <c r="C133" i="4"/>
  <c r="Z41" i="4"/>
  <c r="AC39" i="4"/>
  <c r="Y39" i="4"/>
  <c r="AA38" i="4"/>
  <c r="W38" i="4"/>
  <c r="Z37" i="4"/>
  <c r="AC36" i="4"/>
  <c r="AE36" i="4" s="1"/>
  <c r="E133" i="4"/>
  <c r="H133" i="4"/>
  <c r="AC40" i="4"/>
  <c r="AE40" i="4" s="1"/>
  <c r="AF40" i="4" s="1"/>
  <c r="S37" i="4" s="1"/>
  <c r="S26" i="4" s="1"/>
  <c r="Y40" i="4"/>
  <c r="W39" i="4"/>
  <c r="W36" i="4"/>
  <c r="AC41" i="4"/>
  <c r="Y41" i="4"/>
  <c r="AB39" i="4"/>
  <c r="X39" i="4"/>
  <c r="Z38" i="4"/>
  <c r="AF38" i="4" s="1"/>
  <c r="S39" i="4" s="1"/>
  <c r="S28" i="4" s="1"/>
  <c r="AC37" i="4"/>
  <c r="Y37" i="4"/>
  <c r="C145" i="3"/>
  <c r="C153" i="3" s="1"/>
  <c r="H146" i="3"/>
  <c r="I146" i="3"/>
  <c r="H86" i="3"/>
  <c r="H81" i="3" s="1"/>
  <c r="E145" i="3"/>
  <c r="E101" i="3"/>
  <c r="O27" i="7" l="1"/>
  <c r="Q110" i="7" s="1"/>
  <c r="Q112" i="7" s="1"/>
  <c r="Q116" i="7" s="1"/>
  <c r="Q120" i="7" s="1"/>
  <c r="Q121" i="7" s="1"/>
  <c r="Q122" i="7" s="1"/>
  <c r="Q124" i="7" s="1"/>
  <c r="Q125" i="7" s="1"/>
  <c r="B135" i="7" s="1"/>
  <c r="O36" i="6"/>
  <c r="O27" i="6" s="1"/>
  <c r="O35" i="6"/>
  <c r="O26" i="6" s="1"/>
  <c r="O34" i="6"/>
  <c r="O25" i="6" s="1"/>
  <c r="O24" i="6"/>
  <c r="P35" i="6"/>
  <c r="P26" i="6" s="1"/>
  <c r="P34" i="6"/>
  <c r="P25" i="6" s="1"/>
  <c r="P36" i="6"/>
  <c r="P27" i="6" s="1"/>
  <c r="P24" i="6"/>
  <c r="Q41" i="5"/>
  <c r="Q30" i="5" s="1"/>
  <c r="Q43" i="5"/>
  <c r="Q32" i="5" s="1"/>
  <c r="Q31" i="5"/>
  <c r="Q44" i="5"/>
  <c r="Q33" i="5" s="1"/>
  <c r="Q39" i="5"/>
  <c r="Q28" i="5" s="1"/>
  <c r="Q40" i="5"/>
  <c r="Q29" i="5" s="1"/>
  <c r="P43" i="5"/>
  <c r="P44" i="5"/>
  <c r="AE37" i="4"/>
  <c r="AF37" i="4" s="1"/>
  <c r="S38" i="4" s="1"/>
  <c r="S27" i="4" s="1"/>
  <c r="R38" i="4"/>
  <c r="R27" i="4" s="1"/>
  <c r="E144" i="4"/>
  <c r="I77" i="4" s="1"/>
  <c r="I72" i="4" s="1"/>
  <c r="L47" i="4" s="1"/>
  <c r="L50" i="4" s="1"/>
  <c r="L52" i="4" s="1"/>
  <c r="L56" i="4" s="1"/>
  <c r="L59" i="4" s="1"/>
  <c r="L61" i="4" s="1"/>
  <c r="S113" i="4" s="1"/>
  <c r="B136" i="4"/>
  <c r="AE39" i="4"/>
  <c r="AF39" i="4" s="1"/>
  <c r="S40" i="4" s="1"/>
  <c r="S29" i="4" s="1"/>
  <c r="R40" i="4"/>
  <c r="R29" i="4" s="1"/>
  <c r="E153" i="3"/>
  <c r="J86" i="3" s="1"/>
  <c r="J81" i="3" s="1"/>
  <c r="J55" i="3" s="1"/>
  <c r="J58" i="3" s="1"/>
  <c r="J60" i="3" s="1"/>
  <c r="J64" i="3" s="1"/>
  <c r="J67" i="3" s="1"/>
  <c r="J69" i="3" s="1"/>
  <c r="S122" i="3" s="1"/>
  <c r="B145" i="3"/>
  <c r="H55" i="3"/>
  <c r="I81" i="3"/>
  <c r="I50" i="3"/>
  <c r="J50" i="3"/>
  <c r="K50" i="3"/>
  <c r="L50" i="3"/>
  <c r="M50" i="3"/>
  <c r="H50" i="3"/>
  <c r="C49" i="3"/>
  <c r="D49" i="3"/>
  <c r="E49" i="3"/>
  <c r="B49" i="3"/>
  <c r="B43" i="3"/>
  <c r="C43" i="3"/>
  <c r="F43" i="3"/>
  <c r="G43" i="3"/>
  <c r="H43" i="3"/>
  <c r="I43" i="3"/>
  <c r="J43" i="3"/>
  <c r="K43" i="3"/>
  <c r="L43" i="3"/>
  <c r="N43" i="3"/>
  <c r="O43" i="3"/>
  <c r="B44" i="3"/>
  <c r="C44" i="3"/>
  <c r="F44" i="3"/>
  <c r="G44" i="3"/>
  <c r="AA44" i="3" s="1"/>
  <c r="H44" i="3"/>
  <c r="I44" i="3"/>
  <c r="J44" i="3"/>
  <c r="K44" i="3"/>
  <c r="AE44" i="3" s="1"/>
  <c r="L44" i="3"/>
  <c r="N44" i="3"/>
  <c r="O44" i="3"/>
  <c r="B45" i="3"/>
  <c r="V45" i="3" s="1"/>
  <c r="C45" i="3"/>
  <c r="F45" i="3"/>
  <c r="G45" i="3"/>
  <c r="H45" i="3"/>
  <c r="I45" i="3"/>
  <c r="J45" i="3"/>
  <c r="K45" i="3"/>
  <c r="L45" i="3"/>
  <c r="N45" i="3"/>
  <c r="O45" i="3"/>
  <c r="C42" i="3"/>
  <c r="W42" i="3" s="1"/>
  <c r="D42" i="3"/>
  <c r="E42" i="3"/>
  <c r="F42" i="3"/>
  <c r="Z42" i="3" s="1"/>
  <c r="G42" i="3"/>
  <c r="AA42" i="3" s="1"/>
  <c r="H42" i="3"/>
  <c r="AB42" i="3" s="1"/>
  <c r="I42" i="3"/>
  <c r="AC42" i="3" s="1"/>
  <c r="J42" i="3"/>
  <c r="AD42" i="3" s="1"/>
  <c r="K42" i="3"/>
  <c r="AE42" i="3" s="1"/>
  <c r="L42" i="3"/>
  <c r="AF42" i="3" s="1"/>
  <c r="N42" i="3"/>
  <c r="AH42" i="3" s="1"/>
  <c r="O42" i="3"/>
  <c r="AI42" i="3" s="1"/>
  <c r="B42" i="3"/>
  <c r="P42" i="3"/>
  <c r="B88" i="1"/>
  <c r="B103" i="1"/>
  <c r="D103" i="1"/>
  <c r="E103" i="1"/>
  <c r="F103" i="1"/>
  <c r="G103" i="1"/>
  <c r="C103" i="1"/>
  <c r="D88" i="1"/>
  <c r="E88" i="1"/>
  <c r="F88" i="1"/>
  <c r="G88" i="1"/>
  <c r="C88" i="1"/>
  <c r="P28" i="6" l="1"/>
  <c r="R110" i="6" s="1"/>
  <c r="R112" i="6" s="1"/>
  <c r="R116" i="6" s="1"/>
  <c r="R120" i="6" s="1"/>
  <c r="R121" i="6" s="1"/>
  <c r="R122" i="6" s="1"/>
  <c r="R124" i="6" s="1"/>
  <c r="R125" i="6" s="1"/>
  <c r="B143" i="6" s="1"/>
  <c r="B9" i="8" s="1"/>
  <c r="O28" i="6"/>
  <c r="Q110" i="6" s="1"/>
  <c r="Q112" i="6" s="1"/>
  <c r="Q116" i="6" s="1"/>
  <c r="Q120" i="6" s="1"/>
  <c r="Q122" i="6" s="1"/>
  <c r="Q124" i="6" s="1"/>
  <c r="Q125" i="6" s="1"/>
  <c r="B135" i="6" s="1"/>
  <c r="M130" i="6" s="1"/>
  <c r="N131" i="7"/>
  <c r="B159" i="7"/>
  <c r="B160" i="7" s="1"/>
  <c r="B148" i="7"/>
  <c r="B161" i="7" s="1"/>
  <c r="B162" i="7" s="1"/>
  <c r="R31" i="4"/>
  <c r="R112" i="4" s="1"/>
  <c r="R114" i="4" s="1"/>
  <c r="R118" i="4" s="1"/>
  <c r="R122" i="4" s="1"/>
  <c r="R124" i="4" s="1"/>
  <c r="R126" i="4" s="1"/>
  <c r="R127" i="4" s="1"/>
  <c r="B137" i="4" s="1"/>
  <c r="Q34" i="5"/>
  <c r="P121" i="5" s="1"/>
  <c r="P123" i="5" s="1"/>
  <c r="P127" i="5" s="1"/>
  <c r="P131" i="5" s="1"/>
  <c r="W45" i="3"/>
  <c r="AF44" i="3"/>
  <c r="AB44" i="3"/>
  <c r="V44" i="3"/>
  <c r="AE43" i="3"/>
  <c r="AA43" i="3"/>
  <c r="AH44" i="3"/>
  <c r="AC44" i="3"/>
  <c r="W44" i="3"/>
  <c r="AF43" i="3"/>
  <c r="AB43" i="3"/>
  <c r="V43" i="3"/>
  <c r="S31" i="4"/>
  <c r="S112" i="4" s="1"/>
  <c r="S114" i="4" s="1"/>
  <c r="S118" i="4" s="1"/>
  <c r="S122" i="4" s="1"/>
  <c r="S123" i="4" s="1"/>
  <c r="S124" i="4" s="1"/>
  <c r="S126" i="4" s="1"/>
  <c r="S127" i="4" s="1"/>
  <c r="B146" i="4" s="1"/>
  <c r="AD45" i="3"/>
  <c r="AJ48" i="3"/>
  <c r="AK48" i="3" s="1"/>
  <c r="AL48" i="3" s="1"/>
  <c r="AM48" i="3" s="1"/>
  <c r="S34" i="3" s="1"/>
  <c r="Y42" i="3"/>
  <c r="Y43" i="3"/>
  <c r="Y44" i="3"/>
  <c r="Y45" i="3"/>
  <c r="AH45" i="3"/>
  <c r="AC45" i="3"/>
  <c r="AJ47" i="3"/>
  <c r="AK47" i="3" s="1"/>
  <c r="AL47" i="3" s="1"/>
  <c r="AM47" i="3" s="1"/>
  <c r="Q47" i="3"/>
  <c r="Q33" i="3" s="1"/>
  <c r="X42" i="3"/>
  <c r="X43" i="3"/>
  <c r="X45" i="3"/>
  <c r="X44" i="3"/>
  <c r="AB45" i="3"/>
  <c r="C142" i="3"/>
  <c r="E142" i="3"/>
  <c r="AJ42" i="3"/>
  <c r="Q46" i="3"/>
  <c r="Q32" i="3" s="1"/>
  <c r="AJ46" i="3"/>
  <c r="AK46" i="3" s="1"/>
  <c r="AL46" i="3" s="1"/>
  <c r="AM46" i="3" s="1"/>
  <c r="V42" i="3"/>
  <c r="I142" i="3"/>
  <c r="H142" i="3"/>
  <c r="AE45" i="3"/>
  <c r="AA45" i="3"/>
  <c r="AD44" i="3"/>
  <c r="Z44" i="3"/>
  <c r="AH43" i="3"/>
  <c r="AC43" i="3"/>
  <c r="W43" i="3"/>
  <c r="AJ49" i="3"/>
  <c r="AK49" i="3" s="1"/>
  <c r="AL49" i="3" s="1"/>
  <c r="AM49" i="3" s="1"/>
  <c r="Q49" i="3"/>
  <c r="Q35" i="3" s="1"/>
  <c r="Z45" i="3"/>
  <c r="I55" i="3"/>
  <c r="I58" i="3" s="1"/>
  <c r="I60" i="3" s="1"/>
  <c r="I64" i="3" s="1"/>
  <c r="I67" i="3" s="1"/>
  <c r="H58" i="3"/>
  <c r="H60" i="3" s="1"/>
  <c r="H64" i="3" s="1"/>
  <c r="H67" i="3" s="1"/>
  <c r="H69" i="3" s="1"/>
  <c r="AF45" i="3"/>
  <c r="AD43" i="3"/>
  <c r="Z43" i="3"/>
  <c r="AJ45" i="3"/>
  <c r="AK45" i="3" s="1"/>
  <c r="AL45" i="3" s="1"/>
  <c r="AM45" i="3" s="1"/>
  <c r="AI48" i="3"/>
  <c r="AI45" i="3"/>
  <c r="AI47" i="3"/>
  <c r="AI44" i="3"/>
  <c r="AJ44" i="3"/>
  <c r="AK44" i="3" s="1"/>
  <c r="AL44" i="3" s="1"/>
  <c r="AM44" i="3" s="1"/>
  <c r="AJ43" i="3"/>
  <c r="AK43" i="3" s="1"/>
  <c r="AL43" i="3" s="1"/>
  <c r="AM43" i="3" s="1"/>
  <c r="AI43" i="3"/>
  <c r="AI46" i="3"/>
  <c r="O110" i="1"/>
  <c r="P110" i="1" s="1"/>
  <c r="H103" i="1"/>
  <c r="H88" i="1"/>
  <c r="J43" i="1"/>
  <c r="J44" i="1" s="1"/>
  <c r="J46" i="1" s="1"/>
  <c r="J50" i="1" s="1"/>
  <c r="J53" i="1" s="1"/>
  <c r="J55" i="1" s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B36" i="1"/>
  <c r="C36" i="1"/>
  <c r="D36" i="1"/>
  <c r="E36" i="1"/>
  <c r="F36" i="1"/>
  <c r="G36" i="1"/>
  <c r="H36" i="1"/>
  <c r="I36" i="1"/>
  <c r="J36" i="1"/>
  <c r="K36" i="1"/>
  <c r="G37" i="1"/>
  <c r="I37" i="1"/>
  <c r="K37" i="1"/>
  <c r="L37" i="1"/>
  <c r="M37" i="1"/>
  <c r="C32" i="1"/>
  <c r="D32" i="1"/>
  <c r="E32" i="1"/>
  <c r="F32" i="1"/>
  <c r="G32" i="1"/>
  <c r="Y32" i="1" s="1"/>
  <c r="H32" i="1"/>
  <c r="Z32" i="1" s="1"/>
  <c r="I32" i="1"/>
  <c r="AA32" i="1" s="1"/>
  <c r="J32" i="1"/>
  <c r="K32" i="1"/>
  <c r="AC32" i="1" s="1"/>
  <c r="L32" i="1"/>
  <c r="M32" i="1"/>
  <c r="N32" i="1"/>
  <c r="B32" i="1"/>
  <c r="H18" i="1"/>
  <c r="H37" i="1" s="1"/>
  <c r="Z37" i="1" s="1"/>
  <c r="N149" i="4" l="1"/>
  <c r="B7" i="8"/>
  <c r="B148" i="6"/>
  <c r="B161" i="6" s="1"/>
  <c r="B159" i="6"/>
  <c r="B160" i="6" s="1"/>
  <c r="E159" i="6"/>
  <c r="E160" i="6" s="1"/>
  <c r="M145" i="6"/>
  <c r="E148" i="6"/>
  <c r="E161" i="6" s="1"/>
  <c r="B150" i="4"/>
  <c r="B163" i="4" s="1"/>
  <c r="B161" i="4"/>
  <c r="B162" i="4" s="1"/>
  <c r="N133" i="4"/>
  <c r="P132" i="5"/>
  <c r="P133" i="5" s="1"/>
  <c r="Q42" i="3"/>
  <c r="Q28" i="3" s="1"/>
  <c r="C150" i="3"/>
  <c r="S42" i="3" s="1"/>
  <c r="S28" i="3" s="1"/>
  <c r="E150" i="4"/>
  <c r="E163" i="4" s="1"/>
  <c r="E161" i="4"/>
  <c r="E162" i="4" s="1"/>
  <c r="I69" i="3"/>
  <c r="Q122" i="3"/>
  <c r="R122" i="3" s="1"/>
  <c r="Q44" i="3"/>
  <c r="Q30" i="3" s="1"/>
  <c r="AC36" i="1"/>
  <c r="AH36" i="1" s="1"/>
  <c r="O36" i="1" s="1"/>
  <c r="O26" i="1" s="1"/>
  <c r="Y36" i="1"/>
  <c r="U36" i="1"/>
  <c r="AC37" i="1"/>
  <c r="T36" i="1"/>
  <c r="AC35" i="1"/>
  <c r="Y35" i="1"/>
  <c r="U35" i="1"/>
  <c r="AE37" i="1"/>
  <c r="Y37" i="1"/>
  <c r="Z36" i="1"/>
  <c r="V36" i="1"/>
  <c r="AE35" i="1"/>
  <c r="AA35" i="1"/>
  <c r="W35" i="1"/>
  <c r="T34" i="1"/>
  <c r="AC33" i="1"/>
  <c r="Y33" i="1"/>
  <c r="U33" i="1"/>
  <c r="O108" i="1"/>
  <c r="P108" i="1" s="1"/>
  <c r="K55" i="1"/>
  <c r="I131" i="1"/>
  <c r="H131" i="1"/>
  <c r="AD37" i="1"/>
  <c r="AD35" i="1"/>
  <c r="Z35" i="1"/>
  <c r="V35" i="1"/>
  <c r="T33" i="1"/>
  <c r="E131" i="1"/>
  <c r="AF36" i="1"/>
  <c r="AF37" i="1"/>
  <c r="AF32" i="1"/>
  <c r="AB37" i="1"/>
  <c r="AB32" i="1"/>
  <c r="X37" i="1"/>
  <c r="X32" i="1"/>
  <c r="AF34" i="1"/>
  <c r="AH34" i="1" s="1"/>
  <c r="O34" i="1" s="1"/>
  <c r="O24" i="1" s="1"/>
  <c r="AB34" i="1"/>
  <c r="X34" i="1"/>
  <c r="AE36" i="1"/>
  <c r="AE32" i="1"/>
  <c r="W37" i="1"/>
  <c r="W32" i="1"/>
  <c r="AE34" i="1"/>
  <c r="AA34" i="1"/>
  <c r="W34" i="1"/>
  <c r="AF33" i="1"/>
  <c r="AH33" i="1" s="1"/>
  <c r="O33" i="1" s="1"/>
  <c r="O23" i="1" s="1"/>
  <c r="AB33" i="1"/>
  <c r="X33" i="1"/>
  <c r="AD36" i="1"/>
  <c r="AD32" i="1"/>
  <c r="V37" i="1"/>
  <c r="V32" i="1"/>
  <c r="AB36" i="1"/>
  <c r="X36" i="1"/>
  <c r="AD34" i="1"/>
  <c r="Z34" i="1"/>
  <c r="V34" i="1"/>
  <c r="AE33" i="1"/>
  <c r="AA33" i="1"/>
  <c r="W33" i="1"/>
  <c r="T32" i="1"/>
  <c r="T37" i="1"/>
  <c r="U32" i="1"/>
  <c r="U37" i="1"/>
  <c r="AA37" i="1"/>
  <c r="AA36" i="1"/>
  <c r="W36" i="1"/>
  <c r="AF35" i="1"/>
  <c r="AH35" i="1" s="1"/>
  <c r="O35" i="1" s="1"/>
  <c r="O25" i="1" s="1"/>
  <c r="AB35" i="1"/>
  <c r="X35" i="1"/>
  <c r="T35" i="1"/>
  <c r="AC34" i="1"/>
  <c r="Y34" i="1"/>
  <c r="U34" i="1"/>
  <c r="AD33" i="1"/>
  <c r="Z33" i="1"/>
  <c r="V33" i="1"/>
  <c r="J17" i="2"/>
  <c r="B29" i="2"/>
  <c r="C29" i="2"/>
  <c r="D29" i="2"/>
  <c r="E29" i="2"/>
  <c r="F29" i="2"/>
  <c r="G29" i="2"/>
  <c r="H29" i="2"/>
  <c r="I29" i="2"/>
  <c r="B32" i="2"/>
  <c r="O32" i="2" s="1"/>
  <c r="C32" i="2"/>
  <c r="P32" i="2" s="1"/>
  <c r="D32" i="2"/>
  <c r="E32" i="2"/>
  <c r="F32" i="2"/>
  <c r="G32" i="2"/>
  <c r="H32" i="2"/>
  <c r="I32" i="2"/>
  <c r="J32" i="2"/>
  <c r="B33" i="2"/>
  <c r="C33" i="2"/>
  <c r="D33" i="2"/>
  <c r="E33" i="2"/>
  <c r="G33" i="2"/>
  <c r="T35" i="2" s="1"/>
  <c r="H33" i="2"/>
  <c r="U35" i="2" s="1"/>
  <c r="I33" i="2"/>
  <c r="V35" i="2" s="1"/>
  <c r="B34" i="2"/>
  <c r="O36" i="2" s="1"/>
  <c r="C34" i="2"/>
  <c r="P36" i="2" s="1"/>
  <c r="I34" i="2"/>
  <c r="B35" i="2"/>
  <c r="C35" i="2"/>
  <c r="D35" i="2"/>
  <c r="E35" i="2"/>
  <c r="F35" i="2"/>
  <c r="G35" i="2"/>
  <c r="H35" i="2"/>
  <c r="I35" i="2"/>
  <c r="J35" i="2"/>
  <c r="B36" i="2"/>
  <c r="O37" i="2" s="1"/>
  <c r="C36" i="2"/>
  <c r="P37" i="2" s="1"/>
  <c r="D36" i="2"/>
  <c r="Q37" i="2" s="1"/>
  <c r="E36" i="2"/>
  <c r="R37" i="2" s="1"/>
  <c r="H36" i="2"/>
  <c r="B37" i="2"/>
  <c r="C37" i="2"/>
  <c r="D37" i="2"/>
  <c r="E37" i="2"/>
  <c r="J37" i="2"/>
  <c r="B38" i="2"/>
  <c r="C38" i="2"/>
  <c r="D38" i="2"/>
  <c r="E38" i="2"/>
  <c r="F38" i="2"/>
  <c r="G38" i="2"/>
  <c r="H38" i="2"/>
  <c r="I38" i="2"/>
  <c r="J38" i="2"/>
  <c r="B44" i="2"/>
  <c r="B46" i="2" s="1"/>
  <c r="B50" i="2" s="1"/>
  <c r="B53" i="2" s="1"/>
  <c r="B55" i="2" s="1"/>
  <c r="C44" i="2"/>
  <c r="C46" i="2" s="1"/>
  <c r="D44" i="2"/>
  <c r="D46" i="2" s="1"/>
  <c r="B60" i="2"/>
  <c r="C60" i="2"/>
  <c r="D60" i="2"/>
  <c r="E60" i="2"/>
  <c r="F60" i="2"/>
  <c r="B61" i="2"/>
  <c r="B62" i="2" s="1"/>
  <c r="C61" i="2"/>
  <c r="C62" i="2" s="1"/>
  <c r="D61" i="2"/>
  <c r="D62" i="2" s="1"/>
  <c r="E61" i="2"/>
  <c r="E62" i="2" s="1"/>
  <c r="F61" i="2"/>
  <c r="F62" i="2" s="1"/>
  <c r="F126" i="2" s="1"/>
  <c r="B67" i="2"/>
  <c r="C67" i="2"/>
  <c r="D67" i="2"/>
  <c r="E67" i="2"/>
  <c r="F67" i="2"/>
  <c r="B70" i="2"/>
  <c r="C70" i="2"/>
  <c r="D70" i="2"/>
  <c r="E70" i="2"/>
  <c r="F70" i="2"/>
  <c r="F128" i="2" s="1"/>
  <c r="G70" i="2" s="1"/>
  <c r="B71" i="2"/>
  <c r="C71" i="2"/>
  <c r="D71" i="2"/>
  <c r="E71" i="2"/>
  <c r="F71" i="2"/>
  <c r="G71" i="2" s="1"/>
  <c r="B162" i="6" l="1"/>
  <c r="E162" i="6"/>
  <c r="C9" i="8" s="1"/>
  <c r="B164" i="4"/>
  <c r="P135" i="5"/>
  <c r="P136" i="5" s="1"/>
  <c r="B155" i="5" s="1"/>
  <c r="B8" i="8" s="1"/>
  <c r="S45" i="3"/>
  <c r="S31" i="3" s="1"/>
  <c r="S46" i="3"/>
  <c r="S32" i="3" s="1"/>
  <c r="S49" i="3"/>
  <c r="S35" i="3" s="1"/>
  <c r="Q43" i="3"/>
  <c r="Q29" i="3" s="1"/>
  <c r="Q37" i="3" s="1"/>
  <c r="R37" i="3" s="1"/>
  <c r="Q45" i="3"/>
  <c r="Q31" i="3" s="1"/>
  <c r="S47" i="3"/>
  <c r="S33" i="3" s="1"/>
  <c r="S44" i="3"/>
  <c r="S30" i="3" s="1"/>
  <c r="S43" i="3"/>
  <c r="S29" i="3" s="1"/>
  <c r="E164" i="4"/>
  <c r="C7" i="8" s="1"/>
  <c r="O28" i="1"/>
  <c r="W38" i="2"/>
  <c r="O38" i="2"/>
  <c r="O35" i="2"/>
  <c r="Q38" i="2"/>
  <c r="Q35" i="2"/>
  <c r="V34" i="2"/>
  <c r="R34" i="2"/>
  <c r="U33" i="2"/>
  <c r="Q33" i="2"/>
  <c r="U34" i="2"/>
  <c r="Q34" i="2"/>
  <c r="U37" i="2"/>
  <c r="T34" i="2"/>
  <c r="P34" i="2"/>
  <c r="W33" i="2"/>
  <c r="Y33" i="2" s="1"/>
  <c r="S33" i="2"/>
  <c r="O33" i="2"/>
  <c r="W34" i="2"/>
  <c r="Y34" i="2" s="1"/>
  <c r="S34" i="2"/>
  <c r="O34" i="2"/>
  <c r="T38" i="2"/>
  <c r="T36" i="2"/>
  <c r="T37" i="2"/>
  <c r="T32" i="2"/>
  <c r="R38" i="2"/>
  <c r="T33" i="2"/>
  <c r="P33" i="2"/>
  <c r="R35" i="2"/>
  <c r="F125" i="2"/>
  <c r="L32" i="2" s="1"/>
  <c r="W32" i="2"/>
  <c r="W36" i="2"/>
  <c r="W35" i="2"/>
  <c r="S37" i="2"/>
  <c r="S32" i="2"/>
  <c r="S38" i="2"/>
  <c r="S36" i="2"/>
  <c r="S35" i="2"/>
  <c r="V38" i="2"/>
  <c r="V37" i="2"/>
  <c r="V32" i="2"/>
  <c r="R36" i="2"/>
  <c r="R32" i="2"/>
  <c r="P38" i="2"/>
  <c r="V33" i="2"/>
  <c r="R33" i="2"/>
  <c r="V36" i="2"/>
  <c r="Y36" i="2" s="1"/>
  <c r="P35" i="2"/>
  <c r="U38" i="2"/>
  <c r="U36" i="2"/>
  <c r="U32" i="2"/>
  <c r="Q36" i="2"/>
  <c r="Q32" i="2"/>
  <c r="J36" i="2"/>
  <c r="W37" i="2" s="1"/>
  <c r="L17" i="2"/>
  <c r="K17" i="2" s="1"/>
  <c r="C128" i="2"/>
  <c r="C126" i="2"/>
  <c r="E160" i="5" l="1"/>
  <c r="E173" i="5" s="1"/>
  <c r="M157" i="5"/>
  <c r="E171" i="5"/>
  <c r="E172" i="5" s="1"/>
  <c r="S37" i="3"/>
  <c r="S121" i="3" s="1"/>
  <c r="S123" i="3" s="1"/>
  <c r="S127" i="3" s="1"/>
  <c r="S131" i="3" s="1"/>
  <c r="S132" i="3" s="1"/>
  <c r="S133" i="3" s="1"/>
  <c r="S135" i="3" s="1"/>
  <c r="S136" i="3" s="1"/>
  <c r="B154" i="3" s="1"/>
  <c r="B6" i="8" s="1"/>
  <c r="Q121" i="3"/>
  <c r="R121" i="3" s="1"/>
  <c r="O107" i="1"/>
  <c r="P28" i="1"/>
  <c r="L34" i="2"/>
  <c r="L24" i="2" s="1"/>
  <c r="Y38" i="2"/>
  <c r="L37" i="2" s="1"/>
  <c r="L27" i="2" s="1"/>
  <c r="Y37" i="2"/>
  <c r="L36" i="2" s="1"/>
  <c r="K36" i="2" s="1"/>
  <c r="Y35" i="2"/>
  <c r="L33" i="2" s="1"/>
  <c r="K32" i="2"/>
  <c r="L38" i="2"/>
  <c r="L35" i="2"/>
  <c r="L22" i="2"/>
  <c r="H124" i="2"/>
  <c r="E158" i="3" l="1"/>
  <c r="E172" i="3" s="1"/>
  <c r="M155" i="3"/>
  <c r="E174" i="5"/>
  <c r="C8" i="8" s="1"/>
  <c r="K37" i="2"/>
  <c r="Q123" i="3"/>
  <c r="Q127" i="3" s="1"/>
  <c r="Q131" i="3" s="1"/>
  <c r="K34" i="2"/>
  <c r="P107" i="1"/>
  <c r="O109" i="1"/>
  <c r="L26" i="2"/>
  <c r="K35" i="2"/>
  <c r="L25" i="2"/>
  <c r="K38" i="2"/>
  <c r="L28" i="2"/>
  <c r="K33" i="2"/>
  <c r="L23" i="2"/>
  <c r="H58" i="2"/>
  <c r="R123" i="3" l="1"/>
  <c r="R127" i="3" s="1"/>
  <c r="R131" i="3" s="1"/>
  <c r="R132" i="3" s="1"/>
  <c r="Q132" i="3" s="1"/>
  <c r="Q133" i="3" s="1"/>
  <c r="Q135" i="3" s="1"/>
  <c r="Q136" i="3" s="1"/>
  <c r="R136" i="3" s="1"/>
  <c r="O113" i="1"/>
  <c r="P109" i="1"/>
  <c r="G58" i="2"/>
  <c r="G65" i="2" s="1"/>
  <c r="H59" i="2"/>
  <c r="G59" i="2" s="1"/>
  <c r="G66" i="2" s="1"/>
  <c r="K22" i="2"/>
  <c r="K23" i="2"/>
  <c r="K26" i="2"/>
  <c r="K28" i="2"/>
  <c r="K27" i="2"/>
  <c r="K25" i="2"/>
  <c r="K24" i="2"/>
  <c r="H154" i="3" l="1"/>
  <c r="I154" i="3"/>
  <c r="B146" i="3"/>
  <c r="M141" i="3" s="1"/>
  <c r="R133" i="3"/>
  <c r="R135" i="3" s="1"/>
  <c r="P113" i="1"/>
  <c r="O117" i="1"/>
  <c r="G60" i="2"/>
  <c r="H60" i="2" s="1"/>
  <c r="G67" i="2"/>
  <c r="E41" i="2" s="1"/>
  <c r="F41" i="2" s="1"/>
  <c r="K29" i="2"/>
  <c r="B158" i="3" l="1"/>
  <c r="B172" i="3" s="1"/>
  <c r="B170" i="3"/>
  <c r="B171" i="3" s="1"/>
  <c r="O118" i="1"/>
  <c r="P118" i="1" s="1"/>
  <c r="P117" i="1"/>
  <c r="H67" i="2"/>
  <c r="L29" i="2"/>
  <c r="O101" i="2"/>
  <c r="B173" i="3" l="1"/>
  <c r="E170" i="3" s="1"/>
  <c r="E171" i="3" s="1"/>
  <c r="E173" i="3" s="1"/>
  <c r="C6" i="8" s="1"/>
  <c r="O119" i="1"/>
  <c r="P119" i="1" s="1"/>
  <c r="P101" i="2"/>
  <c r="G80" i="2"/>
  <c r="G81" i="2"/>
  <c r="G82" i="2"/>
  <c r="G83" i="2"/>
  <c r="G79" i="2"/>
  <c r="F85" i="2"/>
  <c r="G85" i="2" s="1"/>
  <c r="F43" i="2" s="1"/>
  <c r="O121" i="1" l="1"/>
  <c r="O122" i="1" s="1"/>
  <c r="P122" i="1" s="1"/>
  <c r="B136" i="1" s="1"/>
  <c r="E43" i="2"/>
  <c r="F44" i="2"/>
  <c r="E42" i="2"/>
  <c r="B139" i="1" l="1"/>
  <c r="B157" i="1" s="1"/>
  <c r="B155" i="1"/>
  <c r="B156" i="1" s="1"/>
  <c r="E150" i="1"/>
  <c r="B5" i="8"/>
  <c r="P121" i="1"/>
  <c r="E44" i="2"/>
  <c r="E46" i="2" s="1"/>
  <c r="F46" i="2" s="1"/>
  <c r="B158" i="1" l="1"/>
  <c r="C5" i="8" s="1"/>
  <c r="E50" i="2"/>
  <c r="F50" i="2" s="1"/>
  <c r="E53" i="2" l="1"/>
  <c r="E55" i="2" s="1"/>
  <c r="O102" i="2" s="1"/>
  <c r="P102" i="2" s="1"/>
  <c r="F55" i="2" l="1"/>
  <c r="F53" i="2"/>
  <c r="O103" i="2"/>
  <c r="P103" i="2" s="1"/>
  <c r="P104" i="2"/>
  <c r="P107" i="2" l="1"/>
  <c r="O107" i="2"/>
  <c r="O111" i="2" s="1"/>
  <c r="O112" i="2" s="1"/>
  <c r="P112" i="2" s="1"/>
  <c r="P111" i="2" l="1"/>
  <c r="O113" i="2"/>
  <c r="P113" i="2" s="1"/>
  <c r="O115" i="2" l="1"/>
  <c r="P115" i="2" s="1"/>
  <c r="O116" i="2" l="1"/>
  <c r="P116" i="2" s="1"/>
  <c r="B130" i="2" s="1"/>
  <c r="B4" i="8" l="1"/>
  <c r="B133" i="2"/>
  <c r="B154" i="2" s="1"/>
  <c r="B152" i="2"/>
  <c r="B153" i="2" s="1"/>
  <c r="E137" i="2"/>
  <c r="B155" i="2" l="1"/>
  <c r="C4" i="8" s="1"/>
  <c r="P33" i="5"/>
  <c r="P32" i="5"/>
  <c r="P31" i="5"/>
  <c r="P41" i="5"/>
  <c r="P30" i="5" s="1"/>
  <c r="P39" i="5"/>
  <c r="P28" i="5"/>
  <c r="P40" i="5"/>
  <c r="P29" i="5" s="1"/>
  <c r="P34" i="5" l="1"/>
  <c r="O121" i="5" s="1"/>
  <c r="O123" i="5" s="1"/>
  <c r="O127" i="5" s="1"/>
  <c r="O131" i="5" s="1"/>
  <c r="O132" i="5" l="1"/>
  <c r="O133" i="5" s="1"/>
  <c r="O135" i="5" s="1"/>
  <c r="O136" i="5" s="1"/>
  <c r="B147" i="5" s="1"/>
  <c r="M143" i="5" s="1"/>
  <c r="B160" i="5" l="1"/>
  <c r="B173" i="5" s="1"/>
  <c r="B171" i="5"/>
  <c r="B172" i="5" s="1"/>
  <c r="B174" i="5" l="1"/>
  <c r="I147" i="7" l="1"/>
  <c r="I148" i="7"/>
  <c r="I149" i="7"/>
</calcChain>
</file>

<file path=xl/connections.xml><?xml version="1.0" encoding="utf-8"?>
<connections xmlns="http://schemas.openxmlformats.org/spreadsheetml/2006/main">
  <connection id="1" sourceFile="http://members.tsetmc.com/tsev2/excel/MarketWatchPlus.aspx?d=0" name="MarketWatchPlus" type="5" reconnectionMethod="2" refreshedVersion="6" minRefreshableVersion="3" saveData="1">
    <dbPr connection="Provider=Microsoft.ACE.OLEDB.12.0;User ID=Admin;Data Source=C:\Users\mamali\AppData\Local\Microsoft\Windows\Temporary Internet Files\Content.MSO\57C4D4D2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دیده بان بازار$'" commandType="3"/>
  </connection>
</connections>
</file>

<file path=xl/sharedStrings.xml><?xml version="1.0" encoding="utf-8"?>
<sst xmlns="http://schemas.openxmlformats.org/spreadsheetml/2006/main" count="6464" uniqueCount="3271">
  <si>
    <t>ارزش  سهم</t>
  </si>
  <si>
    <t>قیمت روز</t>
  </si>
  <si>
    <t>تنزیل dps</t>
  </si>
  <si>
    <t>تنزیل</t>
  </si>
  <si>
    <t>n _ dps</t>
  </si>
  <si>
    <t>ارزش پی به ایی 6</t>
  </si>
  <si>
    <t>n _ eps</t>
  </si>
  <si>
    <t>p/e</t>
  </si>
  <si>
    <t>r</t>
  </si>
  <si>
    <t>DPS</t>
  </si>
  <si>
    <t>درصد تقسیم سود</t>
  </si>
  <si>
    <t>eps 98</t>
  </si>
  <si>
    <t>نرخ  خریدچغندر</t>
  </si>
  <si>
    <t>مقدار چغندر مورد نیاز</t>
  </si>
  <si>
    <t>ضریب تبدیل چغندر به شکر</t>
  </si>
  <si>
    <t>مقدار تولید شکراز چغندر</t>
  </si>
  <si>
    <t>نرخ فروش شکر</t>
  </si>
  <si>
    <t>پیش بینی</t>
  </si>
  <si>
    <t>بر اساس تولید ماهیانه (چهار ماهه)</t>
  </si>
  <si>
    <t>میاگین چند ساله</t>
  </si>
  <si>
    <t>پنل</t>
  </si>
  <si>
    <t>سرمایه</t>
  </si>
  <si>
    <t>سود (زیان) خالص هر سهم– ریال</t>
  </si>
  <si>
    <t>سود (زیان) خالص</t>
  </si>
  <si>
    <t>سود (زیان) عملیات متوقف ‌شده پس از اثر مالیاتی</t>
  </si>
  <si>
    <t>سود (زیان) خالص عملیات در حال تداوم</t>
  </si>
  <si>
    <t>مالیات بر درآمد</t>
  </si>
  <si>
    <t>سود (زیان) عملیات در حال تداوم قبل از مالیات</t>
  </si>
  <si>
    <t>سایر درآمدها و هزینه‌های غیرعملیاتی- اقلام متفرقه</t>
  </si>
  <si>
    <t>سایر درآمدها و هزینه‌های غیرعملیاتی- درآمد سرمایه‌گذاری‌ها</t>
  </si>
  <si>
    <t>هزینه‌های مالی</t>
  </si>
  <si>
    <t>سود (زیان) عملیاتی</t>
  </si>
  <si>
    <t>سایر هزینه‌های عملیاتی</t>
  </si>
  <si>
    <t>سایر درآمدهای عملیاتی</t>
  </si>
  <si>
    <t>هزینه‌های فروش، اداری و عمومی</t>
  </si>
  <si>
    <t>سود (زیان) ناخالص</t>
  </si>
  <si>
    <t>بهای تمام ‌شده درآمدهای عملیاتی</t>
  </si>
  <si>
    <t>درآمدهای عملیاتی</t>
  </si>
  <si>
    <t>کارشناسی 98</t>
  </si>
  <si>
    <t>سال 97</t>
  </si>
  <si>
    <t>سال 96</t>
  </si>
  <si>
    <t xml:space="preserve">دوره منتهی به </t>
  </si>
  <si>
    <t xml:space="preserve">جمع </t>
  </si>
  <si>
    <t xml:space="preserve">ساير هزينه ها </t>
  </si>
  <si>
    <t xml:space="preserve">هزينه حمل و نقل و انتقال </t>
  </si>
  <si>
    <t xml:space="preserve">هزينه مطالبات مشکوک الوصول </t>
  </si>
  <si>
    <t xml:space="preserve">هزينه خریدخدمات </t>
  </si>
  <si>
    <t xml:space="preserve">حق العمل و کميسيون فروش </t>
  </si>
  <si>
    <t xml:space="preserve">هزينه تبليغات </t>
  </si>
  <si>
    <t xml:space="preserve">هزينه مواد مصرفي </t>
  </si>
  <si>
    <t xml:space="preserve">هزينه انرژي (آب، برق، گاز و سوخت) </t>
  </si>
  <si>
    <t xml:space="preserve">هزينه استهلاک </t>
  </si>
  <si>
    <t xml:space="preserve">هزينه حقوق و دستمزد </t>
  </si>
  <si>
    <t>کار شناسی نه ماهه 98</t>
  </si>
  <si>
    <t>سه ماهه 98</t>
  </si>
  <si>
    <t>سه ماهه 97</t>
  </si>
  <si>
    <t>هزينه هاي اداري، عمومي و فروش</t>
  </si>
  <si>
    <t>هزينه سربار</t>
  </si>
  <si>
    <t>شرح</t>
  </si>
  <si>
    <t xml:space="preserve">مواد بسته بندي </t>
  </si>
  <si>
    <t xml:space="preserve">چغندر </t>
  </si>
  <si>
    <t>کارشناسی نه ماهه</t>
  </si>
  <si>
    <t>سال 95</t>
  </si>
  <si>
    <t>نرخ  مواد اولیه</t>
  </si>
  <si>
    <t>جمع</t>
  </si>
  <si>
    <t>مبلغ مواد اولیه</t>
  </si>
  <si>
    <t>درصد تبدیل</t>
  </si>
  <si>
    <t>شکر تولیدی از چغندر</t>
  </si>
  <si>
    <t>مقدار مواد اولیه</t>
  </si>
  <si>
    <t xml:space="preserve">جمع بهاي تمام شده </t>
  </si>
  <si>
    <t xml:space="preserve">بهاي تمام شده خدمات ارايه شده </t>
  </si>
  <si>
    <t xml:space="preserve">بهاي تمام شده كالاي فروش رفته </t>
  </si>
  <si>
    <t xml:space="preserve">موجودي كالاي ساخته شده پايان دوره </t>
  </si>
  <si>
    <t xml:space="preserve">موجودي كالاي ساخته شده اول دوره </t>
  </si>
  <si>
    <t xml:space="preserve">بهاي تمام شده كالاي توليد شده </t>
  </si>
  <si>
    <t xml:space="preserve">ضايعات غيرعادي </t>
  </si>
  <si>
    <t xml:space="preserve">موجودي كالاي درجريان ساخت پايان دوره </t>
  </si>
  <si>
    <t xml:space="preserve">موجودي كالاي درجريان ساخت اول دوره </t>
  </si>
  <si>
    <t xml:space="preserve">جمع هزينه هاي توليد </t>
  </si>
  <si>
    <t xml:space="preserve">هزينه جذب نشده درتوليد </t>
  </si>
  <si>
    <t xml:space="preserve">سربارتوليد </t>
  </si>
  <si>
    <t xml:space="preserve">دستمزدمستقيم توليد </t>
  </si>
  <si>
    <t xml:space="preserve">مواد مستقيم مصرفي </t>
  </si>
  <si>
    <t xml:space="preserve"> ۱۳۹۸/۰۳/۳۱ </t>
  </si>
  <si>
    <t xml:space="preserve"> ۱۳۹۷/۱۲/۲۹ </t>
  </si>
  <si>
    <t>1397/03/31</t>
  </si>
  <si>
    <t>ملاس</t>
  </si>
  <si>
    <t>ساير</t>
  </si>
  <si>
    <t>تصفيه شکر خام (کارمزدي)</t>
  </si>
  <si>
    <t>تفاله خشک</t>
  </si>
  <si>
    <t>شکر خريداري</t>
  </si>
  <si>
    <t>شکر توليدي از شکر خام</t>
  </si>
  <si>
    <t>شکر توليدي از چغندر</t>
  </si>
  <si>
    <t>کارشناسی نه ماهه 98</t>
  </si>
  <si>
    <t>نه ماهه 97</t>
  </si>
  <si>
    <t>شش ماهه 97</t>
  </si>
  <si>
    <t>سال 94</t>
  </si>
  <si>
    <t>سال 93</t>
  </si>
  <si>
    <t>نرخ فروش</t>
  </si>
  <si>
    <t>مبلغ فروش</t>
  </si>
  <si>
    <t>مقدار فروش</t>
  </si>
  <si>
    <t>درصد تولید</t>
  </si>
  <si>
    <t>مقدارتولید</t>
  </si>
  <si>
    <t>شکرتوليدي از شکرخام خريداري</t>
  </si>
  <si>
    <t>تصفيه شکرخام به شکر سفيد (کارمزدي)</t>
  </si>
  <si>
    <t>مقدارفروش</t>
  </si>
  <si>
    <t>سال 92</t>
  </si>
  <si>
    <t>سه ماهه 96</t>
  </si>
  <si>
    <t>شش ماهه 96</t>
  </si>
  <si>
    <t>نه ماهه 96</t>
  </si>
  <si>
    <t xml:space="preserve">شکر صادراتي حاصل از شکرخام </t>
  </si>
  <si>
    <t>بهای تمام شده</t>
  </si>
  <si>
    <t>ظرفیت اسمی</t>
  </si>
  <si>
    <t>ظرفیت عملی</t>
  </si>
  <si>
    <t>مقدارمواداولیه</t>
  </si>
  <si>
    <t xml:space="preserve">چغندرقند </t>
  </si>
  <si>
    <t>مبلغ مواداولیه</t>
  </si>
  <si>
    <t>نرخ مواداولیه</t>
  </si>
  <si>
    <t xml:space="preserve">هزينه خدمات پس از فروش </t>
  </si>
  <si>
    <t>کارشناسی نه  ماه بعدی98</t>
  </si>
  <si>
    <t xml:space="preserve">سهم از مراکز خدماتی </t>
  </si>
  <si>
    <t>شکر سفيد توليدي از چغندر</t>
  </si>
  <si>
    <t>تصفيه شکر خام به شکر سفيد</t>
  </si>
  <si>
    <t>شکر سفيدحاصل از تصفيه شکر خام خريداري</t>
  </si>
  <si>
    <t>شکر سفيد خريداري</t>
  </si>
  <si>
    <t>تفاله تر</t>
  </si>
  <si>
    <t xml:space="preserve">تصفيه شکر خام به شکر سفيد </t>
  </si>
  <si>
    <t xml:space="preserve">شکر سفيدحاصل از تصفيه شکر خام خريداري </t>
  </si>
  <si>
    <t>شکر کارتني (خريداري)</t>
  </si>
  <si>
    <t>تفاله خشک سهميه چغندرکاران</t>
  </si>
  <si>
    <t>سال مالی</t>
  </si>
  <si>
    <t>1398/06/31</t>
  </si>
  <si>
    <t>92/06/31</t>
  </si>
  <si>
    <t>93/06/31</t>
  </si>
  <si>
    <t>94/06/31</t>
  </si>
  <si>
    <t>95/06/31</t>
  </si>
  <si>
    <t>95/09/30</t>
  </si>
  <si>
    <t>95/12/29</t>
  </si>
  <si>
    <t>96/06/31</t>
  </si>
  <si>
    <t>96/09/30</t>
  </si>
  <si>
    <t>96/12/29</t>
  </si>
  <si>
    <t>97/03/31</t>
  </si>
  <si>
    <t>97/06/31</t>
  </si>
  <si>
    <t>97/09/30</t>
  </si>
  <si>
    <t>97/12/29</t>
  </si>
  <si>
    <t>98/03/31</t>
  </si>
  <si>
    <t>سه ماهه پایانی</t>
  </si>
  <si>
    <t>98/06/31</t>
  </si>
  <si>
    <t>شش ماهه 98</t>
  </si>
  <si>
    <t>نه ماهه 98</t>
  </si>
  <si>
    <t>سال 98</t>
  </si>
  <si>
    <t xml:space="preserve">تفاله خشک </t>
  </si>
  <si>
    <t xml:space="preserve">تفاله تر </t>
  </si>
  <si>
    <t xml:space="preserve">ملاس </t>
  </si>
  <si>
    <t>96/03/31</t>
  </si>
  <si>
    <t>مبلغ رمواداولیه</t>
  </si>
  <si>
    <t>مصرف روزانه چغندر</t>
  </si>
  <si>
    <t>تصفیه  شکر خام</t>
  </si>
  <si>
    <t>1398/04/31</t>
  </si>
  <si>
    <t>سال 99</t>
  </si>
  <si>
    <t>کارشناسی سال 98</t>
  </si>
  <si>
    <t>98/04/31</t>
  </si>
  <si>
    <t>98/01/31</t>
  </si>
  <si>
    <t>97/10/30</t>
  </si>
  <si>
    <t>97/07/30</t>
  </si>
  <si>
    <t>97/04/31</t>
  </si>
  <si>
    <t>97/01/31</t>
  </si>
  <si>
    <t>96/10/30</t>
  </si>
  <si>
    <t>96/07/30</t>
  </si>
  <si>
    <t>96/04/31</t>
  </si>
  <si>
    <t>96/01/31</t>
  </si>
  <si>
    <t>95/10/30</t>
  </si>
  <si>
    <t>95/07/30</t>
  </si>
  <si>
    <t>95/04/31</t>
  </si>
  <si>
    <t>94/04/31</t>
  </si>
  <si>
    <t>93/04/31</t>
  </si>
  <si>
    <t>92/04/31</t>
  </si>
  <si>
    <t xml:space="preserve">شکر </t>
  </si>
  <si>
    <t xml:space="preserve">الکل </t>
  </si>
  <si>
    <t xml:space="preserve">ويناس </t>
  </si>
  <si>
    <t>هزینه سربار</t>
  </si>
  <si>
    <t>برآورد سه ماهه شرکت</t>
  </si>
  <si>
    <t>شکرتوليدي ازچغندرقند</t>
  </si>
  <si>
    <t>تصفيه شکرخام کارمزدي</t>
  </si>
  <si>
    <t>شکرصادراتي حاصل ازتصفيه شکرخام</t>
  </si>
  <si>
    <t xml:space="preserve">شکر سفيد </t>
  </si>
  <si>
    <t xml:space="preserve">تفاله خشک قلمي </t>
  </si>
  <si>
    <t xml:space="preserve">تفاله تر و ضايعات چغندر </t>
  </si>
  <si>
    <t xml:space="preserve">شکرچغندري </t>
  </si>
  <si>
    <t>درصد</t>
  </si>
  <si>
    <t>صورت سود وزیان</t>
  </si>
  <si>
    <t>مصرف داخلی</t>
  </si>
  <si>
    <t>حقوق ودستمزد ومزایا</t>
  </si>
  <si>
    <t>پذیرایی آبدارخانه وملزومات مصرفی</t>
  </si>
  <si>
    <t>حمل  ونقل محصول</t>
  </si>
  <si>
    <t>حق الزحمه</t>
  </si>
  <si>
    <t>حق عضویت تمدید پروانه ها و...</t>
  </si>
  <si>
    <t>استهلاک</t>
  </si>
  <si>
    <t>پاداش</t>
  </si>
  <si>
    <t>تعمیر ونگهداری دارایی های ثابت</t>
  </si>
  <si>
    <t>ایاب وذهاب</t>
  </si>
  <si>
    <t>بیمه دارایی های ثابت</t>
  </si>
  <si>
    <t>حق حضور</t>
  </si>
  <si>
    <t>سایر</t>
  </si>
  <si>
    <t>تعمیر ونگهداشت</t>
  </si>
  <si>
    <t>آب وبرق وسوخت</t>
  </si>
  <si>
    <t>مواد مصرفی غیر مستقیم وبسته بندی</t>
  </si>
  <si>
    <t>خدمات کارمزدی</t>
  </si>
  <si>
    <t>حق بیمه</t>
  </si>
  <si>
    <t>سایر اقلام</t>
  </si>
  <si>
    <t>خرید محصول</t>
  </si>
  <si>
    <t>p/s</t>
  </si>
  <si>
    <t>p/d</t>
  </si>
  <si>
    <t>p/b</t>
  </si>
  <si>
    <t>بر اساس سه ماهه 98(تناسب)</t>
  </si>
  <si>
    <t>ضریب فروش شکر به تولیدشکر</t>
  </si>
  <si>
    <t>آخرین معامله</t>
  </si>
  <si>
    <t>قیمت پایانی</t>
  </si>
  <si>
    <t>نماد</t>
  </si>
  <si>
    <t>نام</t>
  </si>
  <si>
    <t>تعداد</t>
  </si>
  <si>
    <t>حجم</t>
  </si>
  <si>
    <t>ارزش</t>
  </si>
  <si>
    <t>دیروز</t>
  </si>
  <si>
    <t>اولین</t>
  </si>
  <si>
    <t>مقدار</t>
  </si>
  <si>
    <t>تغییر</t>
  </si>
  <si>
    <t>کمترین</t>
  </si>
  <si>
    <t>بیشترین</t>
  </si>
  <si>
    <t>eps</t>
  </si>
  <si>
    <t xml:space="preserve"> 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</si>
  <si>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</si>
  <si>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</si>
  <si>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</si>
  <si>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</si>
  <si>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</si>
  <si>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</si>
  <si>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</si>
  <si>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</si>
  <si>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</si>
  <si>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</si>
  <si>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</si>
  <si>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</si>
  <si>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</si>
  <si>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</si>
  <si>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</si>
  <si>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</si>
  <si>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</si>
  <si>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</si>
  <si>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</si>
  <si>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</si>
  <si>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</si>
  <si>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22</t>
  </si>
  <si>
    <t>EPS</t>
  </si>
  <si>
    <t>P/E</t>
  </si>
  <si>
    <t>خاذينح</t>
  </si>
  <si>
    <t>ح . سايپاآذين‌</t>
  </si>
  <si>
    <t>جكانه806</t>
  </si>
  <si>
    <t>آتي ش كانه هاي فلزي-1398/06/13</t>
  </si>
  <si>
    <t>تملي612</t>
  </si>
  <si>
    <t>تسهيلات مسكن بانك ملي-اسفند96</t>
  </si>
  <si>
    <t>ضغدر8001</t>
  </si>
  <si>
    <t>اختيارخ وغدير-1900-1398/08/22</t>
  </si>
  <si>
    <t>فسا</t>
  </si>
  <si>
    <t>پتروشيمي فسا</t>
  </si>
  <si>
    <t>12</t>
  </si>
  <si>
    <t>ضپنا1012</t>
  </si>
  <si>
    <t>تسه9705</t>
  </si>
  <si>
    <t>امتياز تسهيلات مسكن مرداد97</t>
  </si>
  <si>
    <t>فرآور</t>
  </si>
  <si>
    <t>فرآوري‌موادمعدني‌ايران‌</t>
  </si>
  <si>
    <t>4432</t>
  </si>
  <si>
    <t>8.23</t>
  </si>
  <si>
    <t>اوانح</t>
  </si>
  <si>
    <t>ح . مبين وان كيش</t>
  </si>
  <si>
    <t>ضمخا7012</t>
  </si>
  <si>
    <t>اختيارخ اخابر-2784-1398/07/10</t>
  </si>
  <si>
    <t>ضمخا1013</t>
  </si>
  <si>
    <t>اختيارخ اخابر-3800-1398/10/11</t>
  </si>
  <si>
    <t>سبزوا</t>
  </si>
  <si>
    <t>سيمان لار سبزوار</t>
  </si>
  <si>
    <t>776</t>
  </si>
  <si>
    <t>7.26</t>
  </si>
  <si>
    <t>اروند01</t>
  </si>
  <si>
    <t>منفعت صبا اروند اميد14001113</t>
  </si>
  <si>
    <t>لپيام</t>
  </si>
  <si>
    <t>گسترش صنايع پيام</t>
  </si>
  <si>
    <t>-61</t>
  </si>
  <si>
    <t>ثنام</t>
  </si>
  <si>
    <t>س ساختماني ب نام آوران مهندسي</t>
  </si>
  <si>
    <t>33</t>
  </si>
  <si>
    <t>شستا994</t>
  </si>
  <si>
    <t>اجاره تامين اجتماعي-نوين991226</t>
  </si>
  <si>
    <t>حپارسا</t>
  </si>
  <si>
    <t>توسعه حمل و نقل ريلي پارسيان</t>
  </si>
  <si>
    <t>451</t>
  </si>
  <si>
    <t>ضمعا7007</t>
  </si>
  <si>
    <t>اختيارخ ومعادن-4800-1398/07/17</t>
  </si>
  <si>
    <t>مترو9812</t>
  </si>
  <si>
    <t>مشاركت شهرداري تهران-3ماهه18%</t>
  </si>
  <si>
    <t>ضمخا1009</t>
  </si>
  <si>
    <t>اختيارخ اخابر-3184-1398/10/11</t>
  </si>
  <si>
    <t>وآذر</t>
  </si>
  <si>
    <t>سرمايه‌گذاري‌توسعه‌آذربايجان‌</t>
  </si>
  <si>
    <t>-65</t>
  </si>
  <si>
    <t>ضپيك7009</t>
  </si>
  <si>
    <t>8.87</t>
  </si>
  <si>
    <t>رايان911</t>
  </si>
  <si>
    <t>مشاركت رايان سايپا-3ماهه18%</t>
  </si>
  <si>
    <t>تملي803</t>
  </si>
  <si>
    <t>تسهيلات مسكن ب. ملي-خرداد98</t>
  </si>
  <si>
    <t>البرز02</t>
  </si>
  <si>
    <t>اجاره ريلي البرزنيرو14020514</t>
  </si>
  <si>
    <t>تسه9803</t>
  </si>
  <si>
    <t>امتياز تسهيلات مسكن خرداد98</t>
  </si>
  <si>
    <t>سبهانح</t>
  </si>
  <si>
    <t>ح . سيمان‌ بهبهان‌</t>
  </si>
  <si>
    <t>اعتلاح</t>
  </si>
  <si>
    <t>ح سرمايه گذاري اعتلاء البرز</t>
  </si>
  <si>
    <t>تملي712</t>
  </si>
  <si>
    <t>تسهيلات مسكن ب. ملي-اسفند97</t>
  </si>
  <si>
    <t>غدام</t>
  </si>
  <si>
    <t>خوراك‌  دام‌ پارس‌</t>
  </si>
  <si>
    <t>2043</t>
  </si>
  <si>
    <t>وسپه</t>
  </si>
  <si>
    <t>سرمايه‌گذاري‌ سپه‌</t>
  </si>
  <si>
    <t>424</t>
  </si>
  <si>
    <t>غدشت</t>
  </si>
  <si>
    <t>دشت‌ مرغاب‌</t>
  </si>
  <si>
    <t>خزاميا</t>
  </si>
  <si>
    <t>زامياد</t>
  </si>
  <si>
    <t>-122</t>
  </si>
  <si>
    <t>صايپا112</t>
  </si>
  <si>
    <t>صكوك مرابحه سايپا112-3ماهه 16%</t>
  </si>
  <si>
    <t>اجاد23</t>
  </si>
  <si>
    <t>اجاره دولتي آپرورش-ملت991118</t>
  </si>
  <si>
    <t>ضپيك7008</t>
  </si>
  <si>
    <t>اجاد25</t>
  </si>
  <si>
    <t>اجاره دولتي آپرورش-سپهر991118</t>
  </si>
  <si>
    <t>وتوصا</t>
  </si>
  <si>
    <t>گروه س توسعه صنعتي ايران</t>
  </si>
  <si>
    <t>359</t>
  </si>
  <si>
    <t>385</t>
  </si>
  <si>
    <t>وايران</t>
  </si>
  <si>
    <t>ليزينگ ايرانيان</t>
  </si>
  <si>
    <t>277</t>
  </si>
  <si>
    <t>شستان</t>
  </si>
  <si>
    <t>پتروشيمي گلستان</t>
  </si>
  <si>
    <t>-4</t>
  </si>
  <si>
    <t>مكرج112</t>
  </si>
  <si>
    <t>مشاركت شهرداري كرج-3ماهه18%</t>
  </si>
  <si>
    <t>ضشنا7043</t>
  </si>
  <si>
    <t>اختيارخ شپنا-13200-1398/07/21</t>
  </si>
  <si>
    <t>ضپنا7015</t>
  </si>
  <si>
    <t>غديس</t>
  </si>
  <si>
    <t>پاكديس</t>
  </si>
  <si>
    <t>475</t>
  </si>
  <si>
    <t>شوينده</t>
  </si>
  <si>
    <t>مديريت صنعت شوينده ت.ص.بهشهر</t>
  </si>
  <si>
    <t>844</t>
  </si>
  <si>
    <t>كدما</t>
  </si>
  <si>
    <t>معدني‌ دماوند</t>
  </si>
  <si>
    <t>1715</t>
  </si>
  <si>
    <t>تكنو</t>
  </si>
  <si>
    <t>تكنوتار</t>
  </si>
  <si>
    <t>6</t>
  </si>
  <si>
    <t>حتايد</t>
  </si>
  <si>
    <t>تايدواترخاورميانه</t>
  </si>
  <si>
    <t>2024</t>
  </si>
  <si>
    <t>7.04</t>
  </si>
  <si>
    <t>ضخود1028</t>
  </si>
  <si>
    <t>اختيارخ خودرو-6000-1398/10/15</t>
  </si>
  <si>
    <t>رتكو</t>
  </si>
  <si>
    <t>كنترل‌خوردگي‌تكين‌كو</t>
  </si>
  <si>
    <t>378</t>
  </si>
  <si>
    <t>تملي706</t>
  </si>
  <si>
    <t>تسهيلات مسكن ب. ملي-شهريور97</t>
  </si>
  <si>
    <t>ضشنا1030</t>
  </si>
  <si>
    <t>اختيارخ شپنا-14200-1398/10/22</t>
  </si>
  <si>
    <t>ضچاد1009</t>
  </si>
  <si>
    <t>اختيارخ كچاد-5800-1398/10/04</t>
  </si>
  <si>
    <t>ثمسكن</t>
  </si>
  <si>
    <t>سرمايه‌گذاري‌ مسكن‌</t>
  </si>
  <si>
    <t>68</t>
  </si>
  <si>
    <t>صايپا908</t>
  </si>
  <si>
    <t>صكوك مرابحه سايپا908-3ماهه 18%</t>
  </si>
  <si>
    <t>فبستم</t>
  </si>
  <si>
    <t>صنايع ‌بسته‌بندي‌ مشهد</t>
  </si>
  <si>
    <t>106</t>
  </si>
  <si>
    <t>15.3</t>
  </si>
  <si>
    <t>مفاخر</t>
  </si>
  <si>
    <t>توسعه فناوري اطلاعات خوارزمي</t>
  </si>
  <si>
    <t>96</t>
  </si>
  <si>
    <t>قرن99</t>
  </si>
  <si>
    <t>مرابحه پديده شيمي قرن990701</t>
  </si>
  <si>
    <t>دلر</t>
  </si>
  <si>
    <t>داروسازي‌ اكسير</t>
  </si>
  <si>
    <t>3265</t>
  </si>
  <si>
    <t>سخاش</t>
  </si>
  <si>
    <t>سيمان‌خاش‌</t>
  </si>
  <si>
    <t>1888</t>
  </si>
  <si>
    <t>زماهان</t>
  </si>
  <si>
    <t>مجتمع توليد گوشت مرغ ماهان</t>
  </si>
  <si>
    <t>472</t>
  </si>
  <si>
    <t>سفانو</t>
  </si>
  <si>
    <t>سيمان فارس نو</t>
  </si>
  <si>
    <t>2016</t>
  </si>
  <si>
    <t>ساراب</t>
  </si>
  <si>
    <t>سيمان‌ داراب‌</t>
  </si>
  <si>
    <t>كسرا</t>
  </si>
  <si>
    <t>سراميك‌هاي‌صنعتي‌اردكان‌</t>
  </si>
  <si>
    <t>496</t>
  </si>
  <si>
    <t>اجاد21</t>
  </si>
  <si>
    <t>اجاره دولتي آپرورش-تمدن991118</t>
  </si>
  <si>
    <t>فخاس</t>
  </si>
  <si>
    <t>فولاد خراسان</t>
  </si>
  <si>
    <t>543</t>
  </si>
  <si>
    <t>خپويش</t>
  </si>
  <si>
    <t>سازه‌ پويش‌</t>
  </si>
  <si>
    <t>4425</t>
  </si>
  <si>
    <t>كاما</t>
  </si>
  <si>
    <t>باما</t>
  </si>
  <si>
    <t>2501</t>
  </si>
  <si>
    <t>زمگسا</t>
  </si>
  <si>
    <t>كشاورزي‌ ودامپروي‌ مگسال‌</t>
  </si>
  <si>
    <t>615</t>
  </si>
  <si>
    <t>اخزا722</t>
  </si>
  <si>
    <t>اسنادخزانه-م22بودجه97-000428</t>
  </si>
  <si>
    <t>لپارس</t>
  </si>
  <si>
    <t>پارس‌ الكتريك‌</t>
  </si>
  <si>
    <t>1252</t>
  </si>
  <si>
    <t>داوه</t>
  </si>
  <si>
    <t>داروسازي آوه سينا</t>
  </si>
  <si>
    <t>372</t>
  </si>
  <si>
    <t>ضپار8002</t>
  </si>
  <si>
    <t>اختيارخ خپارس-1000-1398/08/14</t>
  </si>
  <si>
    <t>زفكا</t>
  </si>
  <si>
    <t>كشت و دامداري فكا</t>
  </si>
  <si>
    <t>1585</t>
  </si>
  <si>
    <t>غمينو</t>
  </si>
  <si>
    <t>شركت صنايع غذايي مينو شرق</t>
  </si>
  <si>
    <t>648</t>
  </si>
  <si>
    <t>حريل</t>
  </si>
  <si>
    <t>ريل پردازسير</t>
  </si>
  <si>
    <t>145</t>
  </si>
  <si>
    <t>تسه9802</t>
  </si>
  <si>
    <t>امتياز تسهيلات مسكن ارديبهشت98</t>
  </si>
  <si>
    <t>دسبحان</t>
  </si>
  <si>
    <t>سبحان دارو</t>
  </si>
  <si>
    <t>775</t>
  </si>
  <si>
    <t>ضشنا1028</t>
  </si>
  <si>
    <t>اختيارخ شپنا-12200-1398/10/22</t>
  </si>
  <si>
    <t>جشكر809</t>
  </si>
  <si>
    <t>آتي ش قند و شكر-1398/09/30</t>
  </si>
  <si>
    <t>ثشرق</t>
  </si>
  <si>
    <t>سرمايه گذاري مسكن شمال شرق</t>
  </si>
  <si>
    <t>119</t>
  </si>
  <si>
    <t>پارس</t>
  </si>
  <si>
    <t>پتروشيمي پارس</t>
  </si>
  <si>
    <t>11672</t>
  </si>
  <si>
    <t>غمهرا</t>
  </si>
  <si>
    <t>توليدي‌مهرام‌</t>
  </si>
  <si>
    <t>626</t>
  </si>
  <si>
    <t>ضخوز1005</t>
  </si>
  <si>
    <t>اختيارخ فخوز-8500-1398/10/30</t>
  </si>
  <si>
    <t>ضپنا1009</t>
  </si>
  <si>
    <t>خعمرا</t>
  </si>
  <si>
    <t>توسعه و عمران شهرستان نائين</t>
  </si>
  <si>
    <t>-77</t>
  </si>
  <si>
    <t>-63.64</t>
  </si>
  <si>
    <t>ريشمك</t>
  </si>
  <si>
    <t>توليد و صادرات ريشمك</t>
  </si>
  <si>
    <t>1705</t>
  </si>
  <si>
    <t>سشمال</t>
  </si>
  <si>
    <t>سيمان‌ شمال‌</t>
  </si>
  <si>
    <t>210</t>
  </si>
  <si>
    <t>ضملي1133</t>
  </si>
  <si>
    <t>اختيارخ فملي -4050-1398/11/16</t>
  </si>
  <si>
    <t>ومعلم</t>
  </si>
  <si>
    <t>بيمه معلم</t>
  </si>
  <si>
    <t>215</t>
  </si>
  <si>
    <t>شستا002</t>
  </si>
  <si>
    <t>اجاره تامين اجتماعي-تمدن000523</t>
  </si>
  <si>
    <t>وپخش</t>
  </si>
  <si>
    <t>داروپخش‌ (هلدينگ‌</t>
  </si>
  <si>
    <t>3520</t>
  </si>
  <si>
    <t>پكوير</t>
  </si>
  <si>
    <t>كوير تاير</t>
  </si>
  <si>
    <t>115</t>
  </si>
  <si>
    <t>كاسپينح</t>
  </si>
  <si>
    <t>ح .داروسازي كاسپين تامين</t>
  </si>
  <si>
    <t>ضمعا1007</t>
  </si>
  <si>
    <t>اختيارخ ومعادن-4800-1398/10/18</t>
  </si>
  <si>
    <t>زكشت</t>
  </si>
  <si>
    <t>كشاورزي مكانيزه اصفهان كشت</t>
  </si>
  <si>
    <t>762</t>
  </si>
  <si>
    <t>ورنا</t>
  </si>
  <si>
    <t>سرمايه‌گذاري‌ رنا(هلدينگ‌</t>
  </si>
  <si>
    <t>97</t>
  </si>
  <si>
    <t>وخارزم</t>
  </si>
  <si>
    <t>سرمايه گذاري خوارزمي</t>
  </si>
  <si>
    <t>103</t>
  </si>
  <si>
    <t>خمحور</t>
  </si>
  <si>
    <t>توليدمحورخودرو</t>
  </si>
  <si>
    <t>108</t>
  </si>
  <si>
    <t>117</t>
  </si>
  <si>
    <t>ثاصفا</t>
  </si>
  <si>
    <t>شركت‌ ساختمان‌ اصفهان‌</t>
  </si>
  <si>
    <t>-58</t>
  </si>
  <si>
    <t>ممسني</t>
  </si>
  <si>
    <t>پتروشيمي ممسني</t>
  </si>
  <si>
    <t>-5</t>
  </si>
  <si>
    <t>شاراك</t>
  </si>
  <si>
    <t>پتروشيمي شازند</t>
  </si>
  <si>
    <t>1833</t>
  </si>
  <si>
    <t>شرق1400</t>
  </si>
  <si>
    <t>مشاركت ليزينگ ايران وشرق140010</t>
  </si>
  <si>
    <t>شپنا</t>
  </si>
  <si>
    <t>پالايش نفت اصفهان</t>
  </si>
  <si>
    <t>3110</t>
  </si>
  <si>
    <t>توسعه</t>
  </si>
  <si>
    <t>اعتباري توسعه</t>
  </si>
  <si>
    <t>188</t>
  </si>
  <si>
    <t>اشاد1</t>
  </si>
  <si>
    <t>مشاركت دولتي1-شرايط خاص001026</t>
  </si>
  <si>
    <t>وگردش</t>
  </si>
  <si>
    <t>بانك گردشگري</t>
  </si>
  <si>
    <t>549</t>
  </si>
  <si>
    <t>ماهان99</t>
  </si>
  <si>
    <t>اجاره هواپيمايي ماهان 9903</t>
  </si>
  <si>
    <t>اشاد3</t>
  </si>
  <si>
    <t>مشاركت دولتي3-شرايط خاص980713</t>
  </si>
  <si>
    <t>ضملي1135</t>
  </si>
  <si>
    <t>اختيارخ فملي -4450-1398/11/16</t>
  </si>
  <si>
    <t>كرمان98</t>
  </si>
  <si>
    <t>مرابحه كرمان موتور 980912</t>
  </si>
  <si>
    <t>ضسان7038</t>
  </si>
  <si>
    <t>اختيارخ پارسان-6000-1398/07/24</t>
  </si>
  <si>
    <t>شستا992</t>
  </si>
  <si>
    <t>اجاره تامين اجتماعي-سپهر991226</t>
  </si>
  <si>
    <t>اخزا606</t>
  </si>
  <si>
    <t>اسنادخزانه-م6بودجه96-980722</t>
  </si>
  <si>
    <t>ضجار7000</t>
  </si>
  <si>
    <t>اختيارخ وتجارت-300-1398/07/07</t>
  </si>
  <si>
    <t>بالاس</t>
  </si>
  <si>
    <t>مهندسي ساختمان تاسيسات راه آهن</t>
  </si>
  <si>
    <t>383</t>
  </si>
  <si>
    <t>جشيمي806</t>
  </si>
  <si>
    <t>آتي ش شيميايي-1398/06/25</t>
  </si>
  <si>
    <t>دزهراوي</t>
  </si>
  <si>
    <t>داروسازي‌زهراوي‌</t>
  </si>
  <si>
    <t>-128</t>
  </si>
  <si>
    <t>كطبس</t>
  </si>
  <si>
    <t>ذغال‌سنگ‌ نگين‌ ط‌بس‌</t>
  </si>
  <si>
    <t>1054</t>
  </si>
  <si>
    <t>فسپا</t>
  </si>
  <si>
    <t>گروه‌صنعتي‌سپاهان‌</t>
  </si>
  <si>
    <t>1821</t>
  </si>
  <si>
    <t>وايرا</t>
  </si>
  <si>
    <t>سرمايه گذاري صنايع ايران</t>
  </si>
  <si>
    <t>334</t>
  </si>
  <si>
    <t>ذوب</t>
  </si>
  <si>
    <t>سهامي ذوب آهن  اصفهان</t>
  </si>
  <si>
    <t>157</t>
  </si>
  <si>
    <t>جشكر812</t>
  </si>
  <si>
    <t>آتي ش قند و شكر-1398/12/21</t>
  </si>
  <si>
    <t>زعف9808پ05</t>
  </si>
  <si>
    <t>زعفران9808نگين زرين(پ)</t>
  </si>
  <si>
    <t>پارسيان</t>
  </si>
  <si>
    <t>بيمه پارسيان</t>
  </si>
  <si>
    <t>214</t>
  </si>
  <si>
    <t>وپاسار</t>
  </si>
  <si>
    <t>بانك  پاسارگاد</t>
  </si>
  <si>
    <t>599</t>
  </si>
  <si>
    <t>اخزا715</t>
  </si>
  <si>
    <t>اسنادخزانه-م15بودجه97-990224</t>
  </si>
  <si>
    <t>كپارس</t>
  </si>
  <si>
    <t>كاشي‌ پارس‌</t>
  </si>
  <si>
    <t>1427</t>
  </si>
  <si>
    <t>10</t>
  </si>
  <si>
    <t>وشمال</t>
  </si>
  <si>
    <t>س. چشم انداز توسعه شمال</t>
  </si>
  <si>
    <t>-60</t>
  </si>
  <si>
    <t>زعف9808پ10</t>
  </si>
  <si>
    <t>زعفران9808نگين طلاي سرخ(پ)</t>
  </si>
  <si>
    <t>دتوليدح</t>
  </si>
  <si>
    <t>ح. داروسازي توليد دارو</t>
  </si>
  <si>
    <t>زگلدشت</t>
  </si>
  <si>
    <t>كشت و دام گلدشت نمونه اصفهان</t>
  </si>
  <si>
    <t>1502</t>
  </si>
  <si>
    <t>پسهند</t>
  </si>
  <si>
    <t>صنايع‌ لاستيكي‌  سهند</t>
  </si>
  <si>
    <t>329</t>
  </si>
  <si>
    <t>نگين</t>
  </si>
  <si>
    <t>ص.س. زمين و ساختمان نگين شهرري</t>
  </si>
  <si>
    <t>لوتوس99</t>
  </si>
  <si>
    <t>اجاره لوتوس پارسيان990717</t>
  </si>
  <si>
    <t>سصفها</t>
  </si>
  <si>
    <t>سيمان‌اصفهان‌</t>
  </si>
  <si>
    <t>539</t>
  </si>
  <si>
    <t>تسه9710</t>
  </si>
  <si>
    <t>امتياز تسهيلات مسكن دي 97</t>
  </si>
  <si>
    <t>كابگن</t>
  </si>
  <si>
    <t>توليدي و صنعتي آبگينه‌</t>
  </si>
  <si>
    <t>-1072</t>
  </si>
  <si>
    <t>-3</t>
  </si>
  <si>
    <t>ضخود1030</t>
  </si>
  <si>
    <t>اختيارخ خودرو-7000-1398/10/15</t>
  </si>
  <si>
    <t>فيروزا</t>
  </si>
  <si>
    <t>صندوق بادرآمد ثابت فيروزه آسيا</t>
  </si>
  <si>
    <t>قاروم</t>
  </si>
  <si>
    <t>قند اروميه</t>
  </si>
  <si>
    <t>1429</t>
  </si>
  <si>
    <t>2.44</t>
  </si>
  <si>
    <t>تسه9608</t>
  </si>
  <si>
    <t>امتياز تسهيلات مسكن آبان96</t>
  </si>
  <si>
    <t>اشاد7</t>
  </si>
  <si>
    <t>مشاركت دولتي7-شرايط خاص981227</t>
  </si>
  <si>
    <t>وسكاب</t>
  </si>
  <si>
    <t>سرمايه گذاري نور كوثر ايرانيان</t>
  </si>
  <si>
    <t>528</t>
  </si>
  <si>
    <t>تسه9701</t>
  </si>
  <si>
    <t>امتياز تسهيلات مسكن فروردين97</t>
  </si>
  <si>
    <t>دبالكح</t>
  </si>
  <si>
    <t>ح.مواد اوليه دارويي البرز بالك</t>
  </si>
  <si>
    <t>ولملت</t>
  </si>
  <si>
    <t>واسپاري ملت</t>
  </si>
  <si>
    <t>اطلس</t>
  </si>
  <si>
    <t>صندوق س.توسعه اندوخته آينده-س</t>
  </si>
  <si>
    <t>دسينا</t>
  </si>
  <si>
    <t>داروسازي‌ سينا</t>
  </si>
  <si>
    <t>1027</t>
  </si>
  <si>
    <t>ضفلا1143</t>
  </si>
  <si>
    <t>اختيارخ فولاد-4700-1398/11/27</t>
  </si>
  <si>
    <t>شپاكسا</t>
  </si>
  <si>
    <t>پاكسان‌</t>
  </si>
  <si>
    <t>1526</t>
  </si>
  <si>
    <t>جفلز806</t>
  </si>
  <si>
    <t>آتي ش فلزات اساسي-1398/06/23</t>
  </si>
  <si>
    <t>وبيمه</t>
  </si>
  <si>
    <t>سرمايه‌ گذاري‌ صنعت‌ بيمه‌</t>
  </si>
  <si>
    <t>179</t>
  </si>
  <si>
    <t>ضجار1001</t>
  </si>
  <si>
    <t>اختيارخ وتجارت-400-1398/10/08</t>
  </si>
  <si>
    <t>ضملي8043</t>
  </si>
  <si>
    <t>اختيارخ فملي -4450-1398/08/19</t>
  </si>
  <si>
    <t>اروند10</t>
  </si>
  <si>
    <t>منفعت صبا اروند لوتوس 14001222</t>
  </si>
  <si>
    <t>سرود</t>
  </si>
  <si>
    <t>سيمان‌شاهرود</t>
  </si>
  <si>
    <t>219</t>
  </si>
  <si>
    <t>زنجان</t>
  </si>
  <si>
    <t>صنايع كشاورزي وكود زنجان</t>
  </si>
  <si>
    <t>چدن</t>
  </si>
  <si>
    <t>توليدي چدن سازان</t>
  </si>
  <si>
    <t>1162</t>
  </si>
  <si>
    <t>چكاپا</t>
  </si>
  <si>
    <t>گروه  صنايع كاغذ پارس</t>
  </si>
  <si>
    <t>627</t>
  </si>
  <si>
    <t>داسوه</t>
  </si>
  <si>
    <t>داروسازي‌ اسوه‌</t>
  </si>
  <si>
    <t>911</t>
  </si>
  <si>
    <t>12.16</t>
  </si>
  <si>
    <t>پتروشيمي‌شيراز</t>
  </si>
  <si>
    <t>1893</t>
  </si>
  <si>
    <t>پخش</t>
  </si>
  <si>
    <t>پخش البرز</t>
  </si>
  <si>
    <t>643</t>
  </si>
  <si>
    <t>بهپاك</t>
  </si>
  <si>
    <t>صنعتي بهپاك</t>
  </si>
  <si>
    <t>817</t>
  </si>
  <si>
    <t>خريخت</t>
  </si>
  <si>
    <t>صنايع‌ريخته‌گري‌ايران‌</t>
  </si>
  <si>
    <t>-38</t>
  </si>
  <si>
    <t>ثقزوي</t>
  </si>
  <si>
    <t>شركت عمران و سازندگي قزوين</t>
  </si>
  <si>
    <t>-241</t>
  </si>
  <si>
    <t>سصوفي</t>
  </si>
  <si>
    <t>سيمان‌ صوفيان‌</t>
  </si>
  <si>
    <t>90</t>
  </si>
  <si>
    <t>زاگرس</t>
  </si>
  <si>
    <t>پتروشيمي زاگرس</t>
  </si>
  <si>
    <t>20787</t>
  </si>
  <si>
    <t>درهآور</t>
  </si>
  <si>
    <t>دارويي ره آورد تامين</t>
  </si>
  <si>
    <t>406</t>
  </si>
  <si>
    <t>ضپيك1009</t>
  </si>
  <si>
    <t>ضگل8045</t>
  </si>
  <si>
    <t>اختيارخ كگل-7420-1398/08/22</t>
  </si>
  <si>
    <t>ملت</t>
  </si>
  <si>
    <t>بيمه ملت</t>
  </si>
  <si>
    <t>297</t>
  </si>
  <si>
    <t>سلامت6</t>
  </si>
  <si>
    <t>مرابحه سلامت6واجدشرايط خاص1400</t>
  </si>
  <si>
    <t>وبشهر</t>
  </si>
  <si>
    <t>توسعه‌ صنايع‌ بهشهر(هلدينگ</t>
  </si>
  <si>
    <t>387</t>
  </si>
  <si>
    <t>ضبدر1138</t>
  </si>
  <si>
    <t>اختيارخ شبندر-16300-1398/11/13</t>
  </si>
  <si>
    <t>شنفت</t>
  </si>
  <si>
    <t>نفت‌ پارس‌</t>
  </si>
  <si>
    <t>1889</t>
  </si>
  <si>
    <t>شاملاح</t>
  </si>
  <si>
    <t>ح . معدني‌ املاح‌  ايران‌</t>
  </si>
  <si>
    <t>سنير</t>
  </si>
  <si>
    <t>سيمان‌ سفيد ني‌ريز</t>
  </si>
  <si>
    <t>1134</t>
  </si>
  <si>
    <t>غگلپا</t>
  </si>
  <si>
    <t>شير پاستوريزه پگاه گلپايگان</t>
  </si>
  <si>
    <t>1583</t>
  </si>
  <si>
    <t>قهكمت</t>
  </si>
  <si>
    <t>قندهكمتان‌</t>
  </si>
  <si>
    <t>2136</t>
  </si>
  <si>
    <t>سيلام</t>
  </si>
  <si>
    <t>سيمان‌ ايلام‌</t>
  </si>
  <si>
    <t>46</t>
  </si>
  <si>
    <t>اشاد6</t>
  </si>
  <si>
    <t>مشاركت دولتي6-شرايط خاص981201</t>
  </si>
  <si>
    <t>فولاي</t>
  </si>
  <si>
    <t>صنايع فولاد آلياژي يزد</t>
  </si>
  <si>
    <t>464</t>
  </si>
  <si>
    <t>وآداك</t>
  </si>
  <si>
    <t>صنعت و تجارت آداك</t>
  </si>
  <si>
    <t>خلنت</t>
  </si>
  <si>
    <t>لنت‌ ترمزايران‌</t>
  </si>
  <si>
    <t>1182</t>
  </si>
  <si>
    <t>پرديس</t>
  </si>
  <si>
    <t>سرمايه گذاري پرديس</t>
  </si>
  <si>
    <t>753</t>
  </si>
  <si>
    <t>تسه9801</t>
  </si>
  <si>
    <t>امتياز تسهيلات مسكن فروردين98</t>
  </si>
  <si>
    <t>قزوين</t>
  </si>
  <si>
    <t>كارخانجات‌ قند قزوين‌</t>
  </si>
  <si>
    <t>1074</t>
  </si>
  <si>
    <t>ضفلا8052</t>
  </si>
  <si>
    <t>اختيارخ فولاد-6200-1398/08/26</t>
  </si>
  <si>
    <t>صشرق99</t>
  </si>
  <si>
    <t>مرابحه سيمان شرق 990109</t>
  </si>
  <si>
    <t>افق ملت</t>
  </si>
  <si>
    <t>صندوق س در سهام افق ملت</t>
  </si>
  <si>
    <t>سكرما</t>
  </si>
  <si>
    <t>سيمان‌ كرمان‌</t>
  </si>
  <si>
    <t>587</t>
  </si>
  <si>
    <t>سفارس</t>
  </si>
  <si>
    <t>سيمان فارس و خوزستان</t>
  </si>
  <si>
    <t>264</t>
  </si>
  <si>
    <t>ثعمرا</t>
  </si>
  <si>
    <t>عمران و توسعه شاهد</t>
  </si>
  <si>
    <t>85</t>
  </si>
  <si>
    <t>ضملي8045</t>
  </si>
  <si>
    <t>اختيارخ فملي -4850-1398/08/19</t>
  </si>
  <si>
    <t>ماديرا</t>
  </si>
  <si>
    <t>صنايع ماشين هاي اداري ايران</t>
  </si>
  <si>
    <t>1917</t>
  </si>
  <si>
    <t>سكارون</t>
  </si>
  <si>
    <t>سيمان كارون</t>
  </si>
  <si>
    <t>-1346</t>
  </si>
  <si>
    <t>ساروم</t>
  </si>
  <si>
    <t>سيمان‌اروميه‌</t>
  </si>
  <si>
    <t>740</t>
  </si>
  <si>
    <t>ضسان1025</t>
  </si>
  <si>
    <t>اختيارخ پارسان-6000-1398/10/25</t>
  </si>
  <si>
    <t>اجاد27</t>
  </si>
  <si>
    <t>اجاره دولت آپرورش-كاردان991118</t>
  </si>
  <si>
    <t>افاد1</t>
  </si>
  <si>
    <t>منفعت دولت-با شرايط خاص140006</t>
  </si>
  <si>
    <t>خاور</t>
  </si>
  <si>
    <t>ايران خودرو ديزل</t>
  </si>
  <si>
    <t>-3054</t>
  </si>
  <si>
    <t>غفارس</t>
  </si>
  <si>
    <t>شير پاستوريزه پگاه فارس</t>
  </si>
  <si>
    <t>619</t>
  </si>
  <si>
    <t>ضبدر8032</t>
  </si>
  <si>
    <t>اختيارخ شبندر-14300-1398/08/14</t>
  </si>
  <si>
    <t>سايپا ديزل</t>
  </si>
  <si>
    <t>-2331</t>
  </si>
  <si>
    <t>ضخود7032</t>
  </si>
  <si>
    <t>اختيارخ خودرو-7000-1398/07/14</t>
  </si>
  <si>
    <t>بميلا</t>
  </si>
  <si>
    <t>توسعه بازرگاني آهن وفولادميلاد</t>
  </si>
  <si>
    <t>930</t>
  </si>
  <si>
    <t>7.22</t>
  </si>
  <si>
    <t>ضغدر1107</t>
  </si>
  <si>
    <t>اختيارخ وغدير-3000-1398/11/20</t>
  </si>
  <si>
    <t>ثالوند</t>
  </si>
  <si>
    <t>سرمايه گذاري مسكن الوند</t>
  </si>
  <si>
    <t>393</t>
  </si>
  <si>
    <t>ضبدر8033</t>
  </si>
  <si>
    <t>اختيارخ شبندر-15300-1398/08/14</t>
  </si>
  <si>
    <t>كازرو</t>
  </si>
  <si>
    <t>پتروشيمي كازرون</t>
  </si>
  <si>
    <t>-13</t>
  </si>
  <si>
    <t>ضپار1107</t>
  </si>
  <si>
    <t>اختيارخ خپارس-1500-1398/11/13</t>
  </si>
  <si>
    <t>شاملا</t>
  </si>
  <si>
    <t>معدني‌ املاح‌  ايران‌</t>
  </si>
  <si>
    <t>3081</t>
  </si>
  <si>
    <t>ضپنا7016</t>
  </si>
  <si>
    <t>اخزا615</t>
  </si>
  <si>
    <t>اسنادخزانه-م15بودجه96-980820</t>
  </si>
  <si>
    <t>غبهنوش</t>
  </si>
  <si>
    <t>بهنوش‌ ايران‌</t>
  </si>
  <si>
    <t>471</t>
  </si>
  <si>
    <t>ضفلا8046</t>
  </si>
  <si>
    <t>اختيارخ فولاد-4100-1398/08/26</t>
  </si>
  <si>
    <t>ضافق1108</t>
  </si>
  <si>
    <t>اختيارخ افق-60000-1398/11/02</t>
  </si>
  <si>
    <t>وآتوس</t>
  </si>
  <si>
    <t>س.آرين توسكا قيمت اسمي 350ريال</t>
  </si>
  <si>
    <t>-49</t>
  </si>
  <si>
    <t>واحيا</t>
  </si>
  <si>
    <t>م .صنايع و معادن احياء سپاهان</t>
  </si>
  <si>
    <t>3876</t>
  </si>
  <si>
    <t>خمهر</t>
  </si>
  <si>
    <t>مهركام‌پارس‌</t>
  </si>
  <si>
    <t>-274</t>
  </si>
  <si>
    <t>وتوسم</t>
  </si>
  <si>
    <t>سرمايه‌گذاري‌توسعه‌ملي‌</t>
  </si>
  <si>
    <t>678</t>
  </si>
  <si>
    <t>آ س پ</t>
  </si>
  <si>
    <t>آ.س.پ</t>
  </si>
  <si>
    <t>-15</t>
  </si>
  <si>
    <t>تملي711</t>
  </si>
  <si>
    <t>تسهيلات مسكن ب. ملي-بهمن97</t>
  </si>
  <si>
    <t>ضخود1032</t>
  </si>
  <si>
    <t>اختيارخ خودرو-8000-1398/10/15</t>
  </si>
  <si>
    <t>ثاخت</t>
  </si>
  <si>
    <t>بين‌المللي‌توسعه‌ساختمان</t>
  </si>
  <si>
    <t>-56</t>
  </si>
  <si>
    <t>خنصير</t>
  </si>
  <si>
    <t>مهندسي‌نصيرماشين‌</t>
  </si>
  <si>
    <t>229</t>
  </si>
  <si>
    <t>آينده</t>
  </si>
  <si>
    <t>بازرگاني آينده سازان بهشت پارس</t>
  </si>
  <si>
    <t>-43</t>
  </si>
  <si>
    <t>ثغرب</t>
  </si>
  <si>
    <t>شركت سرمايه گذاري مسكن شمالغرب</t>
  </si>
  <si>
    <t>8</t>
  </si>
  <si>
    <t>فمراد</t>
  </si>
  <si>
    <t>آلومراد</t>
  </si>
  <si>
    <t>-100</t>
  </si>
  <si>
    <t>كچاد</t>
  </si>
  <si>
    <t>معدني‌وصنعتي‌چادرملو</t>
  </si>
  <si>
    <t>869</t>
  </si>
  <si>
    <t>وبهمن</t>
  </si>
  <si>
    <t>سرمايه‌گذاري‌بهمن‌</t>
  </si>
  <si>
    <t>362</t>
  </si>
  <si>
    <t>اخزا716</t>
  </si>
  <si>
    <t>اسنادخزانه-م16بودجه97-000407</t>
  </si>
  <si>
    <t>دتوليد</t>
  </si>
  <si>
    <t>داروسازي توليد دارو</t>
  </si>
  <si>
    <t>161</t>
  </si>
  <si>
    <t>صايپا104</t>
  </si>
  <si>
    <t>صكوك اجاره سايپا - 3ماهه18%</t>
  </si>
  <si>
    <t>دفرا</t>
  </si>
  <si>
    <t>فرآورده‌هاي‌ تزريقي‌ ايران‌</t>
  </si>
  <si>
    <t>1006</t>
  </si>
  <si>
    <t>غپينو</t>
  </si>
  <si>
    <t>پارس‌ مينو</t>
  </si>
  <si>
    <t>418</t>
  </si>
  <si>
    <t>اروند04</t>
  </si>
  <si>
    <t>منفعت صبا اروند كاردان14001113</t>
  </si>
  <si>
    <t>اميد</t>
  </si>
  <si>
    <t>تامين سرمايه اميد</t>
  </si>
  <si>
    <t>281</t>
  </si>
  <si>
    <t>سلامت1</t>
  </si>
  <si>
    <t>مرابحه دولتي تعاون-ملت991118</t>
  </si>
  <si>
    <t>ثرود</t>
  </si>
  <si>
    <t>سرمايه‌گذاري مسكن زاينده رود</t>
  </si>
  <si>
    <t>59</t>
  </si>
  <si>
    <t>ضخود7034</t>
  </si>
  <si>
    <t>اختيارخ خودرو-8000-1398/07/14</t>
  </si>
  <si>
    <t>خكمك</t>
  </si>
  <si>
    <t>كمك‌فنرايندامين‌</t>
  </si>
  <si>
    <t>-18</t>
  </si>
  <si>
    <t>تايرا</t>
  </si>
  <si>
    <t>تراكتورسازي‌ايران‌</t>
  </si>
  <si>
    <t>964</t>
  </si>
  <si>
    <t>كفپارس</t>
  </si>
  <si>
    <t>فرآورده‌هاي‌ نسوز پارس‌</t>
  </si>
  <si>
    <t>-537</t>
  </si>
  <si>
    <t>ضپار1106</t>
  </si>
  <si>
    <t>اختيارخ خپارس-1400-1398/11/13</t>
  </si>
  <si>
    <t>وآفري</t>
  </si>
  <si>
    <t>بيمه كارآفرين</t>
  </si>
  <si>
    <t>74</t>
  </si>
  <si>
    <t>تسه9610</t>
  </si>
  <si>
    <t>امتياز تسهيلات مسكن دي96</t>
  </si>
  <si>
    <t>وزمين</t>
  </si>
  <si>
    <t>بانك ايران زمين</t>
  </si>
  <si>
    <t>-8127</t>
  </si>
  <si>
    <t>ضپنا1011</t>
  </si>
  <si>
    <t>دكيمي</t>
  </si>
  <si>
    <t>كيميدارو</t>
  </si>
  <si>
    <t>1206</t>
  </si>
  <si>
    <t>سجام</t>
  </si>
  <si>
    <t>مجتمع سيمان غرب آسيا</t>
  </si>
  <si>
    <t>تسه9709</t>
  </si>
  <si>
    <t>امتياز تسهيلات مسكن آذر97</t>
  </si>
  <si>
    <t>كنور</t>
  </si>
  <si>
    <t>توسعه معدني و صنعتي صبانور</t>
  </si>
  <si>
    <t>665</t>
  </si>
  <si>
    <t>بنيرو</t>
  </si>
  <si>
    <t>نيروترانس‌</t>
  </si>
  <si>
    <t>1019</t>
  </si>
  <si>
    <t>غشهد</t>
  </si>
  <si>
    <t>شهد ايران‌</t>
  </si>
  <si>
    <t>4423</t>
  </si>
  <si>
    <t>كسرام</t>
  </si>
  <si>
    <t>پارس‌ سرام‌</t>
  </si>
  <si>
    <t>-614</t>
  </si>
  <si>
    <t>شپديس</t>
  </si>
  <si>
    <t>پتروشيمي پرديس</t>
  </si>
  <si>
    <t>4997</t>
  </si>
  <si>
    <t>س. نفت و گاز و پتروشيمي تأمين</t>
  </si>
  <si>
    <t>433</t>
  </si>
  <si>
    <t>فاراك</t>
  </si>
  <si>
    <t>ماشين‌ سازي‌ اراك‌</t>
  </si>
  <si>
    <t>88</t>
  </si>
  <si>
    <t>زعف9808پ09</t>
  </si>
  <si>
    <t>زعفران9808نگين نوين(پ)</t>
  </si>
  <si>
    <t>ثتران</t>
  </si>
  <si>
    <t>سرمايه گذاري مسكن تهران</t>
  </si>
  <si>
    <t>61</t>
  </si>
  <si>
    <t>وليز</t>
  </si>
  <si>
    <t>ليزينگ‌ايران‌</t>
  </si>
  <si>
    <t>-252</t>
  </si>
  <si>
    <t>فسديد</t>
  </si>
  <si>
    <t>لوله‌وتجهيزات‌ سديد - ورشكسته</t>
  </si>
  <si>
    <t>-11344</t>
  </si>
  <si>
    <t>شستا001</t>
  </si>
  <si>
    <t>اجاره تامين اجتماعي-امين000523</t>
  </si>
  <si>
    <t>ضشنا7041</t>
  </si>
  <si>
    <t>اختيارخ شپنا-11200-1398/07/21</t>
  </si>
  <si>
    <t>مشهد995</t>
  </si>
  <si>
    <t>مشاركت شهرداري مشهد-3ماهه16%</t>
  </si>
  <si>
    <t>شغدير</t>
  </si>
  <si>
    <t>پتروشيمي غدير</t>
  </si>
  <si>
    <t>ضپار8008</t>
  </si>
  <si>
    <t>اختيارخ خپارس-1600-1398/08/14</t>
  </si>
  <si>
    <t>ضپيك1008</t>
  </si>
  <si>
    <t>بموتو</t>
  </si>
  <si>
    <t>موتوژن‌</t>
  </si>
  <si>
    <t>2357</t>
  </si>
  <si>
    <t>وپست</t>
  </si>
  <si>
    <t>پست بانك ايران</t>
  </si>
  <si>
    <t>-1213</t>
  </si>
  <si>
    <t>اشاد9</t>
  </si>
  <si>
    <t>مشاركت دولتي9-شرايط خاص990909</t>
  </si>
  <si>
    <t>درازك</t>
  </si>
  <si>
    <t>دارويي‌ رازك‌</t>
  </si>
  <si>
    <t>2086</t>
  </si>
  <si>
    <t>حتوكا</t>
  </si>
  <si>
    <t>حمل‌ونقل‌توكا</t>
  </si>
  <si>
    <t>5</t>
  </si>
  <si>
    <t>كوثر</t>
  </si>
  <si>
    <t>بيمه كوثر</t>
  </si>
  <si>
    <t>773</t>
  </si>
  <si>
    <t>غگل</t>
  </si>
  <si>
    <t>گلوكوزان‌</t>
  </si>
  <si>
    <t>2202</t>
  </si>
  <si>
    <t>تپولا</t>
  </si>
  <si>
    <t>مهندسي مرآت پولاد</t>
  </si>
  <si>
    <t>-146</t>
  </si>
  <si>
    <t>بكام</t>
  </si>
  <si>
    <t>كارخانجات توليدي شهيد قندي</t>
  </si>
  <si>
    <t>اخزا610</t>
  </si>
  <si>
    <t>اسنادخزانه-م10بودجه96-980911</t>
  </si>
  <si>
    <t>تاپيكو</t>
  </si>
  <si>
    <t>شبهرن</t>
  </si>
  <si>
    <t>نفت‌ بهران‌</t>
  </si>
  <si>
    <t>3065</t>
  </si>
  <si>
    <t>ضجار7002</t>
  </si>
  <si>
    <t>اختيارخ وتجارت-500-1398/07/07</t>
  </si>
  <si>
    <t>كروي</t>
  </si>
  <si>
    <t>توسعه‌ معادن‌ روي‌ ايران‌</t>
  </si>
  <si>
    <t>667</t>
  </si>
  <si>
    <t>اخابر</t>
  </si>
  <si>
    <t>مخابرات ايران</t>
  </si>
  <si>
    <t>486</t>
  </si>
  <si>
    <t>آتيمس</t>
  </si>
  <si>
    <t>صندوق س.آرمان آتيه درخشان مس-س</t>
  </si>
  <si>
    <t>كپرور</t>
  </si>
  <si>
    <t>فرآوري زغال سنگ پروده طبس</t>
  </si>
  <si>
    <t>1320</t>
  </si>
  <si>
    <t>نتوس</t>
  </si>
  <si>
    <t>پشم‌ بافي‌ توس</t>
  </si>
  <si>
    <t>-196</t>
  </si>
  <si>
    <t>خودكفا</t>
  </si>
  <si>
    <t>اقتصادي و خودكفايي آزادگان</t>
  </si>
  <si>
    <t>1125</t>
  </si>
  <si>
    <t>زير9903پ02</t>
  </si>
  <si>
    <t>زيره سبز9903 دانش(پ)</t>
  </si>
  <si>
    <t>ولغدر</t>
  </si>
  <si>
    <t>ليزينگ‌خودروغدير</t>
  </si>
  <si>
    <t>292</t>
  </si>
  <si>
    <t>پكرمان</t>
  </si>
  <si>
    <t>گروه‌ صنعتي‌ بارز</t>
  </si>
  <si>
    <t>202</t>
  </si>
  <si>
    <t>تاصيكو</t>
  </si>
  <si>
    <t>سرمايه گذاري صدرتامين</t>
  </si>
  <si>
    <t>296</t>
  </si>
  <si>
    <t>دكوثر</t>
  </si>
  <si>
    <t>داروسازي‌ كوثر</t>
  </si>
  <si>
    <t>پارسان</t>
  </si>
  <si>
    <t>گسترش نفت و گاز پارسيان</t>
  </si>
  <si>
    <t>1011</t>
  </si>
  <si>
    <t>بسويچح</t>
  </si>
  <si>
    <t>ح . پارس‌سويچ‌</t>
  </si>
  <si>
    <t>قچار</t>
  </si>
  <si>
    <t>فراوردههاي غذايي وقند چهارمحال</t>
  </si>
  <si>
    <t>1212</t>
  </si>
  <si>
    <t>اخزا709</t>
  </si>
  <si>
    <t>اسنادخزانه-م9بودجه97-990513</t>
  </si>
  <si>
    <t>ضمعا7006</t>
  </si>
  <si>
    <t>اختيارخ ومعادن-4600-1398/07/17</t>
  </si>
  <si>
    <t>سلامت4</t>
  </si>
  <si>
    <t>مرابحه دولتي تعاون-لوتوس991118</t>
  </si>
  <si>
    <t>كفرا</t>
  </si>
  <si>
    <t>فراورده‌ هاي‌ نسوزايران‌</t>
  </si>
  <si>
    <t>2263</t>
  </si>
  <si>
    <t>مرقام</t>
  </si>
  <si>
    <t>ايران‌ارقام‌</t>
  </si>
  <si>
    <t>-149</t>
  </si>
  <si>
    <t>ضفلا8053</t>
  </si>
  <si>
    <t>اختيارخ فولاد-6700-1398/08/26</t>
  </si>
  <si>
    <t>چافست</t>
  </si>
  <si>
    <t>افست‌</t>
  </si>
  <si>
    <t>489</t>
  </si>
  <si>
    <t>ميدكو</t>
  </si>
  <si>
    <t>هلدينگ صنايع  معدني خاورميانه</t>
  </si>
  <si>
    <t>242</t>
  </si>
  <si>
    <t>پدرخش</t>
  </si>
  <si>
    <t>درخشان‌ تهران‌</t>
  </si>
  <si>
    <t>2144</t>
  </si>
  <si>
    <t>كترام</t>
  </si>
  <si>
    <t>توليدي‌ كاشي‌ تكسرام‌</t>
  </si>
  <si>
    <t>136</t>
  </si>
  <si>
    <t>وآرين</t>
  </si>
  <si>
    <t>شركت توسعه اقتصادي آرين</t>
  </si>
  <si>
    <t>461</t>
  </si>
  <si>
    <t>چكاوه</t>
  </si>
  <si>
    <t>صنايع‌كاغذسازي‌كاوه‌</t>
  </si>
  <si>
    <t>-256</t>
  </si>
  <si>
    <t>غالبر</t>
  </si>
  <si>
    <t>لبنيات‌كالبر</t>
  </si>
  <si>
    <t>396</t>
  </si>
  <si>
    <t>ضفلا8049</t>
  </si>
  <si>
    <t>اختيارخ فولاد-4700-1398/08/26</t>
  </si>
  <si>
    <t>وملل</t>
  </si>
  <si>
    <t>اعتباري ملل</t>
  </si>
  <si>
    <t>427</t>
  </si>
  <si>
    <t>ضگل8049</t>
  </si>
  <si>
    <t>اختيارخ كگل-9000-1398/08/22</t>
  </si>
  <si>
    <t>تسه9609</t>
  </si>
  <si>
    <t>امتياز تسهيلات مسكن آذر96</t>
  </si>
  <si>
    <t>سباقر</t>
  </si>
  <si>
    <t>سيمان باقران</t>
  </si>
  <si>
    <t>-369</t>
  </si>
  <si>
    <t>آساميد</t>
  </si>
  <si>
    <t>صندوق س.مشترك آسمان اميد -د</t>
  </si>
  <si>
    <t>ضپار8004</t>
  </si>
  <si>
    <t>اختيارخ خپارس-1200-1398/08/14</t>
  </si>
  <si>
    <t>كساوه</t>
  </si>
  <si>
    <t>صنايع‌ كاشي‌ و سراميك‌ سينا</t>
  </si>
  <si>
    <t>723</t>
  </si>
  <si>
    <t>مشاركت دولتي10-شرايط خاص001226</t>
  </si>
  <si>
    <t>زدشت</t>
  </si>
  <si>
    <t>كشت و صنعت دشت خرم دره</t>
  </si>
  <si>
    <t>415</t>
  </si>
  <si>
    <t>وهور</t>
  </si>
  <si>
    <t>مديريت انرژي اميد  تابان هور</t>
  </si>
  <si>
    <t>593</t>
  </si>
  <si>
    <t>ضپنا7014</t>
  </si>
  <si>
    <t>فلامي</t>
  </si>
  <si>
    <t>لاميران‌</t>
  </si>
  <si>
    <t>2296</t>
  </si>
  <si>
    <t>ونيكي</t>
  </si>
  <si>
    <t>سرمايه‌گذاري‌ ملي‌ايران‌</t>
  </si>
  <si>
    <t>737</t>
  </si>
  <si>
    <t>تنوين</t>
  </si>
  <si>
    <t>تامين سرمايه نوين</t>
  </si>
  <si>
    <t>483</t>
  </si>
  <si>
    <t>وساخت</t>
  </si>
  <si>
    <t>سرمايه‌ گذاري‌ ساختمان‌ايران‌</t>
  </si>
  <si>
    <t>-167</t>
  </si>
  <si>
    <t>كهرام</t>
  </si>
  <si>
    <t>توليدي گرانيت بهسرام</t>
  </si>
  <si>
    <t>37</t>
  </si>
  <si>
    <t>ضخود1031</t>
  </si>
  <si>
    <t>اختيارخ خودرو-7500-1398/10/15</t>
  </si>
  <si>
    <t>نوريل02</t>
  </si>
  <si>
    <t>اجاره ريل پرداز نوآفرين021213</t>
  </si>
  <si>
    <t>وغدير</t>
  </si>
  <si>
    <t>سرمايه‌گذاري‌غدير(هلدينگ‌</t>
  </si>
  <si>
    <t>373</t>
  </si>
  <si>
    <t>ضملي8040</t>
  </si>
  <si>
    <t>اختيارخ فملي -3850-1398/08/19</t>
  </si>
  <si>
    <t>زشگزا</t>
  </si>
  <si>
    <t>شير و گوشت زاگرس شهركرد</t>
  </si>
  <si>
    <t>2000</t>
  </si>
  <si>
    <t>ضغدر1109</t>
  </si>
  <si>
    <t>اختيارخ وغدير-3400-1398/11/20</t>
  </si>
  <si>
    <t>ضبدر8035</t>
  </si>
  <si>
    <t>اختيارخ شبندر-17300-1398/08/14</t>
  </si>
  <si>
    <t>ميهن</t>
  </si>
  <si>
    <t>بيمه ميهن</t>
  </si>
  <si>
    <t>-9</t>
  </si>
  <si>
    <t>زشريف</t>
  </si>
  <si>
    <t>كشت وصنعت شريف آباد</t>
  </si>
  <si>
    <t>366</t>
  </si>
  <si>
    <t>ضترا8007</t>
  </si>
  <si>
    <t>اختيارخ شتران-4474-1398/08/12</t>
  </si>
  <si>
    <t>خبهمن</t>
  </si>
  <si>
    <t>گروه‌بهمن‌</t>
  </si>
  <si>
    <t>254</t>
  </si>
  <si>
    <t>ضفلا1141</t>
  </si>
  <si>
    <t>اختيارخ فولاد-4300-1398/11/27</t>
  </si>
  <si>
    <t>اروند05</t>
  </si>
  <si>
    <t>منفعت صبا اروند لوتوس 14001113</t>
  </si>
  <si>
    <t>ضغدر1105</t>
  </si>
  <si>
    <t>اختيارخ وغدير-2600-1398/11/20</t>
  </si>
  <si>
    <t>سشرق</t>
  </si>
  <si>
    <t>سيمان‌ شرق‌</t>
  </si>
  <si>
    <t>سدشت</t>
  </si>
  <si>
    <t>صنايع سيمان دشتستان</t>
  </si>
  <si>
    <t>163</t>
  </si>
  <si>
    <t>ضشنا1026</t>
  </si>
  <si>
    <t>اختيارخ شپنا-10200-1398/10/22</t>
  </si>
  <si>
    <t>جم پيلن</t>
  </si>
  <si>
    <t>پلي پروپيلن جم - جم پيلن</t>
  </si>
  <si>
    <t>4661</t>
  </si>
  <si>
    <t>سدور</t>
  </si>
  <si>
    <t>سيمان‌ دورود</t>
  </si>
  <si>
    <t>ضمعا1008</t>
  </si>
  <si>
    <t>اختيارخ ومعادن-5000-1398/10/18</t>
  </si>
  <si>
    <t>سلامت3</t>
  </si>
  <si>
    <t>مرابحه دولتي تعاون-اميد991118</t>
  </si>
  <si>
    <t>داراب</t>
  </si>
  <si>
    <t>پتروشيمي داراب</t>
  </si>
  <si>
    <t>13</t>
  </si>
  <si>
    <t>شكربن</t>
  </si>
  <si>
    <t>كربن‌ ايران‌</t>
  </si>
  <si>
    <t>شستا004</t>
  </si>
  <si>
    <t>اجاره تامين اجتماعي-نوين000523</t>
  </si>
  <si>
    <t>ضغدر8009</t>
  </si>
  <si>
    <t>اختيارخ وغدير-3400-1398/08/22</t>
  </si>
  <si>
    <t>ضپيك7007</t>
  </si>
  <si>
    <t>اختيارخ تاپيكو-3200-1398/07/30</t>
  </si>
  <si>
    <t>ضپار8007</t>
  </si>
  <si>
    <t>اختيارخ خپارس-1500-1398/08/14</t>
  </si>
  <si>
    <t>ضسان7036</t>
  </si>
  <si>
    <t>اختيارخ پارسان-5000-1398/07/24</t>
  </si>
  <si>
    <t>اشاد5</t>
  </si>
  <si>
    <t>مشاركت دولتي5-شرايط خاص980922</t>
  </si>
  <si>
    <t>سپرمي</t>
  </si>
  <si>
    <t>پرميت‌</t>
  </si>
  <si>
    <t>-1608</t>
  </si>
  <si>
    <t>كيميا</t>
  </si>
  <si>
    <t>معدني كيمياي زنجان گستران</t>
  </si>
  <si>
    <t>2028</t>
  </si>
  <si>
    <t>مبين</t>
  </si>
  <si>
    <t>پتروشيمي مبين</t>
  </si>
  <si>
    <t>1890</t>
  </si>
  <si>
    <t>ركيش</t>
  </si>
  <si>
    <t>كارت اعتباري ايران كيش</t>
  </si>
  <si>
    <t>420</t>
  </si>
  <si>
    <t>صخود0004</t>
  </si>
  <si>
    <t>صكوك رهني خودرو0004- 3ماهه 16%</t>
  </si>
  <si>
    <t>خفنر</t>
  </si>
  <si>
    <t>فنرسازي‌خاور</t>
  </si>
  <si>
    <t>245</t>
  </si>
  <si>
    <t>قجام</t>
  </si>
  <si>
    <t>فرآوردههاي غذايي وقندتربت‌جام‌</t>
  </si>
  <si>
    <t>شمواد</t>
  </si>
  <si>
    <t>توليد مواداوليه الياف مصنوعي</t>
  </si>
  <si>
    <t>-59</t>
  </si>
  <si>
    <t>حخزر</t>
  </si>
  <si>
    <t>كشتيراني درياي خزر</t>
  </si>
  <si>
    <t>1012</t>
  </si>
  <si>
    <t>16.07</t>
  </si>
  <si>
    <t>وبصادر</t>
  </si>
  <si>
    <t>بانك صادرات ايران</t>
  </si>
  <si>
    <t>-83</t>
  </si>
  <si>
    <t>كساپا</t>
  </si>
  <si>
    <t>سايپاشيشه‌</t>
  </si>
  <si>
    <t>86</t>
  </si>
  <si>
    <t>وبوعلي</t>
  </si>
  <si>
    <t>سرمايه‌گذاري‌بوعلي‌</t>
  </si>
  <si>
    <t>658</t>
  </si>
  <si>
    <t>كاسپين</t>
  </si>
  <si>
    <t>داروسازي كاسپين تامين</t>
  </si>
  <si>
    <t>1425</t>
  </si>
  <si>
    <t>سيمرغ</t>
  </si>
  <si>
    <t>838</t>
  </si>
  <si>
    <t>اخزا708</t>
  </si>
  <si>
    <t>اسنادخزانه-م8بودجه97-980723</t>
  </si>
  <si>
    <t>ضسان7035</t>
  </si>
  <si>
    <t>اختيارخ پارسان-4800-1398/07/24</t>
  </si>
  <si>
    <t>غسالم</t>
  </si>
  <si>
    <t>سالمين‌</t>
  </si>
  <si>
    <t>504</t>
  </si>
  <si>
    <t>الماس</t>
  </si>
  <si>
    <t>صندوق س.امين تدبيرگران فردا-س</t>
  </si>
  <si>
    <t>حفاري</t>
  </si>
  <si>
    <t>حفاري شمال</t>
  </si>
  <si>
    <t>ضملي1137</t>
  </si>
  <si>
    <t>اختيارخ فملي -4850-1398/11/16</t>
  </si>
  <si>
    <t>فخوز</t>
  </si>
  <si>
    <t>فولاد  خوزستان</t>
  </si>
  <si>
    <t>1991</t>
  </si>
  <si>
    <t>ضملي8044</t>
  </si>
  <si>
    <t>اختيارخ فملي -4650-1398/08/19</t>
  </si>
  <si>
    <t>كسعدي</t>
  </si>
  <si>
    <t>كاشي‌ سعدي‌</t>
  </si>
  <si>
    <t>341</t>
  </si>
  <si>
    <t>دلقما</t>
  </si>
  <si>
    <t>دارويي‌ لقمان‌</t>
  </si>
  <si>
    <t>ضجار7001</t>
  </si>
  <si>
    <t>اختيارخ وتجارت-400-1398/07/07</t>
  </si>
  <si>
    <t>ضسان1024</t>
  </si>
  <si>
    <t>اختيارخ پارسان-5500-1398/10/25</t>
  </si>
  <si>
    <t>اخزا703</t>
  </si>
  <si>
    <t>اسنادخزانه-م3بودجه97-990721</t>
  </si>
  <si>
    <t>ضپيك1006</t>
  </si>
  <si>
    <t>اختيارخ تاپيكو-3000-1398/10/30</t>
  </si>
  <si>
    <t>سهرمز</t>
  </si>
  <si>
    <t>سيمان‌هرمزگان‌</t>
  </si>
  <si>
    <t>739</t>
  </si>
  <si>
    <t>تيپيكو</t>
  </si>
  <si>
    <t>سرمايه گذاري دارويي تامين</t>
  </si>
  <si>
    <t>2128</t>
  </si>
  <si>
    <t>ما</t>
  </si>
  <si>
    <t>بيمه  ما</t>
  </si>
  <si>
    <t>577</t>
  </si>
  <si>
    <t>بزاگرس</t>
  </si>
  <si>
    <t>نيروگاه زاگرس كوثر</t>
  </si>
  <si>
    <t>173</t>
  </si>
  <si>
    <t>نمرينو</t>
  </si>
  <si>
    <t>ايران‌ مرينوس‌</t>
  </si>
  <si>
    <t>آكورد</t>
  </si>
  <si>
    <t>صندوق س. آرمان آتي كوثر-د</t>
  </si>
  <si>
    <t>حرهشا</t>
  </si>
  <si>
    <t>رهشاد سپاهان (سهامي عام</t>
  </si>
  <si>
    <t>636</t>
  </si>
  <si>
    <t>صايتل902</t>
  </si>
  <si>
    <t>صكوك اجاره رايتل  ماهانه 21 %</t>
  </si>
  <si>
    <t>اجاره دانا پتروريگ كيش 1394</t>
  </si>
  <si>
    <t>لبوتان</t>
  </si>
  <si>
    <t>گروه‌صنعتي‌بوتان‌</t>
  </si>
  <si>
    <t>812</t>
  </si>
  <si>
    <t>كگهر</t>
  </si>
  <si>
    <t>سنگ آهن گهرزمين</t>
  </si>
  <si>
    <t>1128</t>
  </si>
  <si>
    <t>فجام</t>
  </si>
  <si>
    <t>جام‌دارو</t>
  </si>
  <si>
    <t>806</t>
  </si>
  <si>
    <t>ستران</t>
  </si>
  <si>
    <t>سيمان‌ تهران‌</t>
  </si>
  <si>
    <t>-101</t>
  </si>
  <si>
    <t>شسينا</t>
  </si>
  <si>
    <t>صنايع‌شيميايي‌سينا</t>
  </si>
  <si>
    <t>4150</t>
  </si>
  <si>
    <t>غگرجي</t>
  </si>
  <si>
    <t>بيسكويت‌  گرجي‌</t>
  </si>
  <si>
    <t>909</t>
  </si>
  <si>
    <t>شتهران</t>
  </si>
  <si>
    <t>داروسازي تهران شيمي</t>
  </si>
  <si>
    <t>951</t>
  </si>
  <si>
    <t>ولشرق</t>
  </si>
  <si>
    <t>ليزينگ ايران و شرق</t>
  </si>
  <si>
    <t>غصينو</t>
  </si>
  <si>
    <t>صنعتي مينو</t>
  </si>
  <si>
    <t>1298</t>
  </si>
  <si>
    <t>غشان</t>
  </si>
  <si>
    <t>شيرپاستوريزه‌پگاه‌خراسان‌</t>
  </si>
  <si>
    <t>584</t>
  </si>
  <si>
    <t>ضملي8042</t>
  </si>
  <si>
    <t>اختيارخ فملي -4250-1398/08/19</t>
  </si>
  <si>
    <t>ضشنا7040</t>
  </si>
  <si>
    <t>اختيارخ شپنا-10200-1398/07/21</t>
  </si>
  <si>
    <t>ضپنا1013</t>
  </si>
  <si>
    <t>كحافظ</t>
  </si>
  <si>
    <t>كاشي‌ وسراميك‌ حافظ‌</t>
  </si>
  <si>
    <t>-522</t>
  </si>
  <si>
    <t>جم</t>
  </si>
  <si>
    <t>پتروشيمي جم</t>
  </si>
  <si>
    <t>2221</t>
  </si>
  <si>
    <t>5.08</t>
  </si>
  <si>
    <t>سبهان</t>
  </si>
  <si>
    <t>سيمان‌ بهبهان‌</t>
  </si>
  <si>
    <t>1858</t>
  </si>
  <si>
    <t>خزر</t>
  </si>
  <si>
    <t>فنرسازي‌زر</t>
  </si>
  <si>
    <t>114</t>
  </si>
  <si>
    <t>مشير112</t>
  </si>
  <si>
    <t>مشاركت شهرداري شيراز-3ماهه18%</t>
  </si>
  <si>
    <t>تملي704</t>
  </si>
  <si>
    <t>تسهيلات مسكن ب. ملي-تير97</t>
  </si>
  <si>
    <t>وپارس</t>
  </si>
  <si>
    <t>بانك‌پارسيان‌</t>
  </si>
  <si>
    <t>237</t>
  </si>
  <si>
    <t>دجابر</t>
  </si>
  <si>
    <t>داروسازي‌ جابرابن‌حيان‌</t>
  </si>
  <si>
    <t>733</t>
  </si>
  <si>
    <t>زپارس</t>
  </si>
  <si>
    <t>ملي كشت و صنعت و دامپروري پارس</t>
  </si>
  <si>
    <t>مبين013</t>
  </si>
  <si>
    <t>اجاره اعتماد مبين نوين010710</t>
  </si>
  <si>
    <t>شستا005</t>
  </si>
  <si>
    <t>اجاره تامين اجتماعي-امين001220</t>
  </si>
  <si>
    <t>واتي</t>
  </si>
  <si>
    <t>سرمايه‌ گذاري‌ آتيه‌ دماوند</t>
  </si>
  <si>
    <t>دشيمي</t>
  </si>
  <si>
    <t>شيمي‌ داروئي‌ داروپخش‌</t>
  </si>
  <si>
    <t>782</t>
  </si>
  <si>
    <t>شراز</t>
  </si>
  <si>
    <t>پالايش نفت شيراز</t>
  </si>
  <si>
    <t>7306</t>
  </si>
  <si>
    <t>غپونه</t>
  </si>
  <si>
    <t>نوش پونه مشهد</t>
  </si>
  <si>
    <t>858</t>
  </si>
  <si>
    <t>خچرخش</t>
  </si>
  <si>
    <t>چرخشگر</t>
  </si>
  <si>
    <t>28</t>
  </si>
  <si>
    <t>سمازن</t>
  </si>
  <si>
    <t>سيمان‌مازندران‌</t>
  </si>
  <si>
    <t>آگاس</t>
  </si>
  <si>
    <t>صندوق س.هستي بخش آگاه-س</t>
  </si>
  <si>
    <t>اشاد10</t>
  </si>
  <si>
    <t>ونفت</t>
  </si>
  <si>
    <t>سرمايه‌گذاري‌ صنعت‌ نفت‌</t>
  </si>
  <si>
    <t>527</t>
  </si>
  <si>
    <t>ضخود7033</t>
  </si>
  <si>
    <t>اختيارخ خودرو-7500-1398/07/14</t>
  </si>
  <si>
    <t>غپاك</t>
  </si>
  <si>
    <t>لبنيات‌ پاك‌</t>
  </si>
  <si>
    <t>ضغدر1106</t>
  </si>
  <si>
    <t>اختيارخ وغدير-2800-1398/11/20</t>
  </si>
  <si>
    <t>قاسم</t>
  </si>
  <si>
    <t>قاسم ايران</t>
  </si>
  <si>
    <t>865</t>
  </si>
  <si>
    <t>بركت</t>
  </si>
  <si>
    <t>گروه دارويي بركت</t>
  </si>
  <si>
    <t>67</t>
  </si>
  <si>
    <t>شستا993</t>
  </si>
  <si>
    <t>اجاره ت.اجتماعي-كاردان991226</t>
  </si>
  <si>
    <t>ضملي1134</t>
  </si>
  <si>
    <t>اختيارخ فملي -4250-1398/11/16</t>
  </si>
  <si>
    <t>ولتجار</t>
  </si>
  <si>
    <t>واسپاري تجارت وسرمايه ايرانيان</t>
  </si>
  <si>
    <t>-28</t>
  </si>
  <si>
    <t>دتماد</t>
  </si>
  <si>
    <t>توليدمواداوليه‌داروپخش‌</t>
  </si>
  <si>
    <t>1399</t>
  </si>
  <si>
    <t>فاما</t>
  </si>
  <si>
    <t>صنعتي‌ آما</t>
  </si>
  <si>
    <t>771</t>
  </si>
  <si>
    <t>كمند</t>
  </si>
  <si>
    <t>صندوق س. با درآمد ثابت كمند</t>
  </si>
  <si>
    <t>سفاسي</t>
  </si>
  <si>
    <t>شركت فارسيت اهواز</t>
  </si>
  <si>
    <t>-24</t>
  </si>
  <si>
    <t>اجاد41</t>
  </si>
  <si>
    <t>اجاره دولتي وزا.علوم-الف991224</t>
  </si>
  <si>
    <t>تسه9704</t>
  </si>
  <si>
    <t>امتياز تسهيلات مسكن تير97</t>
  </si>
  <si>
    <t>ساربيل</t>
  </si>
  <si>
    <t>سيمان آرتا اردبيل</t>
  </si>
  <si>
    <t>1268</t>
  </si>
  <si>
    <t>ضغدر1108</t>
  </si>
  <si>
    <t>اختيارخ وغدير-3200-1398/11/20</t>
  </si>
  <si>
    <t>غاذر</t>
  </si>
  <si>
    <t>كشت‌وصنعت‌پياذر</t>
  </si>
  <si>
    <t>537</t>
  </si>
  <si>
    <t>شپاس</t>
  </si>
  <si>
    <t>نفت پاسارگاد</t>
  </si>
  <si>
    <t>596</t>
  </si>
  <si>
    <t>13.65</t>
  </si>
  <si>
    <t>تسه9711</t>
  </si>
  <si>
    <t>امتياز تسهيلات مسكن بهمن 97</t>
  </si>
  <si>
    <t>شبندر</t>
  </si>
  <si>
    <t>پالايش نفت بندرعباس</t>
  </si>
  <si>
    <t>3128</t>
  </si>
  <si>
    <t>فملي</t>
  </si>
  <si>
    <t>ملي‌ صنايع‌ مس‌ ايران‌</t>
  </si>
  <si>
    <t>948</t>
  </si>
  <si>
    <t>فماك</t>
  </si>
  <si>
    <t>ماداكتو استيل كرد</t>
  </si>
  <si>
    <t>-20</t>
  </si>
  <si>
    <t>-172.2</t>
  </si>
  <si>
    <t>سپاها</t>
  </si>
  <si>
    <t>سيمان‌سپاهان‌</t>
  </si>
  <si>
    <t>11</t>
  </si>
  <si>
    <t>كگل</t>
  </si>
  <si>
    <t>معدني و صنعتي گل گهر</t>
  </si>
  <si>
    <t>990</t>
  </si>
  <si>
    <t>ضفلا1146</t>
  </si>
  <si>
    <t>اختيارخ فولاد-6200-1398/11/27</t>
  </si>
  <si>
    <t>شيران</t>
  </si>
  <si>
    <t>س. صنايع‌شيميايي‌ايران</t>
  </si>
  <si>
    <t>1682</t>
  </si>
  <si>
    <t>سرچشمه</t>
  </si>
  <si>
    <t>سرمايه گذاري مس سرچشمه</t>
  </si>
  <si>
    <t>280</t>
  </si>
  <si>
    <t>قشكر</t>
  </si>
  <si>
    <t>شكرشاهرود</t>
  </si>
  <si>
    <t>60</t>
  </si>
  <si>
    <t>اخزا719</t>
  </si>
  <si>
    <t>اسنادخزانه-م19بودجه97-980827</t>
  </si>
  <si>
    <t>ضفلا1144</t>
  </si>
  <si>
    <t>اختيارخ فولاد-5200-1398/11/27</t>
  </si>
  <si>
    <t>صايپا403</t>
  </si>
  <si>
    <t>صكوك اجاره سايپا403-3ماهه18%</t>
  </si>
  <si>
    <t>آسام</t>
  </si>
  <si>
    <t>صندوق س.آرمان سپهر آيندگان-م</t>
  </si>
  <si>
    <t>مبين012</t>
  </si>
  <si>
    <t>اجاره اعتماد مبين تمدن010710</t>
  </si>
  <si>
    <t>قشرين</t>
  </si>
  <si>
    <t>قند شيرين خراسان</t>
  </si>
  <si>
    <t>82</t>
  </si>
  <si>
    <t>اعتلا</t>
  </si>
  <si>
    <t>شركت سرمايه گذاري اعتلاء البرز</t>
  </si>
  <si>
    <t>594</t>
  </si>
  <si>
    <t>8.75</t>
  </si>
  <si>
    <t>شفا</t>
  </si>
  <si>
    <t>سرمايه گذاري شفادارو</t>
  </si>
  <si>
    <t>935</t>
  </si>
  <si>
    <t>سنوين</t>
  </si>
  <si>
    <t>سرمايه گذاري اقتصاد نوين</t>
  </si>
  <si>
    <t>بنو</t>
  </si>
  <si>
    <t>بيمه تجارت نو</t>
  </si>
  <si>
    <t>217</t>
  </si>
  <si>
    <t>14.6</t>
  </si>
  <si>
    <t>حريل02</t>
  </si>
  <si>
    <t>اجاره ريل پردازسير021212</t>
  </si>
  <si>
    <t>اخزا624</t>
  </si>
  <si>
    <t>اسنادخزانه-م24بودجه96-990625</t>
  </si>
  <si>
    <t>وصندوق</t>
  </si>
  <si>
    <t>سرمايه‌گذاري‌صندوق‌بازنشستگي‌</t>
  </si>
  <si>
    <t>568</t>
  </si>
  <si>
    <t>ضفلا1145</t>
  </si>
  <si>
    <t>اختيارخ فولاد-5700-1398/11/27</t>
  </si>
  <si>
    <t>سيدكو</t>
  </si>
  <si>
    <t>سرمايه گذاري توسعه صنايع سيمان</t>
  </si>
  <si>
    <t>209</t>
  </si>
  <si>
    <t>طفلا8053</t>
  </si>
  <si>
    <t>اختيارف فولاد-6700-1398/08/26</t>
  </si>
  <si>
    <t>كبورس</t>
  </si>
  <si>
    <t>كارگزاران بورس اوراق بهادار</t>
  </si>
  <si>
    <t>597</t>
  </si>
  <si>
    <t>توريل</t>
  </si>
  <si>
    <t>توکاريل</t>
  </si>
  <si>
    <t>وساپا</t>
  </si>
  <si>
    <t>سرمايه‌گذاري‌ سايپا</t>
  </si>
  <si>
    <t>56</t>
  </si>
  <si>
    <t>قشهد</t>
  </si>
  <si>
    <t>شهد</t>
  </si>
  <si>
    <t>867</t>
  </si>
  <si>
    <t>عذوب3</t>
  </si>
  <si>
    <t>اوراق سلف تيرآهن 14</t>
  </si>
  <si>
    <t>غويتا</t>
  </si>
  <si>
    <t>ويتانا</t>
  </si>
  <si>
    <t>ضخوز7008</t>
  </si>
  <si>
    <t>اختيارخ فخوز-11000-1398/07/30</t>
  </si>
  <si>
    <t>مبين015</t>
  </si>
  <si>
    <t>اجاره اعتماد مبين تمدن011019</t>
  </si>
  <si>
    <t>تسه9607</t>
  </si>
  <si>
    <t>امتياز تسهيلات مسكن مهر96</t>
  </si>
  <si>
    <t>تسه9706</t>
  </si>
  <si>
    <t>امتياز تسهيلات مسكن شهريور97</t>
  </si>
  <si>
    <t>خديزل</t>
  </si>
  <si>
    <t>بهمن  ديزل</t>
  </si>
  <si>
    <t>536</t>
  </si>
  <si>
    <t>تسه9708</t>
  </si>
  <si>
    <t>امتياز تسهيلات مسكن آبان97</t>
  </si>
  <si>
    <t>سامان</t>
  </si>
  <si>
    <t>بانك سامان</t>
  </si>
  <si>
    <t>دفاراح</t>
  </si>
  <si>
    <t>ح . داروسازي‌ فارابي‌</t>
  </si>
  <si>
    <t>كرماشا</t>
  </si>
  <si>
    <t>صنايع پتروشيمي كرمانشاه</t>
  </si>
  <si>
    <t>1969</t>
  </si>
  <si>
    <t>فاذر</t>
  </si>
  <si>
    <t>صنايع‌ آذرآب‌</t>
  </si>
  <si>
    <t>شتوكا</t>
  </si>
  <si>
    <t>توكا رنگ فولاد سپاهان</t>
  </si>
  <si>
    <t>2014</t>
  </si>
  <si>
    <t>شيراز</t>
  </si>
  <si>
    <t>شلعاب</t>
  </si>
  <si>
    <t>لعابيران‌</t>
  </si>
  <si>
    <t>44</t>
  </si>
  <si>
    <t>خمحركه</t>
  </si>
  <si>
    <t>نيرو محركه‌</t>
  </si>
  <si>
    <t>49</t>
  </si>
  <si>
    <t>سپاس</t>
  </si>
  <si>
    <t>صندوق س. پاداش سهامداري توسعه1</t>
  </si>
  <si>
    <t>نيرو</t>
  </si>
  <si>
    <t>نيرو سرمايه</t>
  </si>
  <si>
    <t>938</t>
  </si>
  <si>
    <t>تسه9702</t>
  </si>
  <si>
    <t>امتياز تسهيلات مسكن ارديبهشت97</t>
  </si>
  <si>
    <t>ضچاد7007</t>
  </si>
  <si>
    <t>اختيارخ كچاد-4800-1398/07/03</t>
  </si>
  <si>
    <t>صگل411</t>
  </si>
  <si>
    <t>ص اجاره گل گهر 411- 3 ماهه 17%</t>
  </si>
  <si>
    <t>ضفلا8048</t>
  </si>
  <si>
    <t>اختيارخ فولاد-4500-1398/08/26</t>
  </si>
  <si>
    <t>اتكاي</t>
  </si>
  <si>
    <t>بيمه اتكايي ايرانيان</t>
  </si>
  <si>
    <t>663</t>
  </si>
  <si>
    <t>جوپار99</t>
  </si>
  <si>
    <t>اوراق اجاره جوپار 990212</t>
  </si>
  <si>
    <t>بمپنا</t>
  </si>
  <si>
    <t>توليد برق عسلويه  مپنا</t>
  </si>
  <si>
    <t>669</t>
  </si>
  <si>
    <t>وثخوز</t>
  </si>
  <si>
    <t>سرمايه گذاري و توسعه خوزستان</t>
  </si>
  <si>
    <t>اخزا623</t>
  </si>
  <si>
    <t>اسنادخزانه-م23بودجه96-990528</t>
  </si>
  <si>
    <t>دروز</t>
  </si>
  <si>
    <t>داروسازي‌ روزدارو</t>
  </si>
  <si>
    <t>7</t>
  </si>
  <si>
    <t>قصفها</t>
  </si>
  <si>
    <t>قنداصفهان‌</t>
  </si>
  <si>
    <t>2192</t>
  </si>
  <si>
    <t>ضخوز7007</t>
  </si>
  <si>
    <t>اختيارخ فخوز-10000-1398/07/30</t>
  </si>
  <si>
    <t>رانفور</t>
  </si>
  <si>
    <t>خدمات‌انفورماتيك‌</t>
  </si>
  <si>
    <t>1418</t>
  </si>
  <si>
    <t>صخابر102</t>
  </si>
  <si>
    <t>صكوك اجاره مخابرات-3 ماهه 16%</t>
  </si>
  <si>
    <t>شدوص</t>
  </si>
  <si>
    <t>دوده‌ صنعتي‌ پارس‌</t>
  </si>
  <si>
    <t>ضسان7039</t>
  </si>
  <si>
    <t>اختيارخ پارسان-6500-1398/07/24</t>
  </si>
  <si>
    <t>فولاژ</t>
  </si>
  <si>
    <t>فولاد آلياژي ايران</t>
  </si>
  <si>
    <t>852</t>
  </si>
  <si>
    <t>تبريز112</t>
  </si>
  <si>
    <t>مشاركت شهرداري تبريز-3ماهه18%</t>
  </si>
  <si>
    <t>ضبدر8034</t>
  </si>
  <si>
    <t>اختيارخ شبندر-16300-1398/08/14</t>
  </si>
  <si>
    <t>رتاپ</t>
  </si>
  <si>
    <t>تجارت الكترونيك  پارسيان</t>
  </si>
  <si>
    <t>455</t>
  </si>
  <si>
    <t>سفار</t>
  </si>
  <si>
    <t>سيمان‌فارس‌</t>
  </si>
  <si>
    <t>825</t>
  </si>
  <si>
    <t>سهگمت</t>
  </si>
  <si>
    <t>سيمان‌هگمتان‌</t>
  </si>
  <si>
    <t>فجر</t>
  </si>
  <si>
    <t>فولاد اميركبيركاشان</t>
  </si>
  <si>
    <t>2443</t>
  </si>
  <si>
    <t>صفارس412</t>
  </si>
  <si>
    <t>صكوك اجاره خليج فارس- 3ماهه16%</t>
  </si>
  <si>
    <t>ضپار1109</t>
  </si>
  <si>
    <t>اختيارخ خپارس-1700-1398/11/13</t>
  </si>
  <si>
    <t>بساما</t>
  </si>
  <si>
    <t>بيمه سامان</t>
  </si>
  <si>
    <t>370</t>
  </si>
  <si>
    <t>تليسه</t>
  </si>
  <si>
    <t>دامداري تليسه نمونه</t>
  </si>
  <si>
    <t>871</t>
  </si>
  <si>
    <t>وملي</t>
  </si>
  <si>
    <t>گروه‌ صنعتي‌ ملي‌ (هلدينگ‌</t>
  </si>
  <si>
    <t>15</t>
  </si>
  <si>
    <t>پتاير</t>
  </si>
  <si>
    <t>ايران‌ تاير</t>
  </si>
  <si>
    <t>1386</t>
  </si>
  <si>
    <t>سخوز</t>
  </si>
  <si>
    <t>سيمان خوزستان</t>
  </si>
  <si>
    <t>610</t>
  </si>
  <si>
    <t>مشير9911</t>
  </si>
  <si>
    <t>مشاركت شهرداري شيراز-3ماهه16%</t>
  </si>
  <si>
    <t>اخزا723</t>
  </si>
  <si>
    <t>اسنادخزانه-م23بودجه97-000824</t>
  </si>
  <si>
    <t>كورز</t>
  </si>
  <si>
    <t>ورزيران‌</t>
  </si>
  <si>
    <t>2622</t>
  </si>
  <si>
    <t>خاذين</t>
  </si>
  <si>
    <t>سايپاآذين‌</t>
  </si>
  <si>
    <t>-140</t>
  </si>
  <si>
    <t>جشكر903</t>
  </si>
  <si>
    <t>آتي ش قند و شكر-1399/03/31</t>
  </si>
  <si>
    <t>خپارس</t>
  </si>
  <si>
    <t>پارس‌ خودرو</t>
  </si>
  <si>
    <t>-1008</t>
  </si>
  <si>
    <t>غبشهر</t>
  </si>
  <si>
    <t>صنعتي‌ بهشهر</t>
  </si>
  <si>
    <t>اخزا707</t>
  </si>
  <si>
    <t>اسنادخزانه-م7بودجه97-980627</t>
  </si>
  <si>
    <t>ضخوز1008</t>
  </si>
  <si>
    <t>اختيارخ فخوز-11000-1398/10/30</t>
  </si>
  <si>
    <t>اخزا720</t>
  </si>
  <si>
    <t>اسنادخزانه-م20بودجه97-000324</t>
  </si>
  <si>
    <t>كشرق</t>
  </si>
  <si>
    <t>صنعتي و معدني شمال شرق شاهرود</t>
  </si>
  <si>
    <t>102</t>
  </si>
  <si>
    <t>كصدف</t>
  </si>
  <si>
    <t>كاشي صدف سرام استقلال آباده</t>
  </si>
  <si>
    <t>چنوپا</t>
  </si>
  <si>
    <t>نيوپان‌ 22 بهمن‌</t>
  </si>
  <si>
    <t>793</t>
  </si>
  <si>
    <t>0.09</t>
  </si>
  <si>
    <t>فسلير</t>
  </si>
  <si>
    <t>سوليران‌</t>
  </si>
  <si>
    <t>-786</t>
  </si>
  <si>
    <t>حكمت01</t>
  </si>
  <si>
    <t>مشاركت حكمت ايرانيان 140107</t>
  </si>
  <si>
    <t>تپمپي</t>
  </si>
  <si>
    <t>پمپ‌ سازي‌ ايران‌</t>
  </si>
  <si>
    <t>ضغدر8008</t>
  </si>
  <si>
    <t>اختيارخ وغدير-3200-1398/08/22</t>
  </si>
  <si>
    <t>كبافق</t>
  </si>
  <si>
    <t>معادن‌ بافق‌</t>
  </si>
  <si>
    <t>5164</t>
  </si>
  <si>
    <t>وسبحان</t>
  </si>
  <si>
    <t>سرمايه گذاري سبحان</t>
  </si>
  <si>
    <t>وسرمد</t>
  </si>
  <si>
    <t>بيمه  سرمد</t>
  </si>
  <si>
    <t>ضبدر1140</t>
  </si>
  <si>
    <t>اختيارخ شبندر-18300-1398/11/13</t>
  </si>
  <si>
    <t>قمرو</t>
  </si>
  <si>
    <t>قند مرودشت‌</t>
  </si>
  <si>
    <t>1445</t>
  </si>
  <si>
    <t>هاي وب</t>
  </si>
  <si>
    <t>داده گسترعصرنوين-هاي وب</t>
  </si>
  <si>
    <t>191</t>
  </si>
  <si>
    <t>دحاوي</t>
  </si>
  <si>
    <t>الحاوي</t>
  </si>
  <si>
    <t>448</t>
  </si>
  <si>
    <t>ضمخا7011</t>
  </si>
  <si>
    <t>اختيارخ اخابر-2584-1398/07/10</t>
  </si>
  <si>
    <t>خراسان</t>
  </si>
  <si>
    <t>پتروشيمي خراسان</t>
  </si>
  <si>
    <t>3929</t>
  </si>
  <si>
    <t>دسبحا</t>
  </si>
  <si>
    <t>گروه دارويي سبحان</t>
  </si>
  <si>
    <t>620</t>
  </si>
  <si>
    <t>فزرين</t>
  </si>
  <si>
    <t>زرين معدن آسيا</t>
  </si>
  <si>
    <t>792</t>
  </si>
  <si>
    <t>صبا1401</t>
  </si>
  <si>
    <t>اجاره مهندسي صبا نفت14010225</t>
  </si>
  <si>
    <t>شفارس</t>
  </si>
  <si>
    <t>صنايع‌ شيميايي‌ فارس‌</t>
  </si>
  <si>
    <t>مبين016</t>
  </si>
  <si>
    <t>اجاره اعتماد مبين اميد011019</t>
  </si>
  <si>
    <t>سمايه</t>
  </si>
  <si>
    <t>بانك سرمايه</t>
  </si>
  <si>
    <t>-18104</t>
  </si>
  <si>
    <t>وگستر</t>
  </si>
  <si>
    <t>گسترش سرمايه گذاري ايرانيان</t>
  </si>
  <si>
    <t>381</t>
  </si>
  <si>
    <t>ودي</t>
  </si>
  <si>
    <t>بيمه  دي</t>
  </si>
  <si>
    <t>460</t>
  </si>
  <si>
    <t>شرانل</t>
  </si>
  <si>
    <t>نفت ايرانول</t>
  </si>
  <si>
    <t>1814</t>
  </si>
  <si>
    <t>پشاهن</t>
  </si>
  <si>
    <t>توليدي پلاستيك‌ شاهين</t>
  </si>
  <si>
    <t>314</t>
  </si>
  <si>
    <t>20.06</t>
  </si>
  <si>
    <t>شگل</t>
  </si>
  <si>
    <t>گلتاش‌</t>
  </si>
  <si>
    <t>1373</t>
  </si>
  <si>
    <t>ضچاد1011</t>
  </si>
  <si>
    <t>اختيارخ كچاد-6500-1398/10/04</t>
  </si>
  <si>
    <t>فاهواز</t>
  </si>
  <si>
    <t>نورد و لوله اهواز</t>
  </si>
  <si>
    <t>-48</t>
  </si>
  <si>
    <t>حآسا</t>
  </si>
  <si>
    <t>آسيا سير ارس</t>
  </si>
  <si>
    <t>133</t>
  </si>
  <si>
    <t>گكيش</t>
  </si>
  <si>
    <t>توريستي ورفاهي آبادگران كيش</t>
  </si>
  <si>
    <t>221</t>
  </si>
  <si>
    <t>ضپار8001</t>
  </si>
  <si>
    <t>اختيارخ خپارس-900-1398/08/14</t>
  </si>
  <si>
    <t>ساروج</t>
  </si>
  <si>
    <t>بين المللي ساروج بوشهر</t>
  </si>
  <si>
    <t>922</t>
  </si>
  <si>
    <t>دي</t>
  </si>
  <si>
    <t>بانك دي</t>
  </si>
  <si>
    <t>-5838</t>
  </si>
  <si>
    <t>غچين</t>
  </si>
  <si>
    <t>كشت‌ و صنعت‌ چين‌ چين</t>
  </si>
  <si>
    <t>خساپا</t>
  </si>
  <si>
    <t>سايپا</t>
  </si>
  <si>
    <t>-1626</t>
  </si>
  <si>
    <t>وثنو</t>
  </si>
  <si>
    <t>سرمايه گذاري ساختماني نوين</t>
  </si>
  <si>
    <t>456</t>
  </si>
  <si>
    <t>ضشنا1027</t>
  </si>
  <si>
    <t>اختيارخ شپنا-11200-1398/10/22</t>
  </si>
  <si>
    <t>وسينا</t>
  </si>
  <si>
    <t>بانك سينا</t>
  </si>
  <si>
    <t>107</t>
  </si>
  <si>
    <t>ثنظام</t>
  </si>
  <si>
    <t>س. ساختماني نظام مهندسي ايران</t>
  </si>
  <si>
    <t>71</t>
  </si>
  <si>
    <t>ضپار8005</t>
  </si>
  <si>
    <t>اختيارخ خپارس-1300-1398/08/14</t>
  </si>
  <si>
    <t>اميدح</t>
  </si>
  <si>
    <t>ح . تامين سرمايه اميد</t>
  </si>
  <si>
    <t>ولساپا</t>
  </si>
  <si>
    <t>ليزينگ رايان‌ سايپا</t>
  </si>
  <si>
    <t>226</t>
  </si>
  <si>
    <t>صايند</t>
  </si>
  <si>
    <t>صندوق س. گنجينه آينده روشن-د</t>
  </si>
  <si>
    <t>صايند2</t>
  </si>
  <si>
    <t>ضسان7034</t>
  </si>
  <si>
    <t>اختيارخ پارسان-4600-1398/07/24</t>
  </si>
  <si>
    <t>بخاور</t>
  </si>
  <si>
    <t>بيمه زندگي خاورميانه</t>
  </si>
  <si>
    <t>123</t>
  </si>
  <si>
    <t>غپآذر</t>
  </si>
  <si>
    <t>شير پگاه آذربايجان شرقي</t>
  </si>
  <si>
    <t>364</t>
  </si>
  <si>
    <t>كايتا</t>
  </si>
  <si>
    <t>ايتالران‌</t>
  </si>
  <si>
    <t>201</t>
  </si>
  <si>
    <t>لكما</t>
  </si>
  <si>
    <t>كارخانجات‌مخابراتي‌ايران‌</t>
  </si>
  <si>
    <t>-121</t>
  </si>
  <si>
    <t>امين يكم</t>
  </si>
  <si>
    <t>صندوق درآمد ثابت امين يكم فردا</t>
  </si>
  <si>
    <t>ضفلا8040</t>
  </si>
  <si>
    <t>اختيارخ فولاد-2900-1398/08/26</t>
  </si>
  <si>
    <t>خرينگ</t>
  </si>
  <si>
    <t>رينگ‌سازي‌مشهد</t>
  </si>
  <si>
    <t>25</t>
  </si>
  <si>
    <t>وآفر</t>
  </si>
  <si>
    <t>سرمايه گذاري ارزش آفرينان</t>
  </si>
  <si>
    <t>0</t>
  </si>
  <si>
    <t>بفجر</t>
  </si>
  <si>
    <t>پتروشيمي فجر</t>
  </si>
  <si>
    <t>1106</t>
  </si>
  <si>
    <t>زير9903پ03</t>
  </si>
  <si>
    <t>زيره سبز9903شركت بيهق(پ)</t>
  </si>
  <si>
    <t>فولاد</t>
  </si>
  <si>
    <t>فولاد مباركه اصفهان</t>
  </si>
  <si>
    <t>1104</t>
  </si>
  <si>
    <t>اخزا714</t>
  </si>
  <si>
    <t>اسنادخزانه-م14بودجه97-980722</t>
  </si>
  <si>
    <t>كرانه99</t>
  </si>
  <si>
    <t>مرابحه بنا گستر كرانه991222</t>
  </si>
  <si>
    <t>ضچاد1010</t>
  </si>
  <si>
    <t>اختيارخ كچاد-6000-1398/10/04</t>
  </si>
  <si>
    <t>سمگا</t>
  </si>
  <si>
    <t>گروه سرمايه گذاري ميراث فرهنگي</t>
  </si>
  <si>
    <t>بترانس</t>
  </si>
  <si>
    <t>ايران‌ ترانسفو</t>
  </si>
  <si>
    <t>462</t>
  </si>
  <si>
    <t>اتكام</t>
  </si>
  <si>
    <t>شركت بيمه اتكايي امين</t>
  </si>
  <si>
    <t>343</t>
  </si>
  <si>
    <t>اخزا721</t>
  </si>
  <si>
    <t>اسنادخزانه-م21بودجه97-000728</t>
  </si>
  <si>
    <t>وآيند</t>
  </si>
  <si>
    <t>بانك  آينده</t>
  </si>
  <si>
    <t>وصنا</t>
  </si>
  <si>
    <t>گروه‌صنايع‌بهشهرايران‌</t>
  </si>
  <si>
    <t>604</t>
  </si>
  <si>
    <t>ضپار1108</t>
  </si>
  <si>
    <t>اختيارخ خپارس-1600-1398/11/13</t>
  </si>
  <si>
    <t>وتوكا</t>
  </si>
  <si>
    <t>سرمايه‌گذاري‌توكافولاد(هلدينگ</t>
  </si>
  <si>
    <t>196</t>
  </si>
  <si>
    <t>ضچاد1008</t>
  </si>
  <si>
    <t>اختيارخ كچاد-5300-1398/10/04</t>
  </si>
  <si>
    <t>وخاور</t>
  </si>
  <si>
    <t>بانك خاورميانه</t>
  </si>
  <si>
    <t>703</t>
  </si>
  <si>
    <t>دسانكو</t>
  </si>
  <si>
    <t>داروسازي سبحان انكولوژي</t>
  </si>
  <si>
    <t>170</t>
  </si>
  <si>
    <t>بسويچ</t>
  </si>
  <si>
    <t>پارس‌سويچ‌</t>
  </si>
  <si>
    <t>731</t>
  </si>
  <si>
    <t>ثتوسا</t>
  </si>
  <si>
    <t>س.توسعه و عمران استان اردبيل</t>
  </si>
  <si>
    <t>سيستم</t>
  </si>
  <si>
    <t>همكاران سيستم</t>
  </si>
  <si>
    <t>763</t>
  </si>
  <si>
    <t>سخوزح</t>
  </si>
  <si>
    <t>ح . سيمان خوزستان</t>
  </si>
  <si>
    <t>واعتبار</t>
  </si>
  <si>
    <t>سرمايه گذاري اعتبار ايران</t>
  </si>
  <si>
    <t>وكار</t>
  </si>
  <si>
    <t>بانك‌ كارآفرين‌</t>
  </si>
  <si>
    <t>232</t>
  </si>
  <si>
    <t>وبانك</t>
  </si>
  <si>
    <t>سرمايه گذاري گروه توسعه ملي</t>
  </si>
  <si>
    <t>734</t>
  </si>
  <si>
    <t>صايپا412</t>
  </si>
  <si>
    <t>صكوك مرابحه سايپا412-3ماهه 16%</t>
  </si>
  <si>
    <t>ولبهمن</t>
  </si>
  <si>
    <t>شركت بهمن ليزينگ</t>
  </si>
  <si>
    <t>تسه9612</t>
  </si>
  <si>
    <t>امتياز تسهيلات مسكن اسفند96</t>
  </si>
  <si>
    <t>اجاد22</t>
  </si>
  <si>
    <t>اجاره دولتي آپرورش-لوتوس991118</t>
  </si>
  <si>
    <t>صمسكن912</t>
  </si>
  <si>
    <t>ص دين مسكن جنوب-ماهانه16درصد</t>
  </si>
  <si>
    <t>دانا</t>
  </si>
  <si>
    <t>بيمه دانا</t>
  </si>
  <si>
    <t>سلامت5</t>
  </si>
  <si>
    <t>مرابحه دولتي تعاون-نوين991118</t>
  </si>
  <si>
    <t>شبريز</t>
  </si>
  <si>
    <t>پالايش نفت تبريز</t>
  </si>
  <si>
    <t>5063</t>
  </si>
  <si>
    <t>صخود1412</t>
  </si>
  <si>
    <t>ص مرابحه خودرو1412- 3ماهه 18%</t>
  </si>
  <si>
    <t>ضغدر8003</t>
  </si>
  <si>
    <t>اختيارخ وغدير-2200-1398/08/22</t>
  </si>
  <si>
    <t>طجار7009</t>
  </si>
  <si>
    <t>اختيارف وتجارت-1200-1398/07/07</t>
  </si>
  <si>
    <t>خگستر</t>
  </si>
  <si>
    <t>گسترش‌سرمايه‌گذاري‌ايران‌خودرو</t>
  </si>
  <si>
    <t>57</t>
  </si>
  <si>
    <t>دعبيد</t>
  </si>
  <si>
    <t>لابراتوارداروسازي‌  دكترعبيدي‌</t>
  </si>
  <si>
    <t>نشار</t>
  </si>
  <si>
    <t>كارخانجات پشمبافي افشار يزد</t>
  </si>
  <si>
    <t>-1118</t>
  </si>
  <si>
    <t>-0.83</t>
  </si>
  <si>
    <t>ضپيك1007</t>
  </si>
  <si>
    <t>اختيارخ تاپيكو-3200-1398/10/30</t>
  </si>
  <si>
    <t>شجم</t>
  </si>
  <si>
    <t>صنايع پتروشيمي تخت جمشيد</t>
  </si>
  <si>
    <t>274</t>
  </si>
  <si>
    <t>ضملي8041</t>
  </si>
  <si>
    <t>اختيارخ فملي -4050-1398/08/19</t>
  </si>
  <si>
    <t>كاذر</t>
  </si>
  <si>
    <t>فرآورده‌هاي‌نسوزآذر</t>
  </si>
  <si>
    <t>582</t>
  </si>
  <si>
    <t>فبيرا</t>
  </si>
  <si>
    <t>بسته‌ بندي‌ ايران‌</t>
  </si>
  <si>
    <t>افق</t>
  </si>
  <si>
    <t>فروشگاههاي زنجيره اي افق كوروش</t>
  </si>
  <si>
    <t>3502</t>
  </si>
  <si>
    <t>اجاد26</t>
  </si>
  <si>
    <t>اجاره دولتي آپرورش-اميد991118</t>
  </si>
  <si>
    <t>جهرم</t>
  </si>
  <si>
    <t>پتروشيمي جهرم</t>
  </si>
  <si>
    <t>ضفلا1142</t>
  </si>
  <si>
    <t>اختيارخ فولاد-4500-1398/11/27</t>
  </si>
  <si>
    <t>عمرغ2</t>
  </si>
  <si>
    <t>اوراق سلف مرغ منجمد بهپرور</t>
  </si>
  <si>
    <t>كيسون</t>
  </si>
  <si>
    <t>شركت كيسون</t>
  </si>
  <si>
    <t>104</t>
  </si>
  <si>
    <t>تاپكيش</t>
  </si>
  <si>
    <t>تجارت الكترونيك پارسيان كيش</t>
  </si>
  <si>
    <t>دامين</t>
  </si>
  <si>
    <t>داروسازي‌ امين‌</t>
  </si>
  <si>
    <t>840</t>
  </si>
  <si>
    <t>خليبل</t>
  </si>
  <si>
    <t>ماليبل سايپا</t>
  </si>
  <si>
    <t>-138</t>
  </si>
  <si>
    <t>-1.72</t>
  </si>
  <si>
    <t>ختور</t>
  </si>
  <si>
    <t>رادياتور ايران‌</t>
  </si>
  <si>
    <t>422</t>
  </si>
  <si>
    <t>سلامت2</t>
  </si>
  <si>
    <t>مرابحه دولت تعاون-كاردان991118</t>
  </si>
  <si>
    <t>كمرجان</t>
  </si>
  <si>
    <t>بازرگاني و توليدي مرجان كار</t>
  </si>
  <si>
    <t>غيوان</t>
  </si>
  <si>
    <t>كيوان</t>
  </si>
  <si>
    <t>-473</t>
  </si>
  <si>
    <t>-15.96</t>
  </si>
  <si>
    <t>ضترا8009</t>
  </si>
  <si>
    <t>اختيارخ شتران-5019-1398/08/12</t>
  </si>
  <si>
    <t>كرمان</t>
  </si>
  <si>
    <t>س. توسعه و عمران استان كرمان</t>
  </si>
  <si>
    <t>1071</t>
  </si>
  <si>
    <t>اخزا604</t>
  </si>
  <si>
    <t>اسنادخزانه-م4بودجه96-980820</t>
  </si>
  <si>
    <t>اشاد8</t>
  </si>
  <si>
    <t>مشاركت دولتي8-شرايط خاص981030</t>
  </si>
  <si>
    <t>آسيا</t>
  </si>
  <si>
    <t>بيمه آسيا</t>
  </si>
  <si>
    <t>310</t>
  </si>
  <si>
    <t>غشوكو</t>
  </si>
  <si>
    <t>شوكو پارس</t>
  </si>
  <si>
    <t>134</t>
  </si>
  <si>
    <t>اروند02</t>
  </si>
  <si>
    <t>منفعت صبا اروند امين14001113</t>
  </si>
  <si>
    <t>تابا</t>
  </si>
  <si>
    <t>تابان نيرو سپاهان</t>
  </si>
  <si>
    <t>شتران</t>
  </si>
  <si>
    <t>پالايش نفت تهران</t>
  </si>
  <si>
    <t>1047</t>
  </si>
  <si>
    <t>بپاس</t>
  </si>
  <si>
    <t>بيمه پاسارگاد</t>
  </si>
  <si>
    <t>724</t>
  </si>
  <si>
    <t>سغرب</t>
  </si>
  <si>
    <t>سيمان‌غرب‌</t>
  </si>
  <si>
    <t>473</t>
  </si>
  <si>
    <t>واميد</t>
  </si>
  <si>
    <t>گروه مديريت سرمايه گذاري اميد</t>
  </si>
  <si>
    <t>جاتو806</t>
  </si>
  <si>
    <t>آتي ش خودرو و قطعات-1398/06/27</t>
  </si>
  <si>
    <t>صخود412</t>
  </si>
  <si>
    <t>ص مرابحه خودرو412- 3ماهه 18%</t>
  </si>
  <si>
    <t>ضچاد7009</t>
  </si>
  <si>
    <t>اختيارخ كچاد-5800-1398/07/03</t>
  </si>
  <si>
    <t>دكپسول</t>
  </si>
  <si>
    <t>توليد ژلاتين كپسول ايران</t>
  </si>
  <si>
    <t>ضگل1138</t>
  </si>
  <si>
    <t>اختيارخ كگل-8500-1398/11/20</t>
  </si>
  <si>
    <t>ضشنا7044</t>
  </si>
  <si>
    <t>اختيارخ شپنا-14200-1398/07/21</t>
  </si>
  <si>
    <t>تكنار</t>
  </si>
  <si>
    <t>مجتمع معادن مس تكنار</t>
  </si>
  <si>
    <t>-394</t>
  </si>
  <si>
    <t>مبين011</t>
  </si>
  <si>
    <t>اجاره اعتماد مبين لوتوس010710</t>
  </si>
  <si>
    <t>پلاست</t>
  </si>
  <si>
    <t>كارخانجات توليدي پلاستيران</t>
  </si>
  <si>
    <t>-2350</t>
  </si>
  <si>
    <t>ضفلا8047</t>
  </si>
  <si>
    <t>اختيارخ فولاد-4300-1398/08/26</t>
  </si>
  <si>
    <t>زير9903پ01</t>
  </si>
  <si>
    <t>زيره سبز9903 كيميابذر(پ)</t>
  </si>
  <si>
    <t>اخزا613</t>
  </si>
  <si>
    <t>اسنادخزانه-م13بودجه96-981016</t>
  </si>
  <si>
    <t>غمارگ</t>
  </si>
  <si>
    <t>مارگارين‌</t>
  </si>
  <si>
    <t>چكارن</t>
  </si>
  <si>
    <t>كارتن‌ ايران‌</t>
  </si>
  <si>
    <t>788</t>
  </si>
  <si>
    <t>تبرك</t>
  </si>
  <si>
    <t>گروه كارخانجات صنعتي تبرك</t>
  </si>
  <si>
    <t>463</t>
  </si>
  <si>
    <t>كيان</t>
  </si>
  <si>
    <t>صندوق س. با درآمد ثابت كيان</t>
  </si>
  <si>
    <t>مارون</t>
  </si>
  <si>
    <t>پتروشيمي مارون</t>
  </si>
  <si>
    <t>5670</t>
  </si>
  <si>
    <t>وارس</t>
  </si>
  <si>
    <t>سرمايه گذاري ارس صبا</t>
  </si>
  <si>
    <t>1172</t>
  </si>
  <si>
    <t>تملي702</t>
  </si>
  <si>
    <t>تسهيلات مسكن ب. ملي-ارديبهشت97</t>
  </si>
  <si>
    <t>ثپرديس</t>
  </si>
  <si>
    <t>سرمايه گذاري مسكن پرديس</t>
  </si>
  <si>
    <t>160</t>
  </si>
  <si>
    <t>ضگل8046</t>
  </si>
  <si>
    <t>اختيارخ كگل-7920-1398/08/22</t>
  </si>
  <si>
    <t>ضگل1133</t>
  </si>
  <si>
    <t>اختيارخ كگل-6420-1398/11/20</t>
  </si>
  <si>
    <t>كمينا</t>
  </si>
  <si>
    <t>شيشه سازي مينا</t>
  </si>
  <si>
    <t>369</t>
  </si>
  <si>
    <t>فسرب</t>
  </si>
  <si>
    <t>ملي‌ سرب‌وروي‌ ايران‌</t>
  </si>
  <si>
    <t>1103</t>
  </si>
  <si>
    <t>بتك</t>
  </si>
  <si>
    <t>كارخانجات كابل سازي‌ تك‌</t>
  </si>
  <si>
    <t>زبينا</t>
  </si>
  <si>
    <t>كشاورزي و دامپروري بينالود</t>
  </si>
  <si>
    <t>358</t>
  </si>
  <si>
    <t>ضشنا1029</t>
  </si>
  <si>
    <t>اختيارخ شپنا-13200-1398/10/22</t>
  </si>
  <si>
    <t>جسيما806</t>
  </si>
  <si>
    <t>آتي ش سيمان-1398/06/09</t>
  </si>
  <si>
    <t>وتوشه</t>
  </si>
  <si>
    <t>سرمايه‌ گذاري‌ پارس‌ توشه‌</t>
  </si>
  <si>
    <t>اروند07</t>
  </si>
  <si>
    <t>منفعت صبا اروند نوين 14001113</t>
  </si>
  <si>
    <t>صگل1411</t>
  </si>
  <si>
    <t>ص اجاره گل گهر 1411-3 ماهه 17%</t>
  </si>
  <si>
    <t>ضمخا1014</t>
  </si>
  <si>
    <t>اختيارخ اخابر-4000-1398/10/11</t>
  </si>
  <si>
    <t>ضگل8043</t>
  </si>
  <si>
    <t>اختيارخ كگل-6420-1398/08/22</t>
  </si>
  <si>
    <t>آپ</t>
  </si>
  <si>
    <t>آسان پرداخت پرشين</t>
  </si>
  <si>
    <t>1145</t>
  </si>
  <si>
    <t>صخود1404</t>
  </si>
  <si>
    <t>صكوك رهني خودرو1404- 3ماهه 16%</t>
  </si>
  <si>
    <t>تسه9611</t>
  </si>
  <si>
    <t>امتياز تسهيلات مسكن بهمن96</t>
  </si>
  <si>
    <t>لسرما</t>
  </si>
  <si>
    <t>سرما آفرين‌</t>
  </si>
  <si>
    <t>276</t>
  </si>
  <si>
    <t>سخواف</t>
  </si>
  <si>
    <t>سيمان مجد خواف</t>
  </si>
  <si>
    <t>-46</t>
  </si>
  <si>
    <t>اخزا713</t>
  </si>
  <si>
    <t>اسنادخزانه-م13بودجه97-000518</t>
  </si>
  <si>
    <t>لخانه</t>
  </si>
  <si>
    <t>لوازم‌ خانگي‌ پارس‌</t>
  </si>
  <si>
    <t>298</t>
  </si>
  <si>
    <t>زعف9808پ06</t>
  </si>
  <si>
    <t>زعفران9808پوشالمعمولي زرين(پ)</t>
  </si>
  <si>
    <t>فنورد</t>
  </si>
  <si>
    <t>نوردوقطعات‌ فولادي‌</t>
  </si>
  <si>
    <t>-71</t>
  </si>
  <si>
    <t>دفارا</t>
  </si>
  <si>
    <t>داروسازي‌ فارابي‌</t>
  </si>
  <si>
    <t>2673</t>
  </si>
  <si>
    <t>شكبير</t>
  </si>
  <si>
    <t>پتروشيمي اميركبير</t>
  </si>
  <si>
    <t>3031</t>
  </si>
  <si>
    <t>وسين</t>
  </si>
  <si>
    <t>بيمه سينا</t>
  </si>
  <si>
    <t>-214</t>
  </si>
  <si>
    <t>جسي806</t>
  </si>
  <si>
    <t>آتي ش 30 شركت بزرگ-1398/06/31</t>
  </si>
  <si>
    <t>حاريا</t>
  </si>
  <si>
    <t>كشتيراني آريا</t>
  </si>
  <si>
    <t>-238</t>
  </si>
  <si>
    <t>قلرست</t>
  </si>
  <si>
    <t>قند لرستان‌</t>
  </si>
  <si>
    <t>666</t>
  </si>
  <si>
    <t>تملي703</t>
  </si>
  <si>
    <t>تسهيلات مسكن ب. ملي-خرداد97</t>
  </si>
  <si>
    <t>اخزا612</t>
  </si>
  <si>
    <t>اسنادخزانه-م12بودجه96-981114</t>
  </si>
  <si>
    <t>ريل1401</t>
  </si>
  <si>
    <t>اجاره ريل كوثر14010509</t>
  </si>
  <si>
    <t>صايپا012</t>
  </si>
  <si>
    <t>صكوك مرابحه سايپا012-3ماهه 16%</t>
  </si>
  <si>
    <t>كرازي</t>
  </si>
  <si>
    <t>كارخانجات‌توليدي‌شيشه‌رازي‌</t>
  </si>
  <si>
    <t>684</t>
  </si>
  <si>
    <t>ضسان7037</t>
  </si>
  <si>
    <t>اختيارخ پارسان-5500-1398/07/24</t>
  </si>
  <si>
    <t>خموتور</t>
  </si>
  <si>
    <t>موتورسازان‌تراكتورسازي‌ايران‌</t>
  </si>
  <si>
    <t>وصنعت</t>
  </si>
  <si>
    <t>سرمايه گذاري توسعه صنعت وتجارت</t>
  </si>
  <si>
    <t>650</t>
  </si>
  <si>
    <t>اجاد24</t>
  </si>
  <si>
    <t>اجاره دولتي آپرورش-نوين991118</t>
  </si>
  <si>
    <t>غگز</t>
  </si>
  <si>
    <t>گز سكه</t>
  </si>
  <si>
    <t>-182</t>
  </si>
  <si>
    <t>وجامي</t>
  </si>
  <si>
    <t>سرمايه گذاري جامي</t>
  </si>
  <si>
    <t>زعف9808پ08</t>
  </si>
  <si>
    <t>زعفران9808نگين ت.روستا(پ)</t>
  </si>
  <si>
    <t>پلاسك</t>
  </si>
  <si>
    <t>پلاسكوكار</t>
  </si>
  <si>
    <t>-94</t>
  </si>
  <si>
    <t>اوصتا</t>
  </si>
  <si>
    <t>صندوق انديشه ورزان صباتامين -د</t>
  </si>
  <si>
    <t>فنوال</t>
  </si>
  <si>
    <t>نورد آلومينيوم‌</t>
  </si>
  <si>
    <t>239</t>
  </si>
  <si>
    <t>والبر</t>
  </si>
  <si>
    <t>سرمايه‌ گذاري‌ البرز(هلدينگ‌</t>
  </si>
  <si>
    <t>518</t>
  </si>
  <si>
    <t>سمتاز</t>
  </si>
  <si>
    <t>سيمان ممتازان كرمان</t>
  </si>
  <si>
    <t>1126</t>
  </si>
  <si>
    <t>عكاوه</t>
  </si>
  <si>
    <t>اوراق سلف شمش فولاد كاوه</t>
  </si>
  <si>
    <t>شكف</t>
  </si>
  <si>
    <t>كف</t>
  </si>
  <si>
    <t>-2820</t>
  </si>
  <si>
    <t>فرابورس</t>
  </si>
  <si>
    <t>فرابورس ايران</t>
  </si>
  <si>
    <t>ومعادن</t>
  </si>
  <si>
    <t>توسعه‌معادن‌وفلزات‌</t>
  </si>
  <si>
    <t>511</t>
  </si>
  <si>
    <t>ضبدر1136</t>
  </si>
  <si>
    <t>اختيارخ شبندر-14300-1398/11/13</t>
  </si>
  <si>
    <t>ونيروح</t>
  </si>
  <si>
    <t>ح . سرمايه‌گذاري‌نيرو</t>
  </si>
  <si>
    <t>لوتوس</t>
  </si>
  <si>
    <t>تامين سرمايه لوتوس پارسيان</t>
  </si>
  <si>
    <t>رايان106</t>
  </si>
  <si>
    <t>مشاركت رايان سايپا-3ماهه16%</t>
  </si>
  <si>
    <t>خكار</t>
  </si>
  <si>
    <t>ايركا پارت صنعت</t>
  </si>
  <si>
    <t>ارفع</t>
  </si>
  <si>
    <t>شركت آهن و فولاد ارفع</t>
  </si>
  <si>
    <t>1242</t>
  </si>
  <si>
    <t>فنفت</t>
  </si>
  <si>
    <t>صنايع تجهيزات نفت</t>
  </si>
  <si>
    <t>وپترو</t>
  </si>
  <si>
    <t>سرمايه‌گذاري صنايع پتروشيمي‌</t>
  </si>
  <si>
    <t>اميد99</t>
  </si>
  <si>
    <t>مشارکت ليزينگ اميد9907</t>
  </si>
  <si>
    <t>سخند</t>
  </si>
  <si>
    <t>صندوق س.سپهرخبرگان نفت-د</t>
  </si>
  <si>
    <t>پرداخت</t>
  </si>
  <si>
    <t>به پرداخت ملت</t>
  </si>
  <si>
    <t>1470</t>
  </si>
  <si>
    <t>ثاباد</t>
  </si>
  <si>
    <t>توريستي ورفاهي آبادگران ايران</t>
  </si>
  <si>
    <t>26</t>
  </si>
  <si>
    <t>شسم</t>
  </si>
  <si>
    <t>توليد سموم‌ علف‌ كش</t>
  </si>
  <si>
    <t>-654</t>
  </si>
  <si>
    <t>نوين</t>
  </si>
  <si>
    <t>بيمه نوين</t>
  </si>
  <si>
    <t>335</t>
  </si>
  <si>
    <t>غشاذر</t>
  </si>
  <si>
    <t>پگاه‌آذربايجان‌غربي‌</t>
  </si>
  <si>
    <t>93</t>
  </si>
  <si>
    <t>نبروج</t>
  </si>
  <si>
    <t>نساجي‌ بروجرد</t>
  </si>
  <si>
    <t>1266</t>
  </si>
  <si>
    <t>3.22</t>
  </si>
  <si>
    <t>ورازي</t>
  </si>
  <si>
    <t>بيمه رازي</t>
  </si>
  <si>
    <t>-7</t>
  </si>
  <si>
    <t>تملي801</t>
  </si>
  <si>
    <t>تسهيلات مسكن ب. ملي-فروردين98</t>
  </si>
  <si>
    <t>شاوان</t>
  </si>
  <si>
    <t>پالايش نفت لاوان</t>
  </si>
  <si>
    <t>3899</t>
  </si>
  <si>
    <t>اروند08</t>
  </si>
  <si>
    <t>منفعت صبا اروند ملت 14001222</t>
  </si>
  <si>
    <t>كاوه</t>
  </si>
  <si>
    <t>فولاد كاوه جنوب كيش</t>
  </si>
  <si>
    <t>745</t>
  </si>
  <si>
    <t>دالبر</t>
  </si>
  <si>
    <t>البرزدارو</t>
  </si>
  <si>
    <t>889</t>
  </si>
  <si>
    <t>بورس</t>
  </si>
  <si>
    <t>بورس اوراق بهادار تهران</t>
  </si>
  <si>
    <t>رايان</t>
  </si>
  <si>
    <t>مشاركت رايان سايپا 3 ماهه 22%</t>
  </si>
  <si>
    <t>حكشتي</t>
  </si>
  <si>
    <t>كشتيراني جمهوري اسلامي ايران</t>
  </si>
  <si>
    <t>78</t>
  </si>
  <si>
    <t>فلات</t>
  </si>
  <si>
    <t>گروه صنايع معادن فلات ايرانيان</t>
  </si>
  <si>
    <t>16</t>
  </si>
  <si>
    <t>سقاين</t>
  </si>
  <si>
    <t>سيمان‌ قائن‌</t>
  </si>
  <si>
    <t>975</t>
  </si>
  <si>
    <t>ضفلا8050</t>
  </si>
  <si>
    <t>اختيارخ فولاد-5200-1398/08/26</t>
  </si>
  <si>
    <t>تسه9707</t>
  </si>
  <si>
    <t>امتياز تسهيلات مسكن مهر97</t>
  </si>
  <si>
    <t>شپارس</t>
  </si>
  <si>
    <t>بين‌ المللي‌ محصولات‌  پارس‌</t>
  </si>
  <si>
    <t>513</t>
  </si>
  <si>
    <t>17.53</t>
  </si>
  <si>
    <t>آكورد2</t>
  </si>
  <si>
    <t>وبرق</t>
  </si>
  <si>
    <t>س.کارکنان صنعت برق زنجان وقزوي</t>
  </si>
  <si>
    <t>439</t>
  </si>
  <si>
    <t>ضجار7004</t>
  </si>
  <si>
    <t>اختيارخ وتجارت-700-1398/07/07</t>
  </si>
  <si>
    <t>دابور</t>
  </si>
  <si>
    <t>داروسازي‌ ابوريحان‌</t>
  </si>
  <si>
    <t>1831</t>
  </si>
  <si>
    <t>تسه9712</t>
  </si>
  <si>
    <t>امتياز تسهيلات مسكن اسفند97</t>
  </si>
  <si>
    <t>تهران812</t>
  </si>
  <si>
    <t>غشصفا</t>
  </si>
  <si>
    <t>شيرپاستوريزه‌پگاه‌اصفهان‌</t>
  </si>
  <si>
    <t>1323</t>
  </si>
  <si>
    <t>تملي707</t>
  </si>
  <si>
    <t>تسهيلات مسكن ب. ملي-مهر97</t>
  </si>
  <si>
    <t>ضخود1018</t>
  </si>
  <si>
    <t>اختيارخ خودرو-3400-1398/10/15</t>
  </si>
  <si>
    <t>سلار</t>
  </si>
  <si>
    <t>شركت سيمان لارستان</t>
  </si>
  <si>
    <t>29</t>
  </si>
  <si>
    <t>گندم2</t>
  </si>
  <si>
    <t>مرابحه گندم2-واجدشرايط خاص1400</t>
  </si>
  <si>
    <t>مبين014</t>
  </si>
  <si>
    <t>اجاره اعتماد مبين لوتوس011019</t>
  </si>
  <si>
    <t>تسه9606</t>
  </si>
  <si>
    <t>امتياز تسهيلات مسكن شهريور 96</t>
  </si>
  <si>
    <t>تسه9703</t>
  </si>
  <si>
    <t>امتياز تسهيلات مسكن خرداد97</t>
  </si>
  <si>
    <t>ضسان1027</t>
  </si>
  <si>
    <t>اختيارخ پارسان-7000-1398/10/25</t>
  </si>
  <si>
    <t>شكلر</t>
  </si>
  <si>
    <t>نيروكلر</t>
  </si>
  <si>
    <t>1032</t>
  </si>
  <si>
    <t>تكشا</t>
  </si>
  <si>
    <t>گسترش‌صنايع‌وخدمات‌كشاورزي‌</t>
  </si>
  <si>
    <t>498</t>
  </si>
  <si>
    <t>ضفلا8051</t>
  </si>
  <si>
    <t>اختيارخ فولاد-5700-1398/08/26</t>
  </si>
  <si>
    <t>ونيرو</t>
  </si>
  <si>
    <t>سرمايه‌گذاري‌نيرو</t>
  </si>
  <si>
    <t>جبانك806</t>
  </si>
  <si>
    <t>آتي ش بانك ها-1398/06/20</t>
  </si>
  <si>
    <t>ضترا1109</t>
  </si>
  <si>
    <t>اختيارخ شتران-5019-1398/11/08</t>
  </si>
  <si>
    <t>پاكشو</t>
  </si>
  <si>
    <t>گروه صنعتي پاكشو</t>
  </si>
  <si>
    <t>4636</t>
  </si>
  <si>
    <t>ضگل8044</t>
  </si>
  <si>
    <t>اختيارخ كگل-6920-1398/08/22</t>
  </si>
  <si>
    <t>بالبر</t>
  </si>
  <si>
    <t>كابل‌ البرز</t>
  </si>
  <si>
    <t>كي بي سي</t>
  </si>
  <si>
    <t>شركت كي بي سي</t>
  </si>
  <si>
    <t>دشيري</t>
  </si>
  <si>
    <t xml:space="preserve">شيرين دارو	</t>
  </si>
  <si>
    <t>11976</t>
  </si>
  <si>
    <t>ضمخا7013</t>
  </si>
  <si>
    <t>اختيارخ اخابر-2984-1398/07/10</t>
  </si>
  <si>
    <t>ضپار8006</t>
  </si>
  <si>
    <t>اختيارخ خپارس-1400-1398/08/14</t>
  </si>
  <si>
    <t>لابسا</t>
  </si>
  <si>
    <t>آبسال‌</t>
  </si>
  <si>
    <t>1070</t>
  </si>
  <si>
    <t>عفولاد</t>
  </si>
  <si>
    <t>اوراق سلف ورق گرم فولاد</t>
  </si>
  <si>
    <t>قنيشا</t>
  </si>
  <si>
    <t>قند  نيشابور</t>
  </si>
  <si>
    <t>743</t>
  </si>
  <si>
    <t>ثشاهد</t>
  </si>
  <si>
    <t>سرمايه‌ گذاري‌ شاهد</t>
  </si>
  <si>
    <t>164</t>
  </si>
  <si>
    <t>كقزوي</t>
  </si>
  <si>
    <t>شيشه‌ قزوين‌</t>
  </si>
  <si>
    <t>پاسا</t>
  </si>
  <si>
    <t>ايران‌ياساتايرورابر</t>
  </si>
  <si>
    <t>682</t>
  </si>
  <si>
    <t>حبندر</t>
  </si>
  <si>
    <t>دريايي و کشتيراني خط دريابندر</t>
  </si>
  <si>
    <t>1276</t>
  </si>
  <si>
    <t>اپرداز</t>
  </si>
  <si>
    <t>آتيه داده پرداز</t>
  </si>
  <si>
    <t>569</t>
  </si>
  <si>
    <t>خشرق</t>
  </si>
  <si>
    <t>الكتريك‌ خودرو شرق‌</t>
  </si>
  <si>
    <t>وتجارت</t>
  </si>
  <si>
    <t>بانك تجارت</t>
  </si>
  <si>
    <t>ضمخا7014</t>
  </si>
  <si>
    <t>اختيارخ اخابر-3184-1398/07/10</t>
  </si>
  <si>
    <t>ضچاد7008</t>
  </si>
  <si>
    <t>اختيارخ كچاد-5300-1398/07/03</t>
  </si>
  <si>
    <t>عيلام3</t>
  </si>
  <si>
    <t>اوراق سلف پلي اتيلن ايلام3</t>
  </si>
  <si>
    <t>اروند06</t>
  </si>
  <si>
    <t>منفعت صبا اروند ملت 14001113</t>
  </si>
  <si>
    <t>ساذري</t>
  </si>
  <si>
    <t>آذريت‌</t>
  </si>
  <si>
    <t>-1380</t>
  </si>
  <si>
    <t>دقاضي</t>
  </si>
  <si>
    <t>داروسازي شهيد قاضي</t>
  </si>
  <si>
    <t>3266</t>
  </si>
  <si>
    <t>ساينا</t>
  </si>
  <si>
    <t>صنايع بهداشتي ساينا</t>
  </si>
  <si>
    <t>1879</t>
  </si>
  <si>
    <t>سدبير</t>
  </si>
  <si>
    <t>س. تدبيرگران فارس وخوزستان</t>
  </si>
  <si>
    <t>چفيبر</t>
  </si>
  <si>
    <t>فيبر ايران‌</t>
  </si>
  <si>
    <t>-21</t>
  </si>
  <si>
    <t>فجوش</t>
  </si>
  <si>
    <t>جوش‌ و اكسيژن‌ ايران‌</t>
  </si>
  <si>
    <t>-4609</t>
  </si>
  <si>
    <t>-0.31</t>
  </si>
  <si>
    <t>تهران811</t>
  </si>
  <si>
    <t>مشاركت شهرداري تهران-3ماهه21%</t>
  </si>
  <si>
    <t>ضترا8008</t>
  </si>
  <si>
    <t>اختيارخ شتران-4746-1398/08/12</t>
  </si>
  <si>
    <t>ضشنا7042</t>
  </si>
  <si>
    <t>اختيارخ شپنا-12200-1398/07/21</t>
  </si>
  <si>
    <t>ضفلا1140</t>
  </si>
  <si>
    <t>اختيارخ فولاد-4100-1398/11/27</t>
  </si>
  <si>
    <t>ضملي1136</t>
  </si>
  <si>
    <t>اختيارخ فملي -4650-1398/11/16</t>
  </si>
  <si>
    <t>نطرين</t>
  </si>
  <si>
    <t>عطرين نخ قم</t>
  </si>
  <si>
    <t>1408</t>
  </si>
  <si>
    <t>خكاوه</t>
  </si>
  <si>
    <t>غگلستا</t>
  </si>
  <si>
    <t>شير پاستوريزه پگاه گلستان</t>
  </si>
  <si>
    <t>سرو</t>
  </si>
  <si>
    <t>صندوق س سروسودمند مدبران-سهام</t>
  </si>
  <si>
    <t>فايرا</t>
  </si>
  <si>
    <t>آلومينيوم‌ايران‌</t>
  </si>
  <si>
    <t>926</t>
  </si>
  <si>
    <t>كاردان</t>
  </si>
  <si>
    <t>صندوق س تجارت شاخصي كاردان</t>
  </si>
  <si>
    <t>شفن</t>
  </si>
  <si>
    <t>پتروشيمي فناوران</t>
  </si>
  <si>
    <t>20235</t>
  </si>
  <si>
    <t>منفت9810</t>
  </si>
  <si>
    <t>مشاركت س.ص.كاركنان نفت3ماهه21%</t>
  </si>
  <si>
    <t>ضپار8003</t>
  </si>
  <si>
    <t>اختيارخ خپارس-1100-1398/08/14</t>
  </si>
  <si>
    <t>سكرد</t>
  </si>
  <si>
    <t>سيمان كردستان</t>
  </si>
  <si>
    <t>-1</t>
  </si>
  <si>
    <t>شستا991</t>
  </si>
  <si>
    <t>اجاره تامين اجتماعي-امين991226</t>
  </si>
  <si>
    <t>كرمان00</t>
  </si>
  <si>
    <t>رهني كرمان موتور14001130</t>
  </si>
  <si>
    <t>ضجار1002</t>
  </si>
  <si>
    <t>اختيارخ وتجارت-500-1398/10/08</t>
  </si>
  <si>
    <t>لخزر</t>
  </si>
  <si>
    <t>پارس‌ خزر</t>
  </si>
  <si>
    <t>2777</t>
  </si>
  <si>
    <t>صايپا143</t>
  </si>
  <si>
    <t>صكوك اجاره سايپا143-3ماهه18%</t>
  </si>
  <si>
    <t>كتوكا</t>
  </si>
  <si>
    <t>توليدي و خدمات صنايع نسوز توكا</t>
  </si>
  <si>
    <t>1776</t>
  </si>
  <si>
    <t>ضغدر8004</t>
  </si>
  <si>
    <t>اختيارخ وغدير-2400-1398/08/22</t>
  </si>
  <si>
    <t>اشاد4</t>
  </si>
  <si>
    <t>مشاركت دولتي4-شرايط خاص980730</t>
  </si>
  <si>
    <t>وسرمدح</t>
  </si>
  <si>
    <t>ح. بيمه سرمد</t>
  </si>
  <si>
    <t>خودرو</t>
  </si>
  <si>
    <t>ايران‌ خودرو</t>
  </si>
  <si>
    <t>-6717</t>
  </si>
  <si>
    <t>ماهان01</t>
  </si>
  <si>
    <t>منفعت هواپيمايي ماهان 14011123</t>
  </si>
  <si>
    <t>مداران</t>
  </si>
  <si>
    <t>داده‌پردازي‌ايران‌</t>
  </si>
  <si>
    <t>531</t>
  </si>
  <si>
    <t>تسه9804</t>
  </si>
  <si>
    <t>امتياز تسهيلات مسكن تير98</t>
  </si>
  <si>
    <t>فافزا</t>
  </si>
  <si>
    <t>فولاد افزا سپاهان</t>
  </si>
  <si>
    <t>465</t>
  </si>
  <si>
    <t>فيروزه</t>
  </si>
  <si>
    <t>صندوق شاخص30 شركت فيروزه- سهام</t>
  </si>
  <si>
    <t>تشتاد</t>
  </si>
  <si>
    <t>صنايع توليدي اشتاد ايران‌</t>
  </si>
  <si>
    <t>-136</t>
  </si>
  <si>
    <t>دماوند</t>
  </si>
  <si>
    <t>توليد نيروي برق دماوند</t>
  </si>
  <si>
    <t>831</t>
  </si>
  <si>
    <t>شتولي</t>
  </si>
  <si>
    <t>تولي‌پرس‌</t>
  </si>
  <si>
    <t>-5114</t>
  </si>
  <si>
    <t>سبجنو</t>
  </si>
  <si>
    <t>سيمان‌ بجنورد</t>
  </si>
  <si>
    <t>748</t>
  </si>
  <si>
    <t>صيدك1404</t>
  </si>
  <si>
    <t>صكوك اجاره سايپا يدك-3ماهه18%</t>
  </si>
  <si>
    <t>ددام</t>
  </si>
  <si>
    <t>داروسازي زاگرس فارمد پارس</t>
  </si>
  <si>
    <t>208</t>
  </si>
  <si>
    <t>ثامان</t>
  </si>
  <si>
    <t>سامان‌ گستراصفهان‌</t>
  </si>
  <si>
    <t>39</t>
  </si>
  <si>
    <t>فوكا</t>
  </si>
  <si>
    <t>فولاد كاويان</t>
  </si>
  <si>
    <t>-42</t>
  </si>
  <si>
    <t>گكوثر</t>
  </si>
  <si>
    <t>هتل پارسيان كوثر اصفهان</t>
  </si>
  <si>
    <t>979</t>
  </si>
  <si>
    <t>ضگل8048</t>
  </si>
  <si>
    <t>اختيارخ كگل-8500-1398/08/22</t>
  </si>
  <si>
    <t>آساس</t>
  </si>
  <si>
    <t>صندوق س.آسمان آرماني سهام-س</t>
  </si>
  <si>
    <t>فاسمين</t>
  </si>
  <si>
    <t>كالسيمين‌</t>
  </si>
  <si>
    <t>2390</t>
  </si>
  <si>
    <t>فباهنر</t>
  </si>
  <si>
    <t>مس‌ شهيدباهنر</t>
  </si>
  <si>
    <t>765</t>
  </si>
  <si>
    <t>اعتماد</t>
  </si>
  <si>
    <t>صندوق س.اعتماد آفرين پارسيان-د</t>
  </si>
  <si>
    <t>ضجار7003</t>
  </si>
  <si>
    <t>اختيارخ وتجارت-600-1398/07/07</t>
  </si>
  <si>
    <t>ولانا</t>
  </si>
  <si>
    <t>شركت ليزينگ آريا دانا</t>
  </si>
  <si>
    <t>122</t>
  </si>
  <si>
    <t>صدانا98</t>
  </si>
  <si>
    <t>قپيرا</t>
  </si>
  <si>
    <t>فرآورده‌هاي‌غدايي‌وقندپيرانشهر</t>
  </si>
  <si>
    <t>1507</t>
  </si>
  <si>
    <t>رمپنا</t>
  </si>
  <si>
    <t>گروه مپنا (سهامي عام)</t>
  </si>
  <si>
    <t>زنگان</t>
  </si>
  <si>
    <t>صنعت روي زنگان</t>
  </si>
  <si>
    <t>225</t>
  </si>
  <si>
    <t>كهمدا</t>
  </si>
  <si>
    <t>شيشه‌ همدان‌</t>
  </si>
  <si>
    <t>اخزا704</t>
  </si>
  <si>
    <t>اسنادخزانه-م4بودجه97-991022</t>
  </si>
  <si>
    <t>سخزر</t>
  </si>
  <si>
    <t>سيمان‌ خزر</t>
  </si>
  <si>
    <t>ضملي1138</t>
  </si>
  <si>
    <t>اختيارخ فملي -5350-1398/11/16</t>
  </si>
  <si>
    <t>ضغدر8002</t>
  </si>
  <si>
    <t>اختيارخ وغدير-2000-1398/08/22</t>
  </si>
  <si>
    <t>كماسه</t>
  </si>
  <si>
    <t>تامين‌ ماسه‌ ريخته‌گري‌</t>
  </si>
  <si>
    <t>دارو</t>
  </si>
  <si>
    <t>كارخانجات‌داروپخش‌</t>
  </si>
  <si>
    <t>صايپا998</t>
  </si>
  <si>
    <t>صكوك مرابحه سايپا998-3ماهه 18%</t>
  </si>
  <si>
    <t>وتوس</t>
  </si>
  <si>
    <t>توسعه‌شهري‌توس‌گستر</t>
  </si>
  <si>
    <t>صنوين</t>
  </si>
  <si>
    <t>صندوق سرمايه‌گذاري صنوين-مختلط</t>
  </si>
  <si>
    <t>ضغدر8007</t>
  </si>
  <si>
    <t>اختيارخ وغدير-3000-1398/08/22</t>
  </si>
  <si>
    <t>فپنتا</t>
  </si>
  <si>
    <t>سپنتا</t>
  </si>
  <si>
    <t>2259</t>
  </si>
  <si>
    <t>شبصير</t>
  </si>
  <si>
    <t>توليدات پتروشيمي قائد بصير</t>
  </si>
  <si>
    <t>2596</t>
  </si>
  <si>
    <t>همراه</t>
  </si>
  <si>
    <t>شركت ارتباطات سيار ايران</t>
  </si>
  <si>
    <t>1856</t>
  </si>
  <si>
    <t>صخود0012</t>
  </si>
  <si>
    <t>ص مرابحه خودرو0012- 3ماهه 18%</t>
  </si>
  <si>
    <t>ثباغ</t>
  </si>
  <si>
    <t>شهر سازي و خانه سازي باغميشه</t>
  </si>
  <si>
    <t>143</t>
  </si>
  <si>
    <t>اخزا717</t>
  </si>
  <si>
    <t>اسنادخزانه-م17بودجه97-981017</t>
  </si>
  <si>
    <t>اطلس2</t>
  </si>
  <si>
    <t>كاريس</t>
  </si>
  <si>
    <t>صندوق س.سپهر كاريزما-س</t>
  </si>
  <si>
    <t>ديران</t>
  </si>
  <si>
    <t>ايران‌دارو</t>
  </si>
  <si>
    <t>142</t>
  </si>
  <si>
    <t>ضفلا1147</t>
  </si>
  <si>
    <t>اختيارخ فولاد-6700-1398/11/27</t>
  </si>
  <si>
    <t>ضبدر1137</t>
  </si>
  <si>
    <t>اختيارخ شبندر-15300-1398/11/13</t>
  </si>
  <si>
    <t>تملي701</t>
  </si>
  <si>
    <t>تسهيلات مسكن ب. ملي-فروردين97</t>
  </si>
  <si>
    <t>بشهاب</t>
  </si>
  <si>
    <t>لامپ‌  پارس‌ شهاب‌</t>
  </si>
  <si>
    <t>1326</t>
  </si>
  <si>
    <t>ضسان7040</t>
  </si>
  <si>
    <t>اختيارخ پارسان-7000-1398/07/24</t>
  </si>
  <si>
    <t>ضجار1004</t>
  </si>
  <si>
    <t>اختيارخ وتجارت-700-1398/10/08</t>
  </si>
  <si>
    <t>مگچسا104</t>
  </si>
  <si>
    <t>مشاركت گچساران- 3 ماهه 18%</t>
  </si>
  <si>
    <t>اوان</t>
  </si>
  <si>
    <t>مبين وان كيش</t>
  </si>
  <si>
    <t>ضجار1005</t>
  </si>
  <si>
    <t>اختيارخ وتجارت-800-1398/10/08</t>
  </si>
  <si>
    <t>ضخود1029</t>
  </si>
  <si>
    <t>اختيارخ خودرو-6500-1398/10/15</t>
  </si>
  <si>
    <t>اروند09</t>
  </si>
  <si>
    <t>منفعت صبا اروند نوين 14001222</t>
  </si>
  <si>
    <t>بكاب</t>
  </si>
  <si>
    <t>صنايع‌جوشكاب‌يزد</t>
  </si>
  <si>
    <t>ضترا1108</t>
  </si>
  <si>
    <t>اختيارخ شتران-4746-1398/11/08</t>
  </si>
  <si>
    <t>ضگل8042</t>
  </si>
  <si>
    <t>اختيارخ كگل-5920-1398/08/22</t>
  </si>
  <si>
    <t>دپارس</t>
  </si>
  <si>
    <t>پارس‌ دارو</t>
  </si>
  <si>
    <t>2048</t>
  </si>
  <si>
    <t>هرمز</t>
  </si>
  <si>
    <t>فولاد هرمزگان جنوب</t>
  </si>
  <si>
    <t>1238</t>
  </si>
  <si>
    <t>پارند</t>
  </si>
  <si>
    <t>صندوق س. پارند پايدار سپهر</t>
  </si>
  <si>
    <t>عخوز</t>
  </si>
  <si>
    <t>اوراق سلف سيمان خوزستان</t>
  </si>
  <si>
    <t>ضخوز1007</t>
  </si>
  <si>
    <t>اختيارخ فخوز-10000-1398/10/30</t>
  </si>
  <si>
    <t>اخزا614</t>
  </si>
  <si>
    <t>اسنادخزانه-م14بودجه96-981016</t>
  </si>
  <si>
    <t>ضپنا1010</t>
  </si>
  <si>
    <t>ضخوز1006</t>
  </si>
  <si>
    <t>اختيارخ فخوز-9000-1398/10/30</t>
  </si>
  <si>
    <t>ضخوز7009</t>
  </si>
  <si>
    <t>اختيارخ فخوز-12000-1398/07/30</t>
  </si>
  <si>
    <t>زقيام</t>
  </si>
  <si>
    <t>كشت و دام قيام اصفهان</t>
  </si>
  <si>
    <t>1058</t>
  </si>
  <si>
    <t>دبالك</t>
  </si>
  <si>
    <t>مواد اوليه دارويي البرز بالك</t>
  </si>
  <si>
    <t>469</t>
  </si>
  <si>
    <t>قشير</t>
  </si>
  <si>
    <t>قند شيروان قوچان و بجنورد</t>
  </si>
  <si>
    <t>246</t>
  </si>
  <si>
    <t>كورش99</t>
  </si>
  <si>
    <t>مرابحه صنعت غذايي كورش990411</t>
  </si>
  <si>
    <t>ثروتم</t>
  </si>
  <si>
    <t>صندوق س. ثروت آفرين پارسيان-م</t>
  </si>
  <si>
    <t>ضجار1003</t>
  </si>
  <si>
    <t>اختيارخ وتجارت-600-1398/10/08</t>
  </si>
  <si>
    <t>ولصنم</t>
  </si>
  <si>
    <t>ليزينگ‌صنعت‌ومعدن‌</t>
  </si>
  <si>
    <t>اخزا706</t>
  </si>
  <si>
    <t>اسنادخزانه-م6بودجه97-990423</t>
  </si>
  <si>
    <t>سپ</t>
  </si>
  <si>
    <t>پرداخت الكترونيك سامان كيش</t>
  </si>
  <si>
    <t>713</t>
  </si>
  <si>
    <t>اخزا718</t>
  </si>
  <si>
    <t>اسنادخزانه-م18بودجه97-000525</t>
  </si>
  <si>
    <t>ضغدر8005</t>
  </si>
  <si>
    <t>اختيارخ وغدير-2600-1398/08/22</t>
  </si>
  <si>
    <t>ضغدر8006</t>
  </si>
  <si>
    <t>اختيارخ وغدير-2800-1398/08/22</t>
  </si>
  <si>
    <t>جنفت806</t>
  </si>
  <si>
    <t>آتي ش فرآورده نفتي-1398/06/11</t>
  </si>
  <si>
    <t>میانگین مفروضات</t>
  </si>
  <si>
    <t>کمترین در سالهای مختلف</t>
  </si>
  <si>
    <t>بیشترین  در سالهای مختلف</t>
  </si>
  <si>
    <t>درصد مواد بسته بندی</t>
  </si>
  <si>
    <t>تاریخ مجمع</t>
  </si>
  <si>
    <t>تاریخ تقسیم سود</t>
  </si>
  <si>
    <t>98/11/01</t>
  </si>
  <si>
    <t>98/04/18</t>
  </si>
  <si>
    <t>سال قبل</t>
  </si>
  <si>
    <t>درصد نرخ فروش</t>
  </si>
  <si>
    <t>مقدار تولید</t>
  </si>
  <si>
    <t>98/09/01</t>
  </si>
  <si>
    <t>98/03/25</t>
  </si>
  <si>
    <t>درصد سود مورد انتظار</t>
  </si>
  <si>
    <t>کارشناسی سه ماهه پایانی</t>
  </si>
  <si>
    <t>محصول</t>
  </si>
  <si>
    <t>99/06/31</t>
  </si>
  <si>
    <t>کارشناسی سال 99</t>
  </si>
  <si>
    <t>میاگین دو ساله</t>
  </si>
  <si>
    <t>کمترین در دو سال گذشته</t>
  </si>
  <si>
    <t>نرخ فروش شکر در سال مالی 99</t>
  </si>
  <si>
    <t>eps 99</t>
  </si>
  <si>
    <t>نرخ  خریدچغندر98</t>
  </si>
  <si>
    <t>نرخ  خریدچغندر99</t>
  </si>
  <si>
    <t>ضریب تبدیل چغندر به شکر98</t>
  </si>
  <si>
    <t>ضریب تبدیل چغندر به شکر99</t>
  </si>
  <si>
    <t>مقدار چغندر مورد نیاز98</t>
  </si>
  <si>
    <t>مقدار چغندر مورد نیاز99</t>
  </si>
  <si>
    <t>فعالیت بهاره</t>
  </si>
  <si>
    <t>فعالیت پاییزه</t>
  </si>
  <si>
    <t>97/06/14</t>
  </si>
  <si>
    <t>97/11/14</t>
  </si>
  <si>
    <t>98/02/05</t>
  </si>
  <si>
    <t>98/04/12</t>
  </si>
  <si>
    <t>گزارش ماهانه</t>
  </si>
  <si>
    <t>98/02/01.</t>
  </si>
  <si>
    <t>97/10/26</t>
  </si>
  <si>
    <t>98_   DPS</t>
  </si>
  <si>
    <t>n _ eps_98</t>
  </si>
  <si>
    <t>n _ dps_98</t>
  </si>
  <si>
    <t>n _ dps_99</t>
  </si>
  <si>
    <t>n _ eps_99</t>
  </si>
  <si>
    <t xml:space="preserve">ارزش پی به ایی </t>
  </si>
  <si>
    <t>99_   DPS</t>
  </si>
  <si>
    <t xml:space="preserve">فعالیت </t>
  </si>
  <si>
    <t>97/06/12</t>
  </si>
  <si>
    <t>97/11/12</t>
  </si>
  <si>
    <t>99/04/31</t>
  </si>
  <si>
    <t>بر اساس گزارش ماهانه</t>
  </si>
  <si>
    <t>مقدار تولید شکراز چغندر سال 98</t>
  </si>
  <si>
    <t>مقدار تولید شکراز چغندر سال 99</t>
  </si>
  <si>
    <t>مقدار تولید شکراز چغندر98</t>
  </si>
  <si>
    <t>مقدار تولید شکراز چغندر99</t>
  </si>
  <si>
    <t>نرخ فروش شکر_98</t>
  </si>
  <si>
    <t>نرخ فروش شکر_99</t>
  </si>
  <si>
    <t>ضریب تبدیل چغندر به شکر_98</t>
  </si>
  <si>
    <t>ضریب تبدیل چغندر به شکر_99</t>
  </si>
  <si>
    <t>مقدار چغندر مورد نیاز_98</t>
  </si>
  <si>
    <t>مقدار چغندر مورد نیاز_99</t>
  </si>
  <si>
    <t>نرخ  خریدچغندر_98</t>
  </si>
  <si>
    <t>نرخ  خریدچغندر_99</t>
  </si>
  <si>
    <t>eps _98</t>
  </si>
  <si>
    <t>eps _99</t>
  </si>
  <si>
    <t>درصد فروش</t>
  </si>
  <si>
    <t>درصد نرخ</t>
  </si>
  <si>
    <t>98/08/27</t>
  </si>
  <si>
    <t>DPS_98</t>
  </si>
  <si>
    <t>DPS_99</t>
  </si>
  <si>
    <t>97/06/08</t>
  </si>
  <si>
    <t>97/11/05</t>
  </si>
  <si>
    <t>98/09/11</t>
  </si>
  <si>
    <t>99/04/01</t>
  </si>
  <si>
    <t>بر اساس تولید ماهیانه</t>
  </si>
  <si>
    <t>بر اساس تولید ماهیان</t>
  </si>
  <si>
    <t>چغندر</t>
  </si>
  <si>
    <t>98/08/26</t>
  </si>
  <si>
    <t>96/07/01</t>
  </si>
  <si>
    <t>96/10/12</t>
  </si>
  <si>
    <t>مدت فعالیت</t>
  </si>
  <si>
    <t>روز</t>
  </si>
  <si>
    <t>98/12/01</t>
  </si>
  <si>
    <t>نرخ شکر</t>
  </si>
  <si>
    <t xml:space="preserve"> سال 99</t>
  </si>
  <si>
    <t>نرخ</t>
  </si>
  <si>
    <t xml:space="preserve">eps </t>
  </si>
  <si>
    <t>قیمت فعلی</t>
  </si>
  <si>
    <t>اختيارخ رمپنا-9380-1398/10/18</t>
  </si>
  <si>
    <t>8.12</t>
  </si>
  <si>
    <t>-100.39</t>
  </si>
  <si>
    <t>اختيارخ تاپيكو-3000-1398/07/30</t>
  </si>
  <si>
    <t>-398.75</t>
  </si>
  <si>
    <t>اختيارخ رمپنا-7380-1398/07/17</t>
  </si>
  <si>
    <t>8.78</t>
  </si>
  <si>
    <t>18.8</t>
  </si>
  <si>
    <t>5.96</t>
  </si>
  <si>
    <t>14.25</t>
  </si>
  <si>
    <t>اختيارخ رمپنا-7880-1398/10/18</t>
  </si>
  <si>
    <t>9.78</t>
  </si>
  <si>
    <t>آريان</t>
  </si>
  <si>
    <t>سرمايه گذاري پارس آريان</t>
  </si>
  <si>
    <t>62.86</t>
  </si>
  <si>
    <t>تسه9805</t>
  </si>
  <si>
    <t>امتياز تسهيلات مسكن مرداد98</t>
  </si>
  <si>
    <t>14.11</t>
  </si>
  <si>
    <t>12.85</t>
  </si>
  <si>
    <t>18.45</t>
  </si>
  <si>
    <t>13.09</t>
  </si>
  <si>
    <t>6.56</t>
  </si>
  <si>
    <t>-60.78</t>
  </si>
  <si>
    <t>آبين</t>
  </si>
  <si>
    <t>كشت و صنعت آبشيرين</t>
  </si>
  <si>
    <t>172</t>
  </si>
  <si>
    <t>-2.75</t>
  </si>
  <si>
    <t>16.01</t>
  </si>
  <si>
    <t>فسازان</t>
  </si>
  <si>
    <t>غلتك سازان سپاهان</t>
  </si>
  <si>
    <t>1185</t>
  </si>
  <si>
    <t>-25.37</t>
  </si>
  <si>
    <t>66</t>
  </si>
  <si>
    <t>850</t>
  </si>
  <si>
    <t>4.15</t>
  </si>
  <si>
    <t>-6.57</t>
  </si>
  <si>
    <t>اختيارخ رمپنا-7880-1398/07/17</t>
  </si>
  <si>
    <t>-143.49</t>
  </si>
  <si>
    <t>5.85</t>
  </si>
  <si>
    <t>شصفها</t>
  </si>
  <si>
    <t>پتروشيمي‌ اصفهان‌</t>
  </si>
  <si>
    <t>10330</t>
  </si>
  <si>
    <t>3.58</t>
  </si>
  <si>
    <t>-0.27</t>
  </si>
  <si>
    <t>اختيارخ رمپنا-8880-1398/10/18</t>
  </si>
  <si>
    <t>-348</t>
  </si>
  <si>
    <t>10.36</t>
  </si>
  <si>
    <t>-39.85</t>
  </si>
  <si>
    <t>9.33</t>
  </si>
  <si>
    <t>ختراك</t>
  </si>
  <si>
    <t>ريخته‌گري‌ تراكتورسازي‌ ايران‌</t>
  </si>
  <si>
    <t>912</t>
  </si>
  <si>
    <t>خفولا</t>
  </si>
  <si>
    <t>خدمات فني فولاد يزد</t>
  </si>
  <si>
    <t>204</t>
  </si>
  <si>
    <t>اروند03</t>
  </si>
  <si>
    <t>منفعت صبا اروند تمدن14001113</t>
  </si>
  <si>
    <t>20.48</t>
  </si>
  <si>
    <t>6.18</t>
  </si>
  <si>
    <t>وسنا</t>
  </si>
  <si>
    <t>سرمايه گذاري نيروگاهي ايران</t>
  </si>
  <si>
    <t>363</t>
  </si>
  <si>
    <t>ضگل1135</t>
  </si>
  <si>
    <t>اختيارخ كگل-7420-1398/11/20</t>
  </si>
  <si>
    <t>9.48</t>
  </si>
  <si>
    <t>اختيارخ رمپنا-6880-1398/07/17</t>
  </si>
  <si>
    <t>293.95</t>
  </si>
  <si>
    <t>تملي804</t>
  </si>
  <si>
    <t>تسهيلات مسكن ب. ملي-تير98</t>
  </si>
  <si>
    <t>وتعاون</t>
  </si>
  <si>
    <t>بيمه  تعاون</t>
  </si>
  <si>
    <t>36.39</t>
  </si>
  <si>
    <t>اختيارخ تاپيكو-2800-1398/07/30</t>
  </si>
  <si>
    <t>-4.34</t>
  </si>
  <si>
    <t>ضكشو1107</t>
  </si>
  <si>
    <t>اختيارخ پاكشو-49000-1398/11/02</t>
  </si>
  <si>
    <t>5.09</t>
  </si>
  <si>
    <t>9.89</t>
  </si>
  <si>
    <t>اختيارخ تاپيكو-2600-1398/10/30</t>
  </si>
  <si>
    <t>ثفارس</t>
  </si>
  <si>
    <t>عمران‌وتوسعه‌فارس‌</t>
  </si>
  <si>
    <t>146</t>
  </si>
  <si>
    <t>سهرمزح</t>
  </si>
  <si>
    <t>ح . سيمان‌هرمزگان‌</t>
  </si>
  <si>
    <t>اختيارخ رمپنا-9880-1398/10/18</t>
  </si>
  <si>
    <t>4.97</t>
  </si>
  <si>
    <t>حفارس</t>
  </si>
  <si>
    <t>حمل و نقل بين المللي خليج فارس</t>
  </si>
  <si>
    <t>-44</t>
  </si>
  <si>
    <t>6.87</t>
  </si>
  <si>
    <t>117.59</t>
  </si>
  <si>
    <t>896</t>
  </si>
  <si>
    <t>17.89</t>
  </si>
  <si>
    <t>ثفارسح</t>
  </si>
  <si>
    <t>ح . عمران‌وتوسعه‌فارس‌</t>
  </si>
  <si>
    <t>10.08</t>
  </si>
  <si>
    <t>655</t>
  </si>
  <si>
    <t>11.28</t>
  </si>
  <si>
    <t>8.04</t>
  </si>
  <si>
    <t>12.99</t>
  </si>
  <si>
    <t>-58.38</t>
  </si>
  <si>
    <t>750</t>
  </si>
  <si>
    <t>31.07</t>
  </si>
  <si>
    <t>9.61</t>
  </si>
  <si>
    <t>هكشو902</t>
  </si>
  <si>
    <t>اختيارف ت پاكشو-40920-99/02/28</t>
  </si>
  <si>
    <t>-47.92</t>
  </si>
  <si>
    <t>1181</t>
  </si>
  <si>
    <t>34.22</t>
  </si>
  <si>
    <t>199.01</t>
  </si>
  <si>
    <t>3.6</t>
  </si>
  <si>
    <t>ونوين</t>
  </si>
  <si>
    <t>بانك‌اقتصادنوين‌</t>
  </si>
  <si>
    <t>-184</t>
  </si>
  <si>
    <t>غنوش</t>
  </si>
  <si>
    <t>نوش‌ مازندران‌</t>
  </si>
  <si>
    <t>311</t>
  </si>
  <si>
    <t>798</t>
  </si>
  <si>
    <t>اختيارخ تاپيكو-2800-1398/10/30</t>
  </si>
  <si>
    <t>25.16</t>
  </si>
  <si>
    <t>كفرآور</t>
  </si>
  <si>
    <t>فرآورده هاي سيمان شرق</t>
  </si>
  <si>
    <t>1494</t>
  </si>
  <si>
    <t>934</t>
  </si>
  <si>
    <t>پارسيانح</t>
  </si>
  <si>
    <t>ح.بيمه پارسيان</t>
  </si>
  <si>
    <t>لازما</t>
  </si>
  <si>
    <t>كارخانه هاي صنعتي آزمايش</t>
  </si>
  <si>
    <t>-102</t>
  </si>
  <si>
    <t>139</t>
  </si>
  <si>
    <t>12.81</t>
  </si>
  <si>
    <t>839</t>
  </si>
  <si>
    <t>-33.72</t>
  </si>
  <si>
    <t>-5.49</t>
  </si>
  <si>
    <t>8.4</t>
  </si>
  <si>
    <t>6.98</t>
  </si>
  <si>
    <t>واحصا</t>
  </si>
  <si>
    <t>احياء صنايع خراسان</t>
  </si>
  <si>
    <t>236</t>
  </si>
  <si>
    <t>26.32</t>
  </si>
  <si>
    <t>146.02</t>
  </si>
  <si>
    <t>فروس</t>
  </si>
  <si>
    <t>فروسيليس‌ ايران‌</t>
  </si>
  <si>
    <t>698</t>
  </si>
  <si>
    <t>فن آوا</t>
  </si>
  <si>
    <t>گروه فن آوا</t>
  </si>
  <si>
    <t>216</t>
  </si>
  <si>
    <t>اجاد1</t>
  </si>
  <si>
    <t>اجاره دولت مرحله يك1394-981226</t>
  </si>
  <si>
    <t>4.78</t>
  </si>
  <si>
    <t>149</t>
  </si>
  <si>
    <t>4.36</t>
  </si>
  <si>
    <t>-12.92</t>
  </si>
  <si>
    <t>كپشير</t>
  </si>
  <si>
    <t>پشم‌شيشه‌ايران‌</t>
  </si>
  <si>
    <t>خفناور</t>
  </si>
  <si>
    <t>مهندسي صنعتي روان فن آور</t>
  </si>
  <si>
    <t>-69</t>
  </si>
  <si>
    <t>-2.84</t>
  </si>
  <si>
    <t>7.98</t>
  </si>
  <si>
    <t>612</t>
  </si>
  <si>
    <t>27.96</t>
  </si>
  <si>
    <t>گپارس</t>
  </si>
  <si>
    <t>امور رفاهي كارگزاران پارس</t>
  </si>
  <si>
    <t>نبورس</t>
  </si>
  <si>
    <t>نهادهاي مالي بورس اوراق بهادار</t>
  </si>
  <si>
    <t>8.63</t>
  </si>
  <si>
    <t>9.24</t>
  </si>
  <si>
    <t>21.35</t>
  </si>
  <si>
    <t>11.52</t>
  </si>
  <si>
    <t>دارا</t>
  </si>
  <si>
    <t>صندوق س. دارا الگوريتم-د</t>
  </si>
  <si>
    <t>كگاز</t>
  </si>
  <si>
    <t>شيشه‌ و گاز</t>
  </si>
  <si>
    <t>791</t>
  </si>
  <si>
    <t>ضبدر8036</t>
  </si>
  <si>
    <t>اختيارخ شبندر-18300-1398/08/14</t>
  </si>
  <si>
    <t>15.98</t>
  </si>
  <si>
    <t>ثنور</t>
  </si>
  <si>
    <t>سرمايه گذاري كوه نور</t>
  </si>
  <si>
    <t>26.77</t>
  </si>
  <si>
    <t>9.5</t>
  </si>
  <si>
    <t>ضگل1136</t>
  </si>
  <si>
    <t>اختيارخ كگل-7920-1398/11/20</t>
  </si>
  <si>
    <t>9.64</t>
  </si>
  <si>
    <t>-0.9</t>
  </si>
  <si>
    <t>سغربح</t>
  </si>
  <si>
    <t>ح . سيمان‌غرب‌</t>
  </si>
  <si>
    <t>-1.01</t>
  </si>
  <si>
    <t>-65.79</t>
  </si>
  <si>
    <t>هپيكو810</t>
  </si>
  <si>
    <t>اختيارف ت تاپيكو-2066-98/10/07</t>
  </si>
  <si>
    <t>891</t>
  </si>
  <si>
    <t>فماكح</t>
  </si>
  <si>
    <t>ح . ماداكتو استيل كرد</t>
  </si>
  <si>
    <t>7.05</t>
  </si>
  <si>
    <t>اختيارخ رمپنا-8380-1398/10/18</t>
  </si>
  <si>
    <t>شپترو</t>
  </si>
  <si>
    <t>پتروشيمي آبادان</t>
  </si>
  <si>
    <t>دیده بان بازار : 1398/6/5 - زمان آخرین معامله : 10:56:46</t>
  </si>
  <si>
    <t>109.58</t>
  </si>
  <si>
    <t>107.7</t>
  </si>
  <si>
    <t>34.21</t>
  </si>
  <si>
    <t>تملي710</t>
  </si>
  <si>
    <t>تسهيلات مسكن ب. ملي-دي97</t>
  </si>
  <si>
    <t>-210.57</t>
  </si>
  <si>
    <t>21.1</t>
  </si>
  <si>
    <t>6.85</t>
  </si>
  <si>
    <t>196.07</t>
  </si>
  <si>
    <t>-11.83</t>
  </si>
  <si>
    <t>8.11</t>
  </si>
  <si>
    <t>24.12</t>
  </si>
  <si>
    <t>14.35</t>
  </si>
  <si>
    <t>31.97</t>
  </si>
  <si>
    <t>891.33</t>
  </si>
  <si>
    <t>8.9</t>
  </si>
  <si>
    <t>35.3</t>
  </si>
  <si>
    <t>26.51</t>
  </si>
  <si>
    <t>72.36</t>
  </si>
  <si>
    <t>12.71</t>
  </si>
  <si>
    <t>5.77</t>
  </si>
  <si>
    <t>8.65</t>
  </si>
  <si>
    <t>19.5</t>
  </si>
  <si>
    <t>23.45</t>
  </si>
  <si>
    <t>5.97</t>
  </si>
  <si>
    <t>16.29</t>
  </si>
  <si>
    <t>14.9</t>
  </si>
  <si>
    <t>هجرت</t>
  </si>
  <si>
    <t>پخش هجرت</t>
  </si>
  <si>
    <t>1787</t>
  </si>
  <si>
    <t>11.14</t>
  </si>
  <si>
    <t>طسان7036</t>
  </si>
  <si>
    <t>اختيارف پارسان-5000-1398/07/24</t>
  </si>
  <si>
    <t>17.38</t>
  </si>
  <si>
    <t>21.41</t>
  </si>
  <si>
    <t>10.3</t>
  </si>
  <si>
    <t>17.87</t>
  </si>
  <si>
    <t>3.66</t>
  </si>
  <si>
    <t>46.02</t>
  </si>
  <si>
    <t>16.66</t>
  </si>
  <si>
    <t>19.6</t>
  </si>
  <si>
    <t>9.13</t>
  </si>
  <si>
    <t>57.61</t>
  </si>
  <si>
    <t>14.49</t>
  </si>
  <si>
    <t>16.9</t>
  </si>
  <si>
    <t>66.1</t>
  </si>
  <si>
    <t>خاهن</t>
  </si>
  <si>
    <t>آهنگري‌ تراكتورسازي‌ ايران‌</t>
  </si>
  <si>
    <t>41.76</t>
  </si>
  <si>
    <t>-140.95</t>
  </si>
  <si>
    <t>-718</t>
  </si>
  <si>
    <t>4.08</t>
  </si>
  <si>
    <t>3.97</t>
  </si>
  <si>
    <t>29.15</t>
  </si>
  <si>
    <t>-37.74</t>
  </si>
  <si>
    <t>13.48</t>
  </si>
  <si>
    <t>23.33</t>
  </si>
  <si>
    <t>11.16</t>
  </si>
  <si>
    <t>3.24</t>
  </si>
  <si>
    <t>12.77</t>
  </si>
  <si>
    <t>69.72</t>
  </si>
  <si>
    <t>10.86</t>
  </si>
  <si>
    <t>23.47</t>
  </si>
  <si>
    <t>46.51</t>
  </si>
  <si>
    <t>7.18</t>
  </si>
  <si>
    <t>وپسا</t>
  </si>
  <si>
    <t>س. پتروشيمي ساختمان  خليج فارس</t>
  </si>
  <si>
    <t>795.5</t>
  </si>
  <si>
    <t>8.14</t>
  </si>
  <si>
    <t>33.41</t>
  </si>
  <si>
    <t>18.4</t>
  </si>
  <si>
    <t>326.4</t>
  </si>
  <si>
    <t>8.32</t>
  </si>
  <si>
    <t>15.42</t>
  </si>
  <si>
    <t>21.87</t>
  </si>
  <si>
    <t>13.89</t>
  </si>
  <si>
    <t>-41.61</t>
  </si>
  <si>
    <t>40.29</t>
  </si>
  <si>
    <t>3.15</t>
  </si>
  <si>
    <t>25.08</t>
  </si>
  <si>
    <t>حسير</t>
  </si>
  <si>
    <t>ريل سير كوثر</t>
  </si>
  <si>
    <t>100</t>
  </si>
  <si>
    <t>49.62</t>
  </si>
  <si>
    <t>14.64</t>
  </si>
  <si>
    <t>10.15</t>
  </si>
  <si>
    <t>22.8</t>
  </si>
  <si>
    <t>16.51</t>
  </si>
  <si>
    <t>تسه97032</t>
  </si>
  <si>
    <t>131.59</t>
  </si>
  <si>
    <t>17.78</t>
  </si>
  <si>
    <t>37.02</t>
  </si>
  <si>
    <t>15.6</t>
  </si>
  <si>
    <t>40.11</t>
  </si>
  <si>
    <t>تمحركه</t>
  </si>
  <si>
    <t>ماشين‌سازي‌نيرومحركه‌</t>
  </si>
  <si>
    <t>-11</t>
  </si>
  <si>
    <t>-562.82</t>
  </si>
  <si>
    <t>10.95</t>
  </si>
  <si>
    <t>7.55</t>
  </si>
  <si>
    <t>-0.85</t>
  </si>
  <si>
    <t>39.68</t>
  </si>
  <si>
    <t>7.28</t>
  </si>
  <si>
    <t>10.97</t>
  </si>
  <si>
    <t>-348.69</t>
  </si>
  <si>
    <t>11.41</t>
  </si>
  <si>
    <t>35.29</t>
  </si>
  <si>
    <t>-186.73</t>
  </si>
  <si>
    <t>10.12</t>
  </si>
  <si>
    <t>-7.96</t>
  </si>
  <si>
    <t>4.07</t>
  </si>
  <si>
    <t>-141.73</t>
  </si>
  <si>
    <t>-35.45</t>
  </si>
  <si>
    <t>26.81</t>
  </si>
  <si>
    <t>260.63</t>
  </si>
  <si>
    <t>-211.98</t>
  </si>
  <si>
    <t>29.73</t>
  </si>
  <si>
    <t>19.06</t>
  </si>
  <si>
    <t>7.29</t>
  </si>
  <si>
    <t>50.22</t>
  </si>
  <si>
    <t>نوري</t>
  </si>
  <si>
    <t>پتروشيمي نوري</t>
  </si>
  <si>
    <t>9797</t>
  </si>
  <si>
    <t>3.45</t>
  </si>
  <si>
    <t>-267.72</t>
  </si>
  <si>
    <t>13.1</t>
  </si>
  <si>
    <t>-53.55</t>
  </si>
  <si>
    <t>42.7</t>
  </si>
  <si>
    <t>7.87</t>
  </si>
  <si>
    <t>-8.88</t>
  </si>
  <si>
    <t>10.83</t>
  </si>
  <si>
    <t>تسه96092</t>
  </si>
  <si>
    <t>14.48</t>
  </si>
  <si>
    <t>2.98</t>
  </si>
  <si>
    <t>-49.5</t>
  </si>
  <si>
    <t>4.77</t>
  </si>
  <si>
    <t>تسه96112</t>
  </si>
  <si>
    <t>24.36</t>
  </si>
  <si>
    <t>-8.06</t>
  </si>
  <si>
    <t>ضمخا1015</t>
  </si>
  <si>
    <t>اختيارخ اخابر-4200-1398/10/11</t>
  </si>
  <si>
    <t>7.78</t>
  </si>
  <si>
    <t>-3.72</t>
  </si>
  <si>
    <t>9.68</t>
  </si>
  <si>
    <t>3558.4</t>
  </si>
  <si>
    <t>13.13</t>
  </si>
  <si>
    <t>20.19</t>
  </si>
  <si>
    <t>-3449.33</t>
  </si>
  <si>
    <t>6.45</t>
  </si>
  <si>
    <t>6.53</t>
  </si>
  <si>
    <t>9.31</t>
  </si>
  <si>
    <t>8.38</t>
  </si>
  <si>
    <t>18.38</t>
  </si>
  <si>
    <t>20.79</t>
  </si>
  <si>
    <t>-286.49</t>
  </si>
  <si>
    <t>28.26</t>
  </si>
  <si>
    <t>102.43</t>
  </si>
  <si>
    <t>10.85</t>
  </si>
  <si>
    <t>31.16</t>
  </si>
  <si>
    <t>17.26</t>
  </si>
  <si>
    <t>5.95</t>
  </si>
  <si>
    <t>28.86</t>
  </si>
  <si>
    <t>9.07</t>
  </si>
  <si>
    <t>-37.17</t>
  </si>
  <si>
    <t>25.4</t>
  </si>
  <si>
    <t>20.57</t>
  </si>
  <si>
    <t>54.58</t>
  </si>
  <si>
    <t>-33.54</t>
  </si>
  <si>
    <t>22.76</t>
  </si>
  <si>
    <t>6.3</t>
  </si>
  <si>
    <t>20.88</t>
  </si>
  <si>
    <t>-27.4</t>
  </si>
  <si>
    <t>12.45</t>
  </si>
  <si>
    <t>18.79</t>
  </si>
  <si>
    <t>24.16</t>
  </si>
  <si>
    <t>12.69</t>
  </si>
  <si>
    <t>6.29</t>
  </si>
  <si>
    <t>-80.29</t>
  </si>
  <si>
    <t>15.55</t>
  </si>
  <si>
    <t>-203.22</t>
  </si>
  <si>
    <t>29.24</t>
  </si>
  <si>
    <t>7.44</t>
  </si>
  <si>
    <t>10.58</t>
  </si>
  <si>
    <t>49.17</t>
  </si>
  <si>
    <t>39.96</t>
  </si>
  <si>
    <t>99.23</t>
  </si>
  <si>
    <t>4.95</t>
  </si>
  <si>
    <t>47.72</t>
  </si>
  <si>
    <t>-1016.37</t>
  </si>
  <si>
    <t>19.83</t>
  </si>
  <si>
    <t>-5.46</t>
  </si>
  <si>
    <t>65.57</t>
  </si>
  <si>
    <t>5.33</t>
  </si>
  <si>
    <t>تسه96122</t>
  </si>
  <si>
    <t>45.75</t>
  </si>
  <si>
    <t>4.27</t>
  </si>
  <si>
    <t>26.76</t>
  </si>
  <si>
    <t>33.9</t>
  </si>
  <si>
    <t>مشهد905</t>
  </si>
  <si>
    <t>مشاركت شهرداري مشهد-3ماهه 16%</t>
  </si>
  <si>
    <t>خاهنح</t>
  </si>
  <si>
    <t>ح . آهنگري تراكتورسازي‌ ايران‌</t>
  </si>
  <si>
    <t>8.84</t>
  </si>
  <si>
    <t>6.97</t>
  </si>
  <si>
    <t>6.1</t>
  </si>
  <si>
    <t>29.1</t>
  </si>
  <si>
    <t>368.77</t>
  </si>
  <si>
    <t>50.53</t>
  </si>
  <si>
    <t>25.95</t>
  </si>
  <si>
    <t>15.16</t>
  </si>
  <si>
    <t>23.83</t>
  </si>
  <si>
    <t>-93.4</t>
  </si>
  <si>
    <t>16.2</t>
  </si>
  <si>
    <t>11.65</t>
  </si>
  <si>
    <t>21.51</t>
  </si>
  <si>
    <t>12.44</t>
  </si>
  <si>
    <t>18.3</t>
  </si>
  <si>
    <t>38.03</t>
  </si>
  <si>
    <t>-45.99</t>
  </si>
  <si>
    <t>5.39</t>
  </si>
  <si>
    <t>10.01</t>
  </si>
  <si>
    <t>35.97</t>
  </si>
  <si>
    <t>11.86</t>
  </si>
  <si>
    <t>10.79</t>
  </si>
  <si>
    <t>11.02</t>
  </si>
  <si>
    <t>17.23</t>
  </si>
  <si>
    <t>5.49</t>
  </si>
  <si>
    <t>21.83</t>
  </si>
  <si>
    <t>135.39</t>
  </si>
  <si>
    <t>29.94</t>
  </si>
  <si>
    <t>9.42</t>
  </si>
  <si>
    <t>371.6</t>
  </si>
  <si>
    <t>42.96</t>
  </si>
  <si>
    <t>48.1</t>
  </si>
  <si>
    <t>-269.11</t>
  </si>
  <si>
    <t>10.24</t>
  </si>
  <si>
    <t>-271.92</t>
  </si>
  <si>
    <t>12.63</t>
  </si>
  <si>
    <t>31.55</t>
  </si>
  <si>
    <t>14.85</t>
  </si>
  <si>
    <t>-79.41</t>
  </si>
  <si>
    <t>4.51</t>
  </si>
  <si>
    <t>اشاد92</t>
  </si>
  <si>
    <t>210.64</t>
  </si>
  <si>
    <t>7.02</t>
  </si>
  <si>
    <t>20.56</t>
  </si>
  <si>
    <t>312.48</t>
  </si>
  <si>
    <t>10.63</t>
  </si>
  <si>
    <t>9.74</t>
  </si>
  <si>
    <t>15.08</t>
  </si>
  <si>
    <t>5.86</t>
  </si>
  <si>
    <t>9.65</t>
  </si>
  <si>
    <t>23.96</t>
  </si>
  <si>
    <t>18.78</t>
  </si>
  <si>
    <t>14.57</t>
  </si>
  <si>
    <t>4.4</t>
  </si>
  <si>
    <t>4.74</t>
  </si>
  <si>
    <t>تسه96072</t>
  </si>
  <si>
    <t>41.79</t>
  </si>
  <si>
    <t>21.03</t>
  </si>
  <si>
    <t>5.16</t>
  </si>
  <si>
    <t>161.36</t>
  </si>
  <si>
    <t>127.18</t>
  </si>
  <si>
    <t>19.32</t>
  </si>
  <si>
    <t>4.82</t>
  </si>
  <si>
    <t>64.41</t>
  </si>
  <si>
    <t>تسه97022</t>
  </si>
  <si>
    <t>-9098</t>
  </si>
  <si>
    <t>799.14</t>
  </si>
  <si>
    <t>10.03</t>
  </si>
  <si>
    <t>تسه97042</t>
  </si>
  <si>
    <t>ضمعا1009</t>
  </si>
  <si>
    <t>اختيارخ ومعادن-5500-1398/10/18</t>
  </si>
  <si>
    <t>11.77</t>
  </si>
  <si>
    <t>8.62</t>
  </si>
  <si>
    <t>تسه96082</t>
  </si>
  <si>
    <t>22.79</t>
  </si>
  <si>
    <t>6.22</t>
  </si>
  <si>
    <t>12.75</t>
  </si>
  <si>
    <t>4516.6</t>
  </si>
  <si>
    <t>10.92</t>
  </si>
  <si>
    <t>-16.74</t>
  </si>
  <si>
    <t>-1.31</t>
  </si>
  <si>
    <t>22.09</t>
  </si>
  <si>
    <t>281.46</t>
  </si>
  <si>
    <t>تسه96102</t>
  </si>
  <si>
    <t>-32.87</t>
  </si>
  <si>
    <t>ضافق1111</t>
  </si>
  <si>
    <t>اختيارخ افق-78000-1398/11/02</t>
  </si>
  <si>
    <t>10.22</t>
  </si>
  <si>
    <t>4.71</t>
  </si>
  <si>
    <t>14.3</t>
  </si>
  <si>
    <t>تملي802</t>
  </si>
  <si>
    <t>تسهيلات مسكن ب. ملي-ارديبهشت98</t>
  </si>
  <si>
    <t>10.72</t>
  </si>
  <si>
    <t>47.96</t>
  </si>
  <si>
    <t>5.07</t>
  </si>
  <si>
    <t>10.39</t>
  </si>
  <si>
    <t>96.52</t>
  </si>
  <si>
    <t>-0.09</t>
  </si>
  <si>
    <t>12.2</t>
  </si>
  <si>
    <t>43.09</t>
  </si>
  <si>
    <t>89.95</t>
  </si>
  <si>
    <t>-0.59</t>
  </si>
  <si>
    <t>37.95</t>
  </si>
  <si>
    <t>-0.99</t>
  </si>
  <si>
    <t>قثابت</t>
  </si>
  <si>
    <t>قند ثابت‌ خراسان‌</t>
  </si>
  <si>
    <t>189</t>
  </si>
  <si>
    <t>113.01</t>
  </si>
  <si>
    <t>تسه97012</t>
  </si>
  <si>
    <t>19.73</t>
  </si>
  <si>
    <t>22.83</t>
  </si>
  <si>
    <t>397.38</t>
  </si>
  <si>
    <t>7.61</t>
  </si>
  <si>
    <t>16.31</t>
  </si>
  <si>
    <t>35.9</t>
  </si>
  <si>
    <t>-54.34</t>
  </si>
  <si>
    <t>195.36</t>
  </si>
  <si>
    <t>8.83</t>
  </si>
  <si>
    <t>3.67</t>
  </si>
  <si>
    <t>12.34</t>
  </si>
  <si>
    <t>18.66</t>
  </si>
  <si>
    <t>5.18</t>
  </si>
  <si>
    <t>25.62</t>
  </si>
  <si>
    <t>-23.05</t>
  </si>
  <si>
    <t>5.14</t>
  </si>
  <si>
    <t>29.58</t>
  </si>
  <si>
    <t>17.83</t>
  </si>
  <si>
    <t>99.27</t>
  </si>
  <si>
    <t>7.97</t>
  </si>
  <si>
    <t>11.53</t>
  </si>
  <si>
    <t>تملي709</t>
  </si>
  <si>
    <t>تسهيلات مسكن ب. ملي-آذر97</t>
  </si>
  <si>
    <t>11.32</t>
  </si>
  <si>
    <t>29.26</t>
  </si>
  <si>
    <t>35.63</t>
  </si>
  <si>
    <t>5.43</t>
  </si>
  <si>
    <t>107.72</t>
  </si>
  <si>
    <t>39.91</t>
  </si>
  <si>
    <t>ضافق1110</t>
  </si>
  <si>
    <t>اختيارخ افق-72000-1398/11/02</t>
  </si>
  <si>
    <t>18.11</t>
  </si>
  <si>
    <t>16.21</t>
  </si>
  <si>
    <t>17.11</t>
  </si>
  <si>
    <t>132.3</t>
  </si>
  <si>
    <t>33.49</t>
  </si>
  <si>
    <t>12.31</t>
  </si>
  <si>
    <t>11.7</t>
  </si>
  <si>
    <t>24.72</t>
  </si>
  <si>
    <t>كمنگنز</t>
  </si>
  <si>
    <t>معادن‌منگنزايران‌</t>
  </si>
  <si>
    <t>2032</t>
  </si>
  <si>
    <t>12.37</t>
  </si>
  <si>
    <t>-115.51</t>
  </si>
  <si>
    <t>127.35</t>
  </si>
  <si>
    <t>29.82</t>
  </si>
  <si>
    <t>13.39</t>
  </si>
  <si>
    <t>204.96</t>
  </si>
  <si>
    <t>24.28</t>
  </si>
  <si>
    <t>9.67</t>
  </si>
  <si>
    <t>12.48</t>
  </si>
  <si>
    <t>7.15</t>
  </si>
  <si>
    <t>16.49</t>
  </si>
  <si>
    <t>14.26</t>
  </si>
  <si>
    <t>65.48</t>
  </si>
  <si>
    <t>8.22</t>
  </si>
  <si>
    <t>ضخوز7006</t>
  </si>
  <si>
    <t>اختيارخ فخوز-9000-1398/07/30</t>
  </si>
  <si>
    <t>98.39</t>
  </si>
  <si>
    <t>25.74</t>
  </si>
  <si>
    <t>21.91</t>
  </si>
  <si>
    <t>35.69</t>
  </si>
  <si>
    <t>29.12</t>
  </si>
  <si>
    <t>-135.63</t>
  </si>
  <si>
    <t>133.13</t>
  </si>
  <si>
    <t>-345.54</t>
  </si>
  <si>
    <t>8.3</t>
  </si>
  <si>
    <t>-12.63</t>
  </si>
  <si>
    <t>-21.66</t>
  </si>
  <si>
    <t>16.14</t>
  </si>
  <si>
    <t>11.48</t>
  </si>
  <si>
    <t>25.49</t>
  </si>
  <si>
    <t>25.23</t>
  </si>
  <si>
    <t>43.82</t>
  </si>
  <si>
    <t>-26.21</t>
  </si>
  <si>
    <t>19.88</t>
  </si>
  <si>
    <t>6.76</t>
  </si>
  <si>
    <t>-142.51</t>
  </si>
  <si>
    <t>تملي708</t>
  </si>
  <si>
    <t>تسهيلات مسكن ب. ملي-آبان97</t>
  </si>
  <si>
    <t>8.03</t>
  </si>
  <si>
    <t>5.35</t>
  </si>
  <si>
    <t>31.15</t>
  </si>
  <si>
    <t>4.89</t>
  </si>
  <si>
    <t>12.03</t>
  </si>
  <si>
    <t>185.5</t>
  </si>
  <si>
    <t>-92.09</t>
  </si>
  <si>
    <t>170.04</t>
  </si>
  <si>
    <t>55.37</t>
  </si>
  <si>
    <t>-552.71</t>
  </si>
  <si>
    <t>8.73</t>
  </si>
  <si>
    <t>6.07</t>
  </si>
  <si>
    <t>9.7</t>
  </si>
  <si>
    <t>21.36</t>
  </si>
  <si>
    <t>82.82</t>
  </si>
  <si>
    <t>422.13</t>
  </si>
  <si>
    <t>18.73</t>
  </si>
  <si>
    <t>خفولاح</t>
  </si>
  <si>
    <t>ح . خدمات فني فولاد يزد</t>
  </si>
  <si>
    <t>18.49</t>
  </si>
  <si>
    <t>66.88</t>
  </si>
  <si>
    <t>12.1</t>
  </si>
  <si>
    <t>15.66</t>
  </si>
  <si>
    <t>463.38</t>
  </si>
  <si>
    <t>18.14</t>
  </si>
  <si>
    <t>15.72</t>
  </si>
  <si>
    <t>45.27</t>
  </si>
  <si>
    <t>6.63</t>
  </si>
  <si>
    <t>103.65</t>
  </si>
  <si>
    <t>22.01</t>
  </si>
  <si>
    <t>14.63</t>
  </si>
  <si>
    <t>12.01</t>
  </si>
  <si>
    <t>27.11</t>
  </si>
  <si>
    <t>605.29</t>
  </si>
  <si>
    <t>9.57</t>
  </si>
  <si>
    <t>-43.88</t>
  </si>
  <si>
    <t>11.18</t>
  </si>
  <si>
    <t>18.51</t>
  </si>
  <si>
    <t>-165.67</t>
  </si>
  <si>
    <t>13.5</t>
  </si>
  <si>
    <t>-1.26</t>
  </si>
  <si>
    <t>27.23</t>
  </si>
  <si>
    <t>5.88</t>
  </si>
  <si>
    <t>3.55</t>
  </si>
  <si>
    <t>-3083</t>
  </si>
  <si>
    <t>13.91</t>
  </si>
  <si>
    <t>10.09</t>
  </si>
  <si>
    <t>تملي705</t>
  </si>
  <si>
    <t>تسهيلات مسكن ب. ملي-مرداد97</t>
  </si>
  <si>
    <t>16.37</t>
  </si>
  <si>
    <t>55.68</t>
  </si>
  <si>
    <t>-175.58</t>
  </si>
  <si>
    <t>61.71</t>
  </si>
  <si>
    <t>15.78</t>
  </si>
  <si>
    <t>39.02</t>
  </si>
  <si>
    <t>245.03</t>
  </si>
  <si>
    <t>21.29</t>
  </si>
  <si>
    <t>5.06</t>
  </si>
  <si>
    <t>93.71</t>
  </si>
  <si>
    <t>20.35</t>
  </si>
  <si>
    <t>15.5</t>
  </si>
  <si>
    <t>75.92</t>
  </si>
  <si>
    <t>9.84</t>
  </si>
  <si>
    <t>13.47</t>
  </si>
  <si>
    <t>82.6</t>
  </si>
  <si>
    <t>74.64</t>
  </si>
  <si>
    <t>28.53</t>
  </si>
  <si>
    <t>6.5</t>
  </si>
  <si>
    <t>7.07</t>
  </si>
  <si>
    <t>37.85</t>
  </si>
  <si>
    <t>43.66</t>
  </si>
  <si>
    <t>پترول</t>
  </si>
  <si>
    <t>گروه پتروشيمي س. ايرانيان</t>
  </si>
  <si>
    <t>256</t>
  </si>
  <si>
    <t>10.56</t>
  </si>
  <si>
    <t>16.05</t>
  </si>
  <si>
    <t>91.62</t>
  </si>
  <si>
    <t>69.8</t>
  </si>
  <si>
    <t>صايپا203</t>
  </si>
  <si>
    <t>صكوك مرابحه سايپا203-3ماهه 16%</t>
  </si>
  <si>
    <t>14.91</t>
  </si>
  <si>
    <t>15.19</t>
  </si>
  <si>
    <t>ضگل8047</t>
  </si>
  <si>
    <t>اختيارخ كگل-8420-1398/08/22</t>
  </si>
  <si>
    <t>13.23</t>
  </si>
  <si>
    <t>تسه96062</t>
  </si>
  <si>
    <t>18.46</t>
  </si>
  <si>
    <t>نرخ چغندرقند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</si>
</sst>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[$-3000401]0"/>
    <numFmt numFmtId="166" formatCode="[$-3000401]#,##0"/>
    <numFmt numFmtId="167" formatCode="[$-3000401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2  Yekan"/>
      <charset val="178"/>
    </font>
    <font>
      <sz val="11"/>
      <color theme="1"/>
      <name val="2  Yekan"/>
      <charset val="178"/>
    </font>
    <font>
      <i/>
      <sz val="11"/>
      <color theme="1"/>
      <name val="2  Yekan"/>
      <charset val="178"/>
    </font>
    <font>
      <b/>
      <i/>
      <sz val="14"/>
      <color theme="1"/>
      <name val="2  Titr"/>
      <charset val="178"/>
    </font>
    <font>
      <b/>
      <sz val="12"/>
      <color theme="1"/>
      <name val="2  Titr"/>
      <charset val="178"/>
    </font>
    <font>
      <b/>
      <i/>
      <sz val="48"/>
      <color theme="1"/>
      <name val="2  Titr"/>
      <charset val="178"/>
    </font>
    <font>
      <b/>
      <i/>
      <sz val="12"/>
      <color theme="1"/>
      <name val="2  Titr"/>
      <charset val="178"/>
    </font>
    <font>
      <b/>
      <sz val="12"/>
      <color theme="1"/>
      <name val="2  Yekan"/>
      <charset val="178"/>
    </font>
    <font>
      <b/>
      <i/>
      <sz val="12"/>
      <color theme="1"/>
      <name val="2  Yekan"/>
      <charset val="178"/>
    </font>
    <font>
      <b/>
      <i/>
      <sz val="18"/>
      <color theme="1"/>
      <name val="2  Titr"/>
      <charset val="178"/>
    </font>
    <font>
      <b/>
      <i/>
      <sz val="12"/>
      <color rgb="FF006400"/>
      <name val="2  Titr"/>
      <charset val="178"/>
    </font>
    <font>
      <b/>
      <i/>
      <sz val="12"/>
      <color rgb="FFFF0000"/>
      <name val="2  Titr"/>
      <charset val="178"/>
    </font>
    <font>
      <b/>
      <i/>
      <sz val="12"/>
      <color rgb="FF055274"/>
      <name val="2  Titr"/>
      <charset val="178"/>
    </font>
    <font>
      <b/>
      <sz val="12"/>
      <color theme="0"/>
      <name val="2  Titr"/>
      <charset val="178"/>
    </font>
    <font>
      <b/>
      <i/>
      <sz val="22"/>
      <color theme="1"/>
      <name val="2  Titr"/>
      <charset val="178"/>
    </font>
    <font>
      <b/>
      <i/>
      <sz val="26"/>
      <color theme="1"/>
      <name val="2  Titr"/>
      <charset val="178"/>
    </font>
    <font>
      <b/>
      <i/>
      <sz val="36"/>
      <color theme="1"/>
      <name val="2  Titr"/>
      <charset val="178"/>
    </font>
    <font>
      <b/>
      <i/>
      <sz val="11"/>
      <color theme="1"/>
      <name val="2  Titr"/>
      <charset val="178"/>
    </font>
    <font>
      <b/>
      <sz val="11"/>
      <color theme="1"/>
      <name val="2  Titr"/>
      <charset val="17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33"/>
        <bgColor indexed="64"/>
      </patternFill>
    </fill>
  </fills>
  <borders count="111">
    <border>
      <left/>
      <right/>
      <top/>
      <bottom/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 style="medium">
        <color indexed="64"/>
      </left>
      <right style="thick">
        <color theme="8" tint="-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thick">
        <color rgb="FF002060"/>
      </bottom>
      <diagonal/>
    </border>
    <border>
      <left style="thick">
        <color rgb="FF002060"/>
      </left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ck">
        <color rgb="FF002060"/>
      </left>
      <right style="thick">
        <color rgb="FF00B0F0"/>
      </right>
      <top style="thick">
        <color rgb="FF002060"/>
      </top>
      <bottom style="thick">
        <color rgb="FF002060"/>
      </bottom>
      <diagonal/>
    </border>
    <border>
      <left style="thick">
        <color rgb="FF00B0F0"/>
      </left>
      <right style="medium">
        <color rgb="FF002060"/>
      </right>
      <top style="thick">
        <color rgb="FF002060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medium">
        <color indexed="64"/>
      </left>
      <right style="thick">
        <color theme="8" tint="-0.499984740745262"/>
      </right>
      <top/>
      <bottom style="medium">
        <color indexed="64"/>
      </bottom>
      <diagonal/>
    </border>
    <border>
      <left/>
      <right style="thick">
        <color rgb="FF0070C0"/>
      </right>
      <top/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 style="thin">
        <color indexed="64"/>
      </right>
      <top style="thick">
        <color rgb="FF7030A0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thick">
        <color rgb="FF7030A0"/>
      </bottom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002060"/>
      </left>
      <right/>
      <top style="thick">
        <color rgb="FF002060"/>
      </top>
      <bottom style="thick">
        <color rgb="FF7030A0"/>
      </bottom>
      <diagonal/>
    </border>
    <border>
      <left/>
      <right style="thick">
        <color rgb="FF002060"/>
      </right>
      <top style="thick">
        <color rgb="FF002060"/>
      </top>
      <bottom style="thick">
        <color rgb="FF7030A0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ck">
        <color rgb="FF7030A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/>
      <right style="medium">
        <color rgb="FF002060"/>
      </right>
      <top style="thin">
        <color indexed="64"/>
      </top>
      <bottom/>
      <diagonal/>
    </border>
    <border>
      <left/>
      <right style="medium">
        <color rgb="FF002060"/>
      </right>
      <top/>
      <bottom/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double">
        <color theme="5" tint="-0.499984740745262"/>
      </left>
      <right style="double">
        <color theme="5" tint="-0.499984740745262"/>
      </right>
      <top style="double">
        <color theme="5" tint="-0.499984740745262"/>
      </top>
      <bottom style="double">
        <color theme="5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6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13" xfId="0" applyFont="1" applyFill="1" applyBorder="1"/>
    <xf numFmtId="0" fontId="3" fillId="0" borderId="1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3" fillId="0" borderId="10" xfId="1" applyNumberFormat="1" applyFont="1" applyBorder="1"/>
    <xf numFmtId="166" fontId="3" fillId="0" borderId="10" xfId="0" applyNumberFormat="1" applyFont="1" applyBorder="1"/>
    <xf numFmtId="165" fontId="3" fillId="0" borderId="10" xfId="0" applyNumberFormat="1" applyFont="1" applyBorder="1"/>
    <xf numFmtId="164" fontId="3" fillId="0" borderId="17" xfId="1" applyNumberFormat="1" applyFont="1" applyBorder="1"/>
    <xf numFmtId="166" fontId="3" fillId="0" borderId="0" xfId="0" applyNumberFormat="1" applyFont="1"/>
    <xf numFmtId="165" fontId="3" fillId="0" borderId="0" xfId="0" applyNumberFormat="1" applyFont="1"/>
    <xf numFmtId="0" fontId="4" fillId="4" borderId="10" xfId="0" applyFont="1" applyFill="1" applyBorder="1" applyAlignment="1">
      <alignment horizontal="right"/>
    </xf>
    <xf numFmtId="0" fontId="4" fillId="4" borderId="14" xfId="0" applyFont="1" applyFill="1" applyBorder="1" applyAlignment="1">
      <alignment horizontal="right"/>
    </xf>
    <xf numFmtId="166" fontId="3" fillId="0" borderId="0" xfId="0" applyNumberFormat="1" applyFont="1" applyBorder="1"/>
    <xf numFmtId="165" fontId="3" fillId="0" borderId="0" xfId="0" applyNumberFormat="1" applyFont="1" applyBorder="1"/>
    <xf numFmtId="0" fontId="3" fillId="4" borderId="12" xfId="0" applyFont="1" applyFill="1" applyBorder="1"/>
    <xf numFmtId="0" fontId="3" fillId="4" borderId="13" xfId="0" applyFont="1" applyFill="1" applyBorder="1"/>
    <xf numFmtId="38" fontId="3" fillId="0" borderId="10" xfId="0" applyNumberFormat="1" applyFont="1" applyBorder="1"/>
    <xf numFmtId="0" fontId="3" fillId="4" borderId="10" xfId="0" applyFont="1" applyFill="1" applyBorder="1"/>
    <xf numFmtId="167" fontId="3" fillId="0" borderId="0" xfId="0" applyNumberFormat="1" applyFont="1"/>
    <xf numFmtId="167" fontId="3" fillId="0" borderId="0" xfId="0" applyNumberFormat="1" applyFont="1" applyBorder="1"/>
    <xf numFmtId="3" fontId="3" fillId="0" borderId="0" xfId="0" applyNumberFormat="1" applyFont="1" applyBorder="1"/>
    <xf numFmtId="164" fontId="3" fillId="0" borderId="0" xfId="1" applyNumberFormat="1" applyFont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5" xfId="0" applyFont="1" applyFill="1" applyBorder="1"/>
    <xf numFmtId="164" fontId="3" fillId="0" borderId="18" xfId="1" applyNumberFormat="1" applyFont="1" applyBorder="1"/>
    <xf numFmtId="0" fontId="3" fillId="4" borderId="10" xfId="0" applyFont="1" applyFill="1" applyBorder="1" applyAlignment="1">
      <alignment horizontal="right" vertical="center"/>
    </xf>
    <xf numFmtId="4" fontId="3" fillId="0" borderId="0" xfId="0" applyNumberFormat="1" applyFont="1" applyBorder="1"/>
    <xf numFmtId="0" fontId="3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right" vertical="center"/>
    </xf>
    <xf numFmtId="9" fontId="3" fillId="0" borderId="0" xfId="2" applyFont="1" applyBorder="1"/>
    <xf numFmtId="0" fontId="5" fillId="9" borderId="10" xfId="0" applyFont="1" applyFill="1" applyBorder="1"/>
    <xf numFmtId="0" fontId="5" fillId="9" borderId="21" xfId="0" applyFont="1" applyFill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9" borderId="2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9" borderId="0" xfId="1" applyNumberFormat="1" applyFont="1" applyFill="1" applyAlignment="1">
      <alignment horizontal="center" vertical="center"/>
    </xf>
    <xf numFmtId="164" fontId="8" fillId="9" borderId="0" xfId="1" applyNumberFormat="1" applyFont="1" applyFill="1" applyAlignment="1">
      <alignment vertical="center"/>
    </xf>
    <xf numFmtId="164" fontId="8" fillId="9" borderId="0" xfId="0" applyNumberFormat="1" applyFont="1" applyFill="1" applyAlignment="1">
      <alignment vertical="center"/>
    </xf>
    <xf numFmtId="0" fontId="8" fillId="13" borderId="27" xfId="0" applyFont="1" applyFill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166" fontId="8" fillId="13" borderId="0" xfId="0" applyNumberFormat="1" applyFont="1" applyFill="1" applyAlignment="1">
      <alignment vertical="center"/>
    </xf>
    <xf numFmtId="164" fontId="8" fillId="13" borderId="0" xfId="0" applyNumberFormat="1" applyFont="1" applyFill="1" applyAlignment="1">
      <alignment vertical="center"/>
    </xf>
    <xf numFmtId="0" fontId="8" fillId="13" borderId="0" xfId="0" applyFont="1" applyFill="1" applyAlignment="1">
      <alignment vertical="center"/>
    </xf>
    <xf numFmtId="0" fontId="8" fillId="6" borderId="29" xfId="0" applyFont="1" applyFill="1" applyBorder="1" applyAlignment="1">
      <alignment horizontal="center" vertical="center"/>
    </xf>
    <xf numFmtId="166" fontId="8" fillId="0" borderId="30" xfId="0" applyNumberFormat="1" applyFont="1" applyBorder="1" applyAlignment="1">
      <alignment horizontal="center" vertical="center"/>
    </xf>
    <xf numFmtId="165" fontId="8" fillId="6" borderId="0" xfId="0" applyNumberFormat="1" applyFont="1" applyFill="1" applyAlignment="1">
      <alignment vertical="center"/>
    </xf>
    <xf numFmtId="43" fontId="8" fillId="6" borderId="0" xfId="0" applyNumberFormat="1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8" fillId="7" borderId="2" xfId="0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7" borderId="0" xfId="0" applyNumberFormat="1" applyFont="1" applyFill="1" applyAlignment="1">
      <alignment horizontal="center" vertical="center"/>
    </xf>
    <xf numFmtId="165" fontId="8" fillId="7" borderId="0" xfId="0" applyNumberFormat="1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8" fillId="10" borderId="2" xfId="0" applyFont="1" applyFill="1" applyBorder="1" applyAlignment="1">
      <alignment horizontal="center" vertical="center"/>
    </xf>
    <xf numFmtId="166" fontId="8" fillId="10" borderId="0" xfId="0" applyNumberFormat="1" applyFont="1" applyFill="1" applyAlignment="1">
      <alignment horizontal="center" vertical="center"/>
    </xf>
    <xf numFmtId="165" fontId="8" fillId="10" borderId="0" xfId="0" applyNumberFormat="1" applyFont="1" applyFill="1" applyAlignment="1">
      <alignment vertical="center"/>
    </xf>
    <xf numFmtId="164" fontId="8" fillId="10" borderId="0" xfId="0" applyNumberFormat="1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/>
    </xf>
    <xf numFmtId="38" fontId="8" fillId="2" borderId="0" xfId="0" applyNumberFormat="1" applyFont="1" applyFill="1"/>
    <xf numFmtId="0" fontId="8" fillId="11" borderId="31" xfId="0" applyFont="1" applyFill="1" applyBorder="1" applyAlignment="1">
      <alignment horizontal="center"/>
    </xf>
    <xf numFmtId="9" fontId="8" fillId="11" borderId="32" xfId="2" applyFont="1" applyFill="1" applyBorder="1" applyAlignment="1">
      <alignment horizontal="center"/>
    </xf>
    <xf numFmtId="0" fontId="8" fillId="11" borderId="33" xfId="0" applyFont="1" applyFill="1" applyBorder="1" applyAlignment="1">
      <alignment horizontal="center"/>
    </xf>
    <xf numFmtId="166" fontId="8" fillId="11" borderId="34" xfId="0" applyNumberFormat="1" applyFont="1" applyFill="1" applyBorder="1" applyAlignment="1">
      <alignment horizontal="center"/>
    </xf>
    <xf numFmtId="165" fontId="8" fillId="11" borderId="34" xfId="0" applyNumberFormat="1" applyFont="1" applyFill="1" applyBorder="1" applyAlignment="1">
      <alignment horizontal="center"/>
    </xf>
    <xf numFmtId="0" fontId="8" fillId="11" borderId="31" xfId="0" applyFont="1" applyFill="1" applyBorder="1" applyAlignment="1">
      <alignment horizontal="center" readingOrder="2"/>
    </xf>
    <xf numFmtId="166" fontId="8" fillId="11" borderId="32" xfId="0" applyNumberFormat="1" applyFont="1" applyFill="1" applyBorder="1" applyAlignment="1">
      <alignment horizontal="center"/>
    </xf>
    <xf numFmtId="164" fontId="8" fillId="11" borderId="32" xfId="1" applyNumberFormat="1" applyFont="1" applyFill="1" applyBorder="1" applyAlignment="1">
      <alignment horizontal="center"/>
    </xf>
    <xf numFmtId="0" fontId="8" fillId="11" borderId="35" xfId="0" applyFont="1" applyFill="1" applyBorder="1" applyAlignment="1">
      <alignment horizontal="center"/>
    </xf>
    <xf numFmtId="164" fontId="8" fillId="11" borderId="36" xfId="1" applyNumberFormat="1" applyFont="1" applyFill="1" applyBorder="1" applyAlignment="1">
      <alignment horizontal="center"/>
    </xf>
    <xf numFmtId="164" fontId="8" fillId="11" borderId="34" xfId="1" applyNumberFormat="1" applyFont="1" applyFill="1" applyBorder="1" applyAlignment="1">
      <alignment horizontal="center"/>
    </xf>
    <xf numFmtId="164" fontId="9" fillId="5" borderId="0" xfId="1" applyNumberFormat="1" applyFont="1" applyFill="1"/>
    <xf numFmtId="0" fontId="9" fillId="5" borderId="0" xfId="0" applyFont="1" applyFill="1"/>
    <xf numFmtId="164" fontId="9" fillId="0" borderId="0" xfId="1" applyNumberFormat="1" applyFont="1"/>
    <xf numFmtId="0" fontId="9" fillId="0" borderId="0" xfId="0" applyFont="1"/>
    <xf numFmtId="165" fontId="9" fillId="0" borderId="0" xfId="0" applyNumberFormat="1" applyFont="1"/>
    <xf numFmtId="166" fontId="9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/>
    <xf numFmtId="0" fontId="8" fillId="4" borderId="11" xfId="0" applyFont="1" applyFill="1" applyBorder="1" applyAlignment="1">
      <alignment horizontal="right"/>
    </xf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/>
    <xf numFmtId="0" fontId="8" fillId="4" borderId="13" xfId="0" applyFont="1" applyFill="1" applyBorder="1"/>
    <xf numFmtId="0" fontId="8" fillId="4" borderId="14" xfId="0" applyFont="1" applyFill="1" applyBorder="1" applyAlignment="1">
      <alignment horizontal="right"/>
    </xf>
    <xf numFmtId="165" fontId="8" fillId="0" borderId="0" xfId="0" applyNumberFormat="1" applyFont="1" applyBorder="1"/>
    <xf numFmtId="166" fontId="8" fillId="0" borderId="0" xfId="0" applyNumberFormat="1" applyFont="1" applyBorder="1"/>
    <xf numFmtId="0" fontId="8" fillId="4" borderId="16" xfId="0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Fill="1"/>
    <xf numFmtId="0" fontId="8" fillId="2" borderId="0" xfId="0" applyFont="1" applyFill="1"/>
    <xf numFmtId="0" fontId="8" fillId="5" borderId="0" xfId="0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/>
    <xf numFmtId="166" fontId="8" fillId="5" borderId="0" xfId="0" applyNumberFormat="1" applyFont="1" applyFill="1" applyAlignment="1">
      <alignment horizontal="center"/>
    </xf>
    <xf numFmtId="165" fontId="8" fillId="5" borderId="0" xfId="0" applyNumberFormat="1" applyFont="1" applyFill="1"/>
    <xf numFmtId="166" fontId="8" fillId="5" borderId="0" xfId="0" applyNumberFormat="1" applyFont="1" applyFill="1"/>
    <xf numFmtId="164" fontId="8" fillId="5" borderId="0" xfId="1" applyNumberFormat="1" applyFont="1" applyFill="1"/>
    <xf numFmtId="0" fontId="8" fillId="5" borderId="0" xfId="0" applyFont="1" applyFill="1" applyAlignment="1">
      <alignment vertical="center" textRotation="135"/>
    </xf>
    <xf numFmtId="0" fontId="8" fillId="8" borderId="2" xfId="0" applyFont="1" applyFill="1" applyBorder="1" applyAlignment="1">
      <alignment horizontal="center"/>
    </xf>
    <xf numFmtId="164" fontId="8" fillId="8" borderId="2" xfId="1" applyNumberFormat="1" applyFont="1" applyFill="1" applyBorder="1" applyAlignment="1">
      <alignment horizontal="center"/>
    </xf>
    <xf numFmtId="165" fontId="8" fillId="5" borderId="0" xfId="0" applyNumberFormat="1" applyFont="1" applyFill="1" applyAlignment="1">
      <alignment horizontal="center"/>
    </xf>
    <xf numFmtId="9" fontId="8" fillId="5" borderId="0" xfId="2" applyFont="1" applyFill="1"/>
    <xf numFmtId="166" fontId="8" fillId="0" borderId="0" xfId="0" applyNumberFormat="1" applyFont="1"/>
    <xf numFmtId="165" fontId="8" fillId="0" borderId="0" xfId="0" applyNumberFormat="1" applyFont="1"/>
    <xf numFmtId="0" fontId="6" fillId="4" borderId="10" xfId="0" applyFont="1" applyFill="1" applyBorder="1"/>
    <xf numFmtId="164" fontId="8" fillId="5" borderId="0" xfId="0" applyNumberFormat="1" applyFont="1" applyFill="1"/>
    <xf numFmtId="0" fontId="8" fillId="5" borderId="0" xfId="0" applyFont="1" applyFill="1" applyBorder="1"/>
    <xf numFmtId="164" fontId="8" fillId="5" borderId="0" xfId="1" applyNumberFormat="1" applyFont="1" applyFill="1" applyAlignment="1">
      <alignment horizontal="center"/>
    </xf>
    <xf numFmtId="165" fontId="8" fillId="5" borderId="0" xfId="0" applyNumberFormat="1" applyFont="1" applyFill="1" applyBorder="1"/>
    <xf numFmtId="166" fontId="8" fillId="5" borderId="0" xfId="0" applyNumberFormat="1" applyFont="1" applyFill="1" applyBorder="1"/>
    <xf numFmtId="0" fontId="8" fillId="5" borderId="0" xfId="0" applyFont="1" applyFill="1" applyBorder="1" applyAlignment="1">
      <alignment horizontal="right"/>
    </xf>
    <xf numFmtId="0" fontId="8" fillId="5" borderId="0" xfId="0" applyFont="1" applyFill="1" applyBorder="1" applyAlignment="1">
      <alignment horizontal="center"/>
    </xf>
    <xf numFmtId="164" fontId="8" fillId="5" borderId="0" xfId="1" applyNumberFormat="1" applyFont="1" applyFill="1" applyBorder="1" applyAlignment="1">
      <alignment horizontal="center"/>
    </xf>
    <xf numFmtId="164" fontId="8" fillId="5" borderId="0" xfId="1" applyNumberFormat="1" applyFont="1" applyFill="1" applyBorder="1"/>
    <xf numFmtId="167" fontId="8" fillId="5" borderId="0" xfId="0" applyNumberFormat="1" applyFont="1" applyFill="1" applyBorder="1"/>
    <xf numFmtId="0" fontId="8" fillId="5" borderId="26" xfId="0" applyFont="1" applyFill="1" applyBorder="1" applyAlignment="1">
      <alignment horizontal="center"/>
    </xf>
    <xf numFmtId="0" fontId="8" fillId="5" borderId="26" xfId="0" applyFont="1" applyFill="1" applyBorder="1"/>
    <xf numFmtId="0" fontId="6" fillId="5" borderId="0" xfId="0" applyFont="1" applyFill="1" applyBorder="1"/>
    <xf numFmtId="43" fontId="8" fillId="5" borderId="0" xfId="1" applyNumberFormat="1" applyFont="1" applyFill="1" applyBorder="1"/>
    <xf numFmtId="38" fontId="8" fillId="5" borderId="0" xfId="0" applyNumberFormat="1" applyFont="1" applyFill="1" applyBorder="1"/>
    <xf numFmtId="43" fontId="8" fillId="5" borderId="0" xfId="0" applyNumberFormat="1" applyFont="1" applyFill="1"/>
    <xf numFmtId="164" fontId="8" fillId="5" borderId="0" xfId="0" applyNumberFormat="1" applyFont="1" applyFill="1" applyBorder="1"/>
    <xf numFmtId="9" fontId="8" fillId="5" borderId="0" xfId="2" applyFont="1" applyFill="1" applyBorder="1" applyAlignment="1">
      <alignment horizontal="center"/>
    </xf>
    <xf numFmtId="9" fontId="8" fillId="5" borderId="0" xfId="2" applyFont="1" applyFill="1" applyBorder="1"/>
    <xf numFmtId="9" fontId="8" fillId="5" borderId="0" xfId="0" applyNumberFormat="1" applyFont="1" applyFill="1"/>
    <xf numFmtId="164" fontId="8" fillId="5" borderId="0" xfId="2" applyNumberFormat="1" applyFont="1" applyFill="1"/>
    <xf numFmtId="38" fontId="8" fillId="5" borderId="0" xfId="0" applyNumberFormat="1" applyFont="1" applyFill="1"/>
    <xf numFmtId="38" fontId="6" fillId="9" borderId="10" xfId="0" applyNumberFormat="1" applyFont="1" applyFill="1" applyBorder="1"/>
    <xf numFmtId="38" fontId="6" fillId="9" borderId="10" xfId="1" applyNumberFormat="1" applyFont="1" applyFill="1" applyBorder="1"/>
    <xf numFmtId="38" fontId="6" fillId="9" borderId="10" xfId="2" applyNumberFormat="1" applyFont="1" applyFill="1" applyBorder="1"/>
    <xf numFmtId="38" fontId="6" fillId="9" borderId="17" xfId="0" applyNumberFormat="1" applyFont="1" applyFill="1" applyBorder="1"/>
    <xf numFmtId="166" fontId="8" fillId="9" borderId="10" xfId="0" applyNumberFormat="1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164" fontId="8" fillId="9" borderId="10" xfId="0" applyNumberFormat="1" applyFont="1" applyFill="1" applyBorder="1" applyAlignment="1">
      <alignment horizontal="center"/>
    </xf>
    <xf numFmtId="165" fontId="8" fillId="9" borderId="10" xfId="0" applyNumberFormat="1" applyFont="1" applyFill="1" applyBorder="1" applyAlignment="1">
      <alignment horizontal="center"/>
    </xf>
    <xf numFmtId="164" fontId="8" fillId="9" borderId="10" xfId="1" applyNumberFormat="1" applyFont="1" applyFill="1" applyBorder="1" applyAlignment="1">
      <alignment horizontal="center"/>
    </xf>
    <xf numFmtId="164" fontId="8" fillId="9" borderId="10" xfId="1" applyNumberFormat="1" applyFont="1" applyFill="1" applyBorder="1" applyAlignment="1">
      <alignment horizontal="center" vertical="center"/>
    </xf>
    <xf numFmtId="164" fontId="8" fillId="9" borderId="9" xfId="1" applyNumberFormat="1" applyFont="1" applyFill="1" applyBorder="1" applyAlignment="1"/>
    <xf numFmtId="164" fontId="8" fillId="9" borderId="8" xfId="1" applyNumberFormat="1" applyFont="1" applyFill="1" applyBorder="1" applyAlignment="1"/>
    <xf numFmtId="164" fontId="8" fillId="9" borderId="7" xfId="1" applyNumberFormat="1" applyFont="1" applyFill="1" applyBorder="1" applyAlignment="1"/>
    <xf numFmtId="164" fontId="8" fillId="9" borderId="6" xfId="1" applyNumberFormat="1" applyFont="1" applyFill="1" applyBorder="1" applyAlignment="1"/>
    <xf numFmtId="164" fontId="8" fillId="9" borderId="10" xfId="1" applyNumberFormat="1" applyFont="1" applyFill="1" applyBorder="1" applyAlignment="1"/>
    <xf numFmtId="164" fontId="8" fillId="9" borderId="9" xfId="1" applyNumberFormat="1" applyFont="1" applyFill="1" applyBorder="1" applyAlignment="1">
      <alignment horizontal="center"/>
    </xf>
    <xf numFmtId="164" fontId="8" fillId="9" borderId="9" xfId="1" applyNumberFormat="1" applyFont="1" applyFill="1" applyBorder="1"/>
    <xf numFmtId="9" fontId="8" fillId="9" borderId="10" xfId="2" applyFont="1" applyFill="1" applyBorder="1" applyAlignment="1">
      <alignment horizontal="center"/>
    </xf>
    <xf numFmtId="9" fontId="8" fillId="9" borderId="10" xfId="2" applyFont="1" applyFill="1" applyBorder="1"/>
    <xf numFmtId="9" fontId="8" fillId="9" borderId="17" xfId="2" applyFont="1" applyFill="1" applyBorder="1" applyAlignment="1">
      <alignment horizontal="center"/>
    </xf>
    <xf numFmtId="9" fontId="8" fillId="9" borderId="9" xfId="2" applyFont="1" applyFill="1" applyBorder="1" applyAlignment="1">
      <alignment horizontal="center"/>
    </xf>
    <xf numFmtId="9" fontId="8" fillId="9" borderId="9" xfId="2" applyFont="1" applyFill="1" applyBorder="1"/>
    <xf numFmtId="9" fontId="8" fillId="9" borderId="10" xfId="2" applyFont="1" applyFill="1" applyBorder="1" applyAlignment="1">
      <alignment horizontal="center" vertical="center"/>
    </xf>
    <xf numFmtId="9" fontId="8" fillId="9" borderId="15" xfId="2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9" fontId="8" fillId="9" borderId="15" xfId="0" applyNumberFormat="1" applyFont="1" applyFill="1" applyBorder="1" applyAlignment="1">
      <alignment horizontal="center" vertical="center"/>
    </xf>
    <xf numFmtId="9" fontId="8" fillId="9" borderId="17" xfId="2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9" fontId="8" fillId="9" borderId="18" xfId="0" applyNumberFormat="1" applyFont="1" applyFill="1" applyBorder="1" applyAlignment="1">
      <alignment horizontal="center" vertical="center"/>
    </xf>
    <xf numFmtId="9" fontId="8" fillId="14" borderId="10" xfId="2" applyFont="1" applyFill="1" applyBorder="1"/>
    <xf numFmtId="0" fontId="8" fillId="14" borderId="10" xfId="0" applyFont="1" applyFill="1" applyBorder="1"/>
    <xf numFmtId="9" fontId="8" fillId="14" borderId="10" xfId="0" applyNumberFormat="1" applyFont="1" applyFill="1" applyBorder="1"/>
    <xf numFmtId="43" fontId="8" fillId="14" borderId="10" xfId="0" applyNumberFormat="1" applyFont="1" applyFill="1" applyBorder="1"/>
    <xf numFmtId="0" fontId="8" fillId="11" borderId="37" xfId="0" applyFont="1" applyFill="1" applyBorder="1" applyAlignment="1">
      <alignment horizontal="center" readingOrder="2"/>
    </xf>
    <xf numFmtId="0" fontId="8" fillId="11" borderId="38" xfId="0" applyFont="1" applyFill="1" applyBorder="1" applyAlignment="1">
      <alignment horizontal="center" readingOrder="2"/>
    </xf>
    <xf numFmtId="0" fontId="8" fillId="11" borderId="39" xfId="0" applyFont="1" applyFill="1" applyBorder="1" applyAlignment="1">
      <alignment horizontal="center" readingOrder="2"/>
    </xf>
    <xf numFmtId="0" fontId="8" fillId="11" borderId="40" xfId="0" applyFont="1" applyFill="1" applyBorder="1" applyAlignment="1">
      <alignment horizontal="center" readingOrder="2"/>
    </xf>
    <xf numFmtId="0" fontId="8" fillId="11" borderId="41" xfId="0" applyFont="1" applyFill="1" applyBorder="1" applyAlignment="1">
      <alignment horizontal="center"/>
    </xf>
    <xf numFmtId="164" fontId="8" fillId="11" borderId="42" xfId="1" applyNumberFormat="1" applyFont="1" applyFill="1" applyBorder="1" applyAlignment="1">
      <alignment horizontal="center"/>
    </xf>
    <xf numFmtId="0" fontId="8" fillId="11" borderId="39" xfId="0" applyFont="1" applyFill="1" applyBorder="1" applyAlignment="1">
      <alignment horizontal="center"/>
    </xf>
    <xf numFmtId="164" fontId="8" fillId="11" borderId="40" xfId="1" applyNumberFormat="1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164" fontId="8" fillId="2" borderId="44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/>
    <xf numFmtId="164" fontId="8" fillId="0" borderId="10" xfId="1" applyNumberFormat="1" applyFont="1" applyBorder="1"/>
    <xf numFmtId="164" fontId="8" fillId="0" borderId="10" xfId="1" applyNumberFormat="1" applyFont="1" applyBorder="1" applyAlignment="1">
      <alignment horizontal="center" vertical="center" wrapText="1"/>
    </xf>
    <xf numFmtId="164" fontId="8" fillId="0" borderId="15" xfId="1" applyNumberFormat="1" applyFont="1" applyBorder="1"/>
    <xf numFmtId="0" fontId="8" fillId="0" borderId="0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16" xfId="0" applyFont="1" applyBorder="1"/>
    <xf numFmtId="0" fontId="8" fillId="0" borderId="17" xfId="0" applyFont="1" applyBorder="1"/>
    <xf numFmtId="165" fontId="8" fillId="0" borderId="17" xfId="0" applyNumberFormat="1" applyFont="1" applyBorder="1"/>
    <xf numFmtId="0" fontId="8" fillId="0" borderId="18" xfId="0" applyFont="1" applyBorder="1"/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6" fontId="8" fillId="0" borderId="17" xfId="0" applyNumberFormat="1" applyFont="1" applyBorder="1"/>
    <xf numFmtId="164" fontId="8" fillId="0" borderId="17" xfId="1" applyNumberFormat="1" applyFont="1" applyBorder="1"/>
    <xf numFmtId="0" fontId="8" fillId="4" borderId="19" xfId="0" applyFont="1" applyFill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38" fontId="8" fillId="0" borderId="10" xfId="1" applyNumberFormat="1" applyFont="1" applyBorder="1"/>
    <xf numFmtId="0" fontId="8" fillId="0" borderId="10" xfId="0" applyFont="1" applyBorder="1"/>
    <xf numFmtId="0" fontId="8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3" fontId="8" fillId="0" borderId="10" xfId="0" applyNumberFormat="1" applyFont="1" applyBorder="1"/>
    <xf numFmtId="3" fontId="8" fillId="0" borderId="10" xfId="0" applyNumberFormat="1" applyFont="1" applyFill="1" applyBorder="1"/>
    <xf numFmtId="0" fontId="8" fillId="0" borderId="15" xfId="0" applyFont="1" applyBorder="1"/>
    <xf numFmtId="3" fontId="8" fillId="0" borderId="17" xfId="0" applyNumberFormat="1" applyFont="1" applyBorder="1"/>
    <xf numFmtId="3" fontId="8" fillId="0" borderId="0" xfId="0" applyNumberFormat="1" applyFont="1"/>
    <xf numFmtId="165" fontId="14" fillId="0" borderId="0" xfId="0" applyNumberFormat="1" applyFont="1" applyAlignment="1">
      <alignment vertical="center" wrapText="1"/>
    </xf>
    <xf numFmtId="3" fontId="8" fillId="0" borderId="15" xfId="0" applyNumberFormat="1" applyFont="1" applyBorder="1"/>
    <xf numFmtId="3" fontId="8" fillId="0" borderId="18" xfId="0" applyNumberFormat="1" applyFont="1" applyBorder="1"/>
    <xf numFmtId="0" fontId="8" fillId="4" borderId="21" xfId="0" applyFont="1" applyFill="1" applyBorder="1" applyAlignment="1">
      <alignment horizontal="right"/>
    </xf>
    <xf numFmtId="0" fontId="8" fillId="4" borderId="20" xfId="0" applyFont="1" applyFill="1" applyBorder="1" applyAlignment="1">
      <alignment horizontal="right"/>
    </xf>
    <xf numFmtId="0" fontId="8" fillId="4" borderId="22" xfId="0" applyFont="1" applyFill="1" applyBorder="1" applyAlignment="1"/>
    <xf numFmtId="0" fontId="8" fillId="4" borderId="11" xfId="0" applyFont="1" applyFill="1" applyBorder="1"/>
    <xf numFmtId="0" fontId="8" fillId="4" borderId="14" xfId="0" applyFont="1" applyFill="1" applyBorder="1"/>
    <xf numFmtId="38" fontId="8" fillId="0" borderId="10" xfId="0" applyNumberFormat="1" applyFont="1" applyBorder="1"/>
    <xf numFmtId="0" fontId="8" fillId="4" borderId="16" xfId="0" applyFont="1" applyFill="1" applyBorder="1"/>
    <xf numFmtId="38" fontId="8" fillId="0" borderId="17" xfId="0" applyNumberFormat="1" applyFont="1" applyBorder="1"/>
    <xf numFmtId="9" fontId="8" fillId="9" borderId="15" xfId="2" applyFont="1" applyFill="1" applyBorder="1" applyAlignment="1">
      <alignment horizontal="center"/>
    </xf>
    <xf numFmtId="0" fontId="8" fillId="4" borderId="45" xfId="0" applyFont="1" applyFill="1" applyBorder="1" applyAlignment="1">
      <alignment horizontal="right"/>
    </xf>
    <xf numFmtId="0" fontId="8" fillId="4" borderId="47" xfId="0" applyFont="1" applyFill="1" applyBorder="1" applyAlignment="1">
      <alignment horizontal="right"/>
    </xf>
    <xf numFmtId="0" fontId="8" fillId="4" borderId="48" xfId="0" applyFont="1" applyFill="1" applyBorder="1" applyAlignment="1">
      <alignment horizontal="center"/>
    </xf>
    <xf numFmtId="0" fontId="8" fillId="4" borderId="48" xfId="0" applyFont="1" applyFill="1" applyBorder="1"/>
    <xf numFmtId="0" fontId="8" fillId="4" borderId="49" xfId="0" applyFont="1" applyFill="1" applyBorder="1"/>
    <xf numFmtId="0" fontId="8" fillId="4" borderId="50" xfId="0" applyFont="1" applyFill="1" applyBorder="1" applyAlignment="1">
      <alignment horizontal="right"/>
    </xf>
    <xf numFmtId="164" fontId="8" fillId="9" borderId="51" xfId="1" applyNumberFormat="1" applyFont="1" applyFill="1" applyBorder="1" applyAlignment="1">
      <alignment horizontal="center"/>
    </xf>
    <xf numFmtId="164" fontId="8" fillId="9" borderId="52" xfId="1" applyNumberFormat="1" applyFont="1" applyFill="1" applyBorder="1" applyAlignment="1">
      <alignment horizontal="center"/>
    </xf>
    <xf numFmtId="164" fontId="8" fillId="9" borderId="46" xfId="1" applyNumberFormat="1" applyFont="1" applyFill="1" applyBorder="1"/>
    <xf numFmtId="164" fontId="8" fillId="9" borderId="51" xfId="1" applyNumberFormat="1" applyFont="1" applyFill="1" applyBorder="1"/>
    <xf numFmtId="164" fontId="8" fillId="9" borderId="52" xfId="1" applyNumberFormat="1" applyFont="1" applyFill="1" applyBorder="1"/>
    <xf numFmtId="0" fontId="8" fillId="4" borderId="0" xfId="0" applyFont="1" applyFill="1" applyBorder="1" applyAlignment="1">
      <alignment horizontal="right"/>
    </xf>
    <xf numFmtId="164" fontId="8" fillId="9" borderId="52" xfId="1" applyNumberFormat="1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right"/>
    </xf>
    <xf numFmtId="0" fontId="8" fillId="4" borderId="53" xfId="0" applyFont="1" applyFill="1" applyBorder="1" applyAlignment="1">
      <alignment horizontal="center"/>
    </xf>
    <xf numFmtId="0" fontId="8" fillId="4" borderId="53" xfId="0" applyFont="1" applyFill="1" applyBorder="1"/>
    <xf numFmtId="0" fontId="6" fillId="4" borderId="55" xfId="0" applyFont="1" applyFill="1" applyBorder="1"/>
    <xf numFmtId="0" fontId="6" fillId="4" borderId="56" xfId="0" applyFont="1" applyFill="1" applyBorder="1"/>
    <xf numFmtId="0" fontId="6" fillId="4" borderId="57" xfId="0" applyFont="1" applyFill="1" applyBorder="1"/>
    <xf numFmtId="0" fontId="6" fillId="4" borderId="24" xfId="0" applyFont="1" applyFill="1" applyBorder="1"/>
    <xf numFmtId="0" fontId="8" fillId="2" borderId="24" xfId="0" applyFont="1" applyFill="1" applyBorder="1"/>
    <xf numFmtId="164" fontId="8" fillId="9" borderId="23" xfId="1" applyNumberFormat="1" applyFont="1" applyFill="1" applyBorder="1" applyAlignment="1"/>
    <xf numFmtId="43" fontId="8" fillId="9" borderId="23" xfId="1" applyNumberFormat="1" applyFont="1" applyFill="1" applyBorder="1" applyAlignment="1"/>
    <xf numFmtId="0" fontId="6" fillId="4" borderId="58" xfId="0" applyFont="1" applyFill="1" applyBorder="1"/>
    <xf numFmtId="0" fontId="6" fillId="4" borderId="59" xfId="0" applyFont="1" applyFill="1" applyBorder="1"/>
    <xf numFmtId="43" fontId="8" fillId="9" borderId="21" xfId="1" applyFont="1" applyFill="1" applyBorder="1"/>
    <xf numFmtId="0" fontId="8" fillId="9" borderId="21" xfId="0" applyFont="1" applyFill="1" applyBorder="1"/>
    <xf numFmtId="0" fontId="8" fillId="9" borderId="60" xfId="0" applyFont="1" applyFill="1" applyBorder="1"/>
    <xf numFmtId="164" fontId="8" fillId="9" borderId="23" xfId="1" applyNumberFormat="1" applyFont="1" applyFill="1" applyBorder="1" applyAlignment="1">
      <alignment horizontal="center"/>
    </xf>
    <xf numFmtId="166" fontId="8" fillId="9" borderId="21" xfId="0" applyNumberFormat="1" applyFont="1" applyFill="1" applyBorder="1" applyAlignment="1">
      <alignment horizontal="center"/>
    </xf>
    <xf numFmtId="164" fontId="8" fillId="9" borderId="21" xfId="1" applyNumberFormat="1" applyFont="1" applyFill="1" applyBorder="1" applyAlignment="1">
      <alignment horizontal="center"/>
    </xf>
    <xf numFmtId="164" fontId="8" fillId="9" borderId="21" xfId="1" applyNumberFormat="1" applyFont="1" applyFill="1" applyBorder="1" applyAlignment="1">
      <alignment horizontal="center" vertical="center"/>
    </xf>
    <xf numFmtId="164" fontId="8" fillId="9" borderId="60" xfId="1" applyNumberFormat="1" applyFont="1" applyFill="1" applyBorder="1" applyAlignment="1">
      <alignment horizontal="center"/>
    </xf>
    <xf numFmtId="38" fontId="6" fillId="9" borderId="23" xfId="0" applyNumberFormat="1" applyFont="1" applyFill="1" applyBorder="1"/>
    <xf numFmtId="38" fontId="6" fillId="9" borderId="61" xfId="0" applyNumberFormat="1" applyFont="1" applyFill="1" applyBorder="1"/>
    <xf numFmtId="0" fontId="9" fillId="4" borderId="57" xfId="0" applyFont="1" applyFill="1" applyBorder="1"/>
    <xf numFmtId="0" fontId="10" fillId="4" borderId="57" xfId="0" applyFont="1" applyFill="1" applyBorder="1" applyAlignment="1">
      <alignment horizontal="right"/>
    </xf>
    <xf numFmtId="0" fontId="10" fillId="4" borderId="58" xfId="0" applyFont="1" applyFill="1" applyBorder="1" applyAlignment="1">
      <alignment horizontal="right"/>
    </xf>
    <xf numFmtId="0" fontId="8" fillId="4" borderId="24" xfId="0" applyFont="1" applyFill="1" applyBorder="1" applyAlignment="1">
      <alignment horizontal="right"/>
    </xf>
    <xf numFmtId="9" fontId="8" fillId="9" borderId="23" xfId="2" applyFont="1" applyFill="1" applyBorder="1"/>
    <xf numFmtId="0" fontId="8" fillId="4" borderId="56" xfId="0" applyFont="1" applyFill="1" applyBorder="1" applyAlignment="1">
      <alignment horizontal="right"/>
    </xf>
    <xf numFmtId="0" fontId="8" fillId="4" borderId="57" xfId="0" applyFont="1" applyFill="1" applyBorder="1" applyAlignment="1">
      <alignment horizontal="center"/>
    </xf>
    <xf numFmtId="0" fontId="8" fillId="4" borderId="57" xfId="0" applyFont="1" applyFill="1" applyBorder="1"/>
    <xf numFmtId="0" fontId="8" fillId="4" borderId="58" xfId="0" applyFont="1" applyFill="1" applyBorder="1"/>
    <xf numFmtId="0" fontId="8" fillId="4" borderId="59" xfId="0" applyFont="1" applyFill="1" applyBorder="1" applyAlignment="1">
      <alignment horizontal="right"/>
    </xf>
    <xf numFmtId="9" fontId="8" fillId="9" borderId="21" xfId="2" applyFont="1" applyFill="1" applyBorder="1" applyAlignment="1">
      <alignment horizontal="center"/>
    </xf>
    <xf numFmtId="9" fontId="8" fillId="9" borderId="21" xfId="2" applyFont="1" applyFill="1" applyBorder="1"/>
    <xf numFmtId="9" fontId="8" fillId="9" borderId="60" xfId="2" applyFont="1" applyFill="1" applyBorder="1"/>
    <xf numFmtId="9" fontId="8" fillId="9" borderId="46" xfId="2" applyFont="1" applyFill="1" applyBorder="1"/>
    <xf numFmtId="9" fontId="8" fillId="9" borderId="51" xfId="2" applyFont="1" applyFill="1" applyBorder="1" applyAlignment="1">
      <alignment horizontal="center"/>
    </xf>
    <xf numFmtId="9" fontId="8" fillId="9" borderId="51" xfId="2" applyFont="1" applyFill="1" applyBorder="1"/>
    <xf numFmtId="9" fontId="8" fillId="9" borderId="52" xfId="2" applyFont="1" applyFill="1" applyBorder="1"/>
    <xf numFmtId="43" fontId="8" fillId="9" borderId="0" xfId="1" applyNumberFormat="1" applyFont="1" applyFill="1" applyAlignment="1">
      <alignment vertical="center"/>
    </xf>
    <xf numFmtId="9" fontId="8" fillId="0" borderId="10" xfId="2" applyFont="1" applyBorder="1"/>
    <xf numFmtId="9" fontId="8" fillId="0" borderId="10" xfId="2" applyFont="1" applyBorder="1" applyAlignment="1">
      <alignment vertical="center" wrapText="1"/>
    </xf>
    <xf numFmtId="9" fontId="8" fillId="0" borderId="15" xfId="0" applyNumberFormat="1" applyFont="1" applyBorder="1"/>
    <xf numFmtId="9" fontId="8" fillId="0" borderId="17" xfId="2" applyFont="1" applyBorder="1" applyAlignment="1">
      <alignment vertical="center" wrapText="1"/>
    </xf>
    <xf numFmtId="9" fontId="8" fillId="0" borderId="18" xfId="0" applyNumberFormat="1" applyFont="1" applyBorder="1"/>
    <xf numFmtId="9" fontId="8" fillId="0" borderId="10" xfId="2" applyFont="1" applyBorder="1" applyAlignment="1">
      <alignment horizontal="center" vertical="center" wrapText="1"/>
    </xf>
    <xf numFmtId="9" fontId="8" fillId="0" borderId="15" xfId="2" applyFont="1" applyBorder="1"/>
    <xf numFmtId="9" fontId="8" fillId="0" borderId="17" xfId="2" applyFont="1" applyBorder="1" applyAlignment="1">
      <alignment horizontal="center" vertical="center" wrapText="1"/>
    </xf>
    <xf numFmtId="9" fontId="8" fillId="0" borderId="17" xfId="2" applyFont="1" applyBorder="1"/>
    <xf numFmtId="9" fontId="8" fillId="0" borderId="18" xfId="2" applyFont="1" applyBorder="1"/>
    <xf numFmtId="166" fontId="8" fillId="0" borderId="10" xfId="0" applyNumberFormat="1" applyFont="1" applyBorder="1"/>
    <xf numFmtId="164" fontId="8" fillId="0" borderId="17" xfId="0" applyNumberFormat="1" applyFont="1" applyBorder="1"/>
    <xf numFmtId="164" fontId="8" fillId="0" borderId="18" xfId="0" applyNumberFormat="1" applyFont="1" applyBorder="1"/>
    <xf numFmtId="164" fontId="8" fillId="0" borderId="10" xfId="0" applyNumberFormat="1" applyFont="1" applyBorder="1"/>
    <xf numFmtId="164" fontId="8" fillId="0" borderId="15" xfId="0" applyNumberFormat="1" applyFont="1" applyBorder="1"/>
    <xf numFmtId="43" fontId="8" fillId="0" borderId="0" xfId="1" applyFont="1"/>
    <xf numFmtId="43" fontId="8" fillId="6" borderId="0" xfId="1" applyFont="1" applyFill="1" applyAlignment="1">
      <alignment horizontal="center" vertical="center"/>
    </xf>
    <xf numFmtId="0" fontId="8" fillId="2" borderId="14" xfId="0" applyFont="1" applyFill="1" applyBorder="1"/>
    <xf numFmtId="0" fontId="6" fillId="4" borderId="16" xfId="0" applyFont="1" applyFill="1" applyBorder="1"/>
    <xf numFmtId="43" fontId="8" fillId="0" borderId="17" xfId="1" applyFont="1" applyBorder="1"/>
    <xf numFmtId="43" fontId="8" fillId="0" borderId="17" xfId="0" applyNumberFormat="1" applyFont="1" applyFill="1" applyBorder="1"/>
    <xf numFmtId="0" fontId="15" fillId="4" borderId="10" xfId="0" applyFont="1" applyFill="1" applyBorder="1"/>
    <xf numFmtId="9" fontId="8" fillId="0" borderId="0" xfId="2" applyFont="1"/>
    <xf numFmtId="164" fontId="8" fillId="0" borderId="10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164" fontId="8" fillId="0" borderId="21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38" fontId="8" fillId="0" borderId="15" xfId="0" applyNumberFormat="1" applyFont="1" applyBorder="1"/>
    <xf numFmtId="9" fontId="8" fillId="0" borderId="0" xfId="2" applyFont="1" applyBorder="1"/>
    <xf numFmtId="0" fontId="8" fillId="8" borderId="11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0" fontId="8" fillId="11" borderId="16" xfId="0" applyFont="1" applyFill="1" applyBorder="1" applyAlignment="1">
      <alignment horizontal="center"/>
    </xf>
    <xf numFmtId="0" fontId="11" fillId="2" borderId="62" xfId="0" applyFont="1" applyFill="1" applyBorder="1" applyAlignment="1">
      <alignment horizontal="center"/>
    </xf>
    <xf numFmtId="164" fontId="8" fillId="8" borderId="13" xfId="1" applyNumberFormat="1" applyFont="1" applyFill="1" applyBorder="1" applyAlignment="1">
      <alignment horizontal="center"/>
    </xf>
    <xf numFmtId="164" fontId="8" fillId="11" borderId="15" xfId="0" applyNumberFormat="1" applyFont="1" applyFill="1" applyBorder="1"/>
    <xf numFmtId="9" fontId="8" fillId="12" borderId="43" xfId="2" applyFont="1" applyFill="1" applyBorder="1" applyAlignment="1">
      <alignment horizontal="center"/>
    </xf>
    <xf numFmtId="9" fontId="8" fillId="12" borderId="44" xfId="2" applyFont="1" applyFill="1" applyBorder="1" applyAlignment="1">
      <alignment horizontal="center"/>
    </xf>
    <xf numFmtId="166" fontId="8" fillId="11" borderId="37" xfId="0" applyNumberFormat="1" applyFont="1" applyFill="1" applyBorder="1" applyAlignment="1">
      <alignment horizontal="center"/>
    </xf>
    <xf numFmtId="165" fontId="8" fillId="11" borderId="38" xfId="0" applyNumberFormat="1" applyFont="1" applyFill="1" applyBorder="1" applyAlignment="1">
      <alignment horizontal="center"/>
    </xf>
    <xf numFmtId="165" fontId="8" fillId="11" borderId="40" xfId="0" applyNumberFormat="1" applyFont="1" applyFill="1" applyBorder="1" applyAlignment="1">
      <alignment horizontal="center"/>
    </xf>
    <xf numFmtId="43" fontId="8" fillId="11" borderId="39" xfId="1" applyFont="1" applyFill="1" applyBorder="1" applyAlignment="1">
      <alignment horizontal="center" vertical="center" readingOrder="2"/>
    </xf>
    <xf numFmtId="164" fontId="8" fillId="0" borderId="0" xfId="1" applyNumberFormat="1" applyFont="1" applyBorder="1"/>
    <xf numFmtId="166" fontId="5" fillId="15" borderId="68" xfId="0" applyNumberFormat="1" applyFont="1" applyFill="1" applyBorder="1"/>
    <xf numFmtId="164" fontId="5" fillId="15" borderId="69" xfId="1" applyNumberFormat="1" applyFont="1" applyFill="1" applyBorder="1"/>
    <xf numFmtId="164" fontId="5" fillId="15" borderId="70" xfId="1" applyNumberFormat="1" applyFont="1" applyFill="1" applyBorder="1"/>
    <xf numFmtId="164" fontId="5" fillId="15" borderId="71" xfId="1" applyNumberFormat="1" applyFont="1" applyFill="1" applyBorder="1"/>
    <xf numFmtId="164" fontId="5" fillId="15" borderId="72" xfId="1" applyNumberFormat="1" applyFont="1" applyFill="1" applyBorder="1"/>
    <xf numFmtId="0" fontId="16" fillId="2" borderId="75" xfId="0" applyFont="1" applyFill="1" applyBorder="1" applyAlignment="1">
      <alignment horizontal="center"/>
    </xf>
    <xf numFmtId="164" fontId="8" fillId="15" borderId="66" xfId="1" applyNumberFormat="1" applyFont="1" applyFill="1" applyBorder="1"/>
    <xf numFmtId="164" fontId="8" fillId="15" borderId="37" xfId="1" applyNumberFormat="1" applyFont="1" applyFill="1" applyBorder="1"/>
    <xf numFmtId="164" fontId="8" fillId="15" borderId="41" xfId="1" applyNumberFormat="1" applyFont="1" applyFill="1" applyBorder="1"/>
    <xf numFmtId="164" fontId="8" fillId="0" borderId="42" xfId="1" applyNumberFormat="1" applyFont="1" applyBorder="1"/>
    <xf numFmtId="164" fontId="8" fillId="15" borderId="39" xfId="1" applyNumberFormat="1" applyFont="1" applyFill="1" applyBorder="1"/>
    <xf numFmtId="164" fontId="8" fillId="0" borderId="67" xfId="1" applyNumberFormat="1" applyFont="1" applyBorder="1"/>
    <xf numFmtId="164" fontId="8" fillId="0" borderId="40" xfId="1" applyNumberFormat="1" applyFont="1" applyBorder="1"/>
    <xf numFmtId="164" fontId="8" fillId="0" borderId="0" xfId="0" applyNumberFormat="1" applyFont="1" applyBorder="1"/>
    <xf numFmtId="0" fontId="11" fillId="2" borderId="62" xfId="0" applyFont="1" applyFill="1" applyBorder="1" applyAlignment="1">
      <alignment horizontal="center"/>
    </xf>
    <xf numFmtId="3" fontId="8" fillId="13" borderId="0" xfId="0" applyNumberFormat="1" applyFont="1" applyFill="1" applyAlignment="1">
      <alignment horizontal="center" vertical="center"/>
    </xf>
    <xf numFmtId="0" fontId="8" fillId="6" borderId="77" xfId="0" applyFont="1" applyFill="1" applyBorder="1" applyAlignment="1">
      <alignment horizontal="center" vertical="center"/>
    </xf>
    <xf numFmtId="0" fontId="8" fillId="13" borderId="76" xfId="0" applyFont="1" applyFill="1" applyBorder="1" applyAlignment="1">
      <alignment horizontal="center" vertical="center"/>
    </xf>
    <xf numFmtId="0" fontId="8" fillId="2" borderId="10" xfId="0" applyFont="1" applyFill="1" applyBorder="1"/>
    <xf numFmtId="164" fontId="8" fillId="2" borderId="10" xfId="0" applyNumberFormat="1" applyFont="1" applyFill="1" applyBorder="1"/>
    <xf numFmtId="0" fontId="8" fillId="2" borderId="23" xfId="0" applyFont="1" applyFill="1" applyBorder="1"/>
    <xf numFmtId="43" fontId="8" fillId="0" borderId="30" xfId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readingOrder="1"/>
    </xf>
    <xf numFmtId="0" fontId="19" fillId="4" borderId="12" xfId="0" applyFont="1" applyFill="1" applyBorder="1" applyAlignment="1">
      <alignment horizontal="center"/>
    </xf>
    <xf numFmtId="0" fontId="19" fillId="4" borderId="12" xfId="0" applyFont="1" applyFill="1" applyBorder="1"/>
    <xf numFmtId="0" fontId="19" fillId="4" borderId="13" xfId="0" applyFont="1" applyFill="1" applyBorder="1"/>
    <xf numFmtId="0" fontId="19" fillId="4" borderId="10" xfId="0" applyFont="1" applyFill="1" applyBorder="1" applyAlignment="1">
      <alignment horizontal="center"/>
    </xf>
    <xf numFmtId="0" fontId="19" fillId="4" borderId="10" xfId="0" applyFont="1" applyFill="1" applyBorder="1"/>
    <xf numFmtId="0" fontId="19" fillId="4" borderId="15" xfId="0" applyFont="1" applyFill="1" applyBorder="1"/>
    <xf numFmtId="0" fontId="19" fillId="4" borderId="14" xfId="0" applyFont="1" applyFill="1" applyBorder="1" applyAlignment="1">
      <alignment horizontal="right" vertical="center"/>
    </xf>
    <xf numFmtId="0" fontId="19" fillId="4" borderId="11" xfId="0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  <xf numFmtId="0" fontId="19" fillId="0" borderId="0" xfId="0" applyFont="1" applyBorder="1"/>
    <xf numFmtId="3" fontId="19" fillId="0" borderId="10" xfId="0" applyNumberFormat="1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67" fontId="19" fillId="0" borderId="0" xfId="0" applyNumberFormat="1" applyFont="1" applyBorder="1"/>
    <xf numFmtId="166" fontId="19" fillId="0" borderId="0" xfId="0" applyNumberFormat="1" applyFont="1" applyBorder="1"/>
    <xf numFmtId="165" fontId="19" fillId="0" borderId="0" xfId="0" applyNumberFormat="1" applyFont="1" applyBorder="1"/>
    <xf numFmtId="0" fontId="19" fillId="0" borderId="10" xfId="0" applyFont="1" applyBorder="1"/>
    <xf numFmtId="0" fontId="19" fillId="4" borderId="16" xfId="0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3" fontId="19" fillId="0" borderId="0" xfId="0" applyNumberFormat="1" applyFont="1" applyBorder="1"/>
    <xf numFmtId="164" fontId="19" fillId="0" borderId="10" xfId="1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horizontal="center" vertical="center"/>
    </xf>
    <xf numFmtId="9" fontId="19" fillId="0" borderId="10" xfId="2" applyFont="1" applyBorder="1"/>
    <xf numFmtId="0" fontId="19" fillId="0" borderId="15" xfId="0" applyFont="1" applyBorder="1"/>
    <xf numFmtId="9" fontId="19" fillId="0" borderId="10" xfId="0" applyNumberFormat="1" applyFont="1" applyBorder="1"/>
    <xf numFmtId="3" fontId="19" fillId="0" borderId="10" xfId="0" applyNumberFormat="1" applyFont="1" applyBorder="1"/>
    <xf numFmtId="0" fontId="19" fillId="0" borderId="17" xfId="0" applyFont="1" applyBorder="1"/>
    <xf numFmtId="3" fontId="19" fillId="0" borderId="17" xfId="0" applyNumberFormat="1" applyFont="1" applyBorder="1"/>
    <xf numFmtId="0" fontId="19" fillId="0" borderId="18" xfId="0" applyFont="1" applyBorder="1"/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38" fontId="19" fillId="0" borderId="10" xfId="0" applyNumberFormat="1" applyFont="1" applyBorder="1" applyAlignment="1">
      <alignment horizontal="center" vertical="center"/>
    </xf>
    <xf numFmtId="38" fontId="19" fillId="0" borderId="15" xfId="0" applyNumberFormat="1" applyFont="1" applyBorder="1"/>
    <xf numFmtId="166" fontId="19" fillId="0" borderId="0" xfId="0" applyNumberFormat="1" applyFont="1"/>
    <xf numFmtId="165" fontId="19" fillId="0" borderId="0" xfId="0" applyNumberFormat="1" applyFont="1"/>
    <xf numFmtId="9" fontId="19" fillId="0" borderId="0" xfId="2" applyFont="1"/>
    <xf numFmtId="38" fontId="19" fillId="0" borderId="15" xfId="0" applyNumberFormat="1" applyFont="1" applyBorder="1" applyAlignment="1">
      <alignment horizontal="center" vertical="center"/>
    </xf>
    <xf numFmtId="166" fontId="19" fillId="0" borderId="15" xfId="0" applyNumberFormat="1" applyFont="1" applyBorder="1"/>
    <xf numFmtId="164" fontId="19" fillId="2" borderId="10" xfId="1" applyNumberFormat="1" applyFont="1" applyFill="1" applyBorder="1" applyAlignment="1">
      <alignment horizontal="center" vertical="center"/>
    </xf>
    <xf numFmtId="43" fontId="19" fillId="0" borderId="17" xfId="1" applyFont="1" applyBorder="1" applyAlignment="1">
      <alignment horizontal="center" vertical="center"/>
    </xf>
    <xf numFmtId="164" fontId="19" fillId="0" borderId="17" xfId="1" applyNumberFormat="1" applyFont="1" applyBorder="1" applyAlignment="1">
      <alignment horizontal="center" vertical="center"/>
    </xf>
    <xf numFmtId="43" fontId="19" fillId="0" borderId="18" xfId="0" applyNumberFormat="1" applyFont="1" applyBorder="1"/>
    <xf numFmtId="164" fontId="19" fillId="0" borderId="0" xfId="1" applyNumberFormat="1" applyFont="1" applyBorder="1"/>
    <xf numFmtId="165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0" fontId="19" fillId="0" borderId="16" xfId="0" applyFont="1" applyBorder="1" applyAlignment="1">
      <alignment horizontal="right" vertical="center"/>
    </xf>
    <xf numFmtId="166" fontId="19" fillId="0" borderId="18" xfId="0" applyNumberFormat="1" applyFont="1" applyBorder="1"/>
    <xf numFmtId="3" fontId="19" fillId="0" borderId="0" xfId="0" applyNumberFormat="1" applyFont="1"/>
    <xf numFmtId="9" fontId="19" fillId="0" borderId="0" xfId="2" applyFont="1" applyBorder="1"/>
    <xf numFmtId="38" fontId="19" fillId="0" borderId="17" xfId="0" applyNumberFormat="1" applyFont="1" applyBorder="1" applyAlignment="1">
      <alignment horizontal="center" vertical="center"/>
    </xf>
    <xf numFmtId="38" fontId="19" fillId="0" borderId="18" xfId="0" applyNumberFormat="1" applyFont="1" applyBorder="1" applyAlignment="1">
      <alignment horizontal="center" vertical="center"/>
    </xf>
    <xf numFmtId="0" fontId="11" fillId="2" borderId="62" xfId="0" applyFont="1" applyFill="1" applyBorder="1" applyAlignment="1">
      <alignment horizontal="center"/>
    </xf>
    <xf numFmtId="38" fontId="19" fillId="0" borderId="10" xfId="0" applyNumberFormat="1" applyFont="1" applyBorder="1" applyAlignment="1">
      <alignment horizontal="center"/>
    </xf>
    <xf numFmtId="38" fontId="19" fillId="0" borderId="15" xfId="0" applyNumberFormat="1" applyFont="1" applyBorder="1" applyAlignment="1">
      <alignment horizontal="center"/>
    </xf>
    <xf numFmtId="38" fontId="19" fillId="0" borderId="17" xfId="0" applyNumberFormat="1" applyFont="1" applyBorder="1" applyAlignment="1">
      <alignment horizontal="center"/>
    </xf>
    <xf numFmtId="38" fontId="19" fillId="0" borderId="18" xfId="0" applyNumberFormat="1" applyFont="1" applyBorder="1" applyAlignment="1">
      <alignment horizontal="center"/>
    </xf>
    <xf numFmtId="167" fontId="19" fillId="0" borderId="0" xfId="0" applyNumberFormat="1" applyFont="1"/>
    <xf numFmtId="0" fontId="3" fillId="0" borderId="0" xfId="0" applyFont="1" applyAlignment="1">
      <alignment horizontal="center"/>
    </xf>
    <xf numFmtId="0" fontId="19" fillId="0" borderId="0" xfId="0" applyFont="1" applyFill="1" applyBorder="1"/>
    <xf numFmtId="0" fontId="8" fillId="0" borderId="10" xfId="0" applyFont="1" applyBorder="1" applyAlignment="1">
      <alignment horizontal="right" vertical="center" wrapText="1"/>
    </xf>
    <xf numFmtId="0" fontId="19" fillId="4" borderId="11" xfId="0" applyFont="1" applyFill="1" applyBorder="1"/>
    <xf numFmtId="0" fontId="19" fillId="0" borderId="14" xfId="0" applyFont="1" applyBorder="1"/>
    <xf numFmtId="0" fontId="19" fillId="0" borderId="16" xfId="0" applyFont="1" applyBorder="1"/>
    <xf numFmtId="0" fontId="8" fillId="0" borderId="17" xfId="0" applyFont="1" applyBorder="1" applyAlignment="1">
      <alignment horizontal="right" vertical="center" wrapText="1"/>
    </xf>
    <xf numFmtId="0" fontId="19" fillId="4" borderId="13" xfId="0" applyFont="1" applyFill="1" applyBorder="1" applyAlignment="1">
      <alignment horizontal="center"/>
    </xf>
    <xf numFmtId="0" fontId="8" fillId="0" borderId="15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19" fillId="4" borderId="14" xfId="0" applyFont="1" applyFill="1" applyBorder="1" applyAlignment="1">
      <alignment horizontal="right"/>
    </xf>
    <xf numFmtId="164" fontId="20" fillId="0" borderId="10" xfId="1" applyNumberFormat="1" applyFont="1" applyBorder="1"/>
    <xf numFmtId="0" fontId="20" fillId="0" borderId="15" xfId="0" applyFont="1" applyBorder="1"/>
    <xf numFmtId="0" fontId="19" fillId="4" borderId="16" xfId="0" applyFont="1" applyFill="1" applyBorder="1" applyAlignment="1">
      <alignment horizontal="right"/>
    </xf>
    <xf numFmtId="164" fontId="20" fillId="0" borderId="17" xfId="1" applyNumberFormat="1" applyFont="1" applyBorder="1"/>
    <xf numFmtId="0" fontId="20" fillId="0" borderId="18" xfId="0" applyFont="1" applyBorder="1"/>
    <xf numFmtId="164" fontId="20" fillId="0" borderId="0" xfId="1" applyNumberFormat="1" applyFont="1"/>
    <xf numFmtId="0" fontId="20" fillId="0" borderId="0" xfId="0" applyFont="1" applyFill="1" applyBorder="1"/>
    <xf numFmtId="166" fontId="20" fillId="0" borderId="0" xfId="0" applyNumberFormat="1" applyFont="1"/>
    <xf numFmtId="165" fontId="20" fillId="0" borderId="0" xfId="0" applyNumberFormat="1" applyFont="1"/>
    <xf numFmtId="0" fontId="19" fillId="4" borderId="11" xfId="0" applyFont="1" applyFill="1" applyBorder="1" applyAlignment="1">
      <alignment horizontal="right"/>
    </xf>
    <xf numFmtId="38" fontId="20" fillId="0" borderId="10" xfId="0" applyNumberFormat="1" applyFont="1" applyBorder="1"/>
    <xf numFmtId="38" fontId="20" fillId="0" borderId="15" xfId="0" applyNumberFormat="1" applyFont="1" applyBorder="1"/>
    <xf numFmtId="38" fontId="20" fillId="0" borderId="17" xfId="0" applyNumberFormat="1" applyFont="1" applyBorder="1"/>
    <xf numFmtId="38" fontId="20" fillId="0" borderId="18" xfId="0" applyNumberFormat="1" applyFont="1" applyBorder="1"/>
    <xf numFmtId="164" fontId="20" fillId="0" borderId="18" xfId="1" applyNumberFormat="1" applyFont="1" applyBorder="1"/>
    <xf numFmtId="0" fontId="20" fillId="0" borderId="16" xfId="0" applyFont="1" applyBorder="1"/>
    <xf numFmtId="0" fontId="20" fillId="0" borderId="0" xfId="0" applyFont="1" applyBorder="1"/>
    <xf numFmtId="166" fontId="20" fillId="0" borderId="0" xfId="0" applyNumberFormat="1" applyFont="1" applyBorder="1"/>
    <xf numFmtId="165" fontId="20" fillId="0" borderId="0" xfId="0" applyNumberFormat="1" applyFont="1" applyBorder="1"/>
    <xf numFmtId="164" fontId="20" fillId="0" borderId="15" xfId="1" applyNumberFormat="1" applyFont="1" applyBorder="1"/>
    <xf numFmtId="0" fontId="20" fillId="4" borderId="10" xfId="0" applyFont="1" applyFill="1" applyBorder="1" applyAlignment="1">
      <alignment horizontal="right" vertical="center"/>
    </xf>
    <xf numFmtId="0" fontId="20" fillId="4" borderId="1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center" vertical="center"/>
    </xf>
    <xf numFmtId="38" fontId="20" fillId="0" borderId="10" xfId="0" applyNumberFormat="1" applyFont="1" applyBorder="1" applyAlignment="1">
      <alignment horizontal="center" vertical="center"/>
    </xf>
    <xf numFmtId="43" fontId="20" fillId="0" borderId="17" xfId="1" applyFont="1" applyBorder="1"/>
    <xf numFmtId="164" fontId="20" fillId="2" borderId="10" xfId="1" applyNumberFormat="1" applyFont="1" applyFill="1" applyBorder="1"/>
    <xf numFmtId="0" fontId="20" fillId="0" borderId="10" xfId="0" applyFont="1" applyBorder="1"/>
    <xf numFmtId="0" fontId="20" fillId="0" borderId="17" xfId="0" applyFont="1" applyBorder="1"/>
    <xf numFmtId="164" fontId="20" fillId="0" borderId="15" xfId="0" applyNumberFormat="1" applyFont="1" applyBorder="1"/>
    <xf numFmtId="9" fontId="20" fillId="0" borderId="0" xfId="2" applyFont="1"/>
    <xf numFmtId="43" fontId="20" fillId="0" borderId="18" xfId="0" applyNumberFormat="1" applyFont="1" applyBorder="1"/>
    <xf numFmtId="164" fontId="8" fillId="13" borderId="0" xfId="0" applyNumberFormat="1" applyFont="1" applyFill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166" fontId="20" fillId="0" borderId="15" xfId="0" applyNumberFormat="1" applyFont="1" applyBorder="1"/>
    <xf numFmtId="38" fontId="20" fillId="0" borderId="0" xfId="0" applyNumberFormat="1" applyFont="1"/>
    <xf numFmtId="166" fontId="20" fillId="0" borderId="18" xfId="0" applyNumberFormat="1" applyFont="1" applyBorder="1"/>
    <xf numFmtId="9" fontId="20" fillId="0" borderId="10" xfId="2" applyFont="1" applyBorder="1"/>
    <xf numFmtId="9" fontId="20" fillId="0" borderId="10" xfId="0" applyNumberFormat="1" applyFont="1" applyBorder="1"/>
    <xf numFmtId="9" fontId="20" fillId="0" borderId="15" xfId="0" applyNumberFormat="1" applyFont="1" applyBorder="1"/>
    <xf numFmtId="9" fontId="20" fillId="0" borderId="17" xfId="2" applyFont="1" applyBorder="1"/>
    <xf numFmtId="9" fontId="20" fillId="0" borderId="17" xfId="0" applyNumberFormat="1" applyFont="1" applyBorder="1"/>
    <xf numFmtId="9" fontId="20" fillId="0" borderId="18" xfId="0" applyNumberFormat="1" applyFont="1" applyBorder="1"/>
    <xf numFmtId="0" fontId="19" fillId="0" borderId="0" xfId="0" applyFont="1" applyFill="1" applyBorder="1" applyAlignment="1">
      <alignment horizontal="right"/>
    </xf>
    <xf numFmtId="43" fontId="20" fillId="0" borderId="15" xfId="1" applyNumberFormat="1" applyFont="1" applyBorder="1"/>
    <xf numFmtId="164" fontId="8" fillId="11" borderId="42" xfId="1" applyNumberFormat="1" applyFont="1" applyFill="1" applyBorder="1" applyAlignment="1">
      <alignment horizontal="center" readingOrder="1"/>
    </xf>
    <xf numFmtId="164" fontId="8" fillId="11" borderId="40" xfId="1" applyNumberFormat="1" applyFont="1" applyFill="1" applyBorder="1" applyAlignment="1">
      <alignment horizontal="center" readingOrder="1"/>
    </xf>
    <xf numFmtId="0" fontId="8" fillId="11" borderId="79" xfId="0" applyFont="1" applyFill="1" applyBorder="1" applyAlignment="1">
      <alignment horizontal="center"/>
    </xf>
    <xf numFmtId="9" fontId="8" fillId="11" borderId="80" xfId="2" applyFont="1" applyFill="1" applyBorder="1" applyAlignment="1">
      <alignment horizontal="center"/>
    </xf>
    <xf numFmtId="0" fontId="8" fillId="11" borderId="81" xfId="0" applyFont="1" applyFill="1" applyBorder="1" applyAlignment="1">
      <alignment horizontal="center" readingOrder="1"/>
    </xf>
    <xf numFmtId="166" fontId="8" fillId="11" borderId="82" xfId="0" applyNumberFormat="1" applyFont="1" applyFill="1" applyBorder="1" applyAlignment="1">
      <alignment horizontal="center"/>
    </xf>
    <xf numFmtId="0" fontId="8" fillId="11" borderId="79" xfId="0" applyFont="1" applyFill="1" applyBorder="1" applyAlignment="1">
      <alignment horizontal="center" readingOrder="2"/>
    </xf>
    <xf numFmtId="0" fontId="8" fillId="11" borderId="80" xfId="0" applyFont="1" applyFill="1" applyBorder="1" applyAlignment="1">
      <alignment horizontal="center" readingOrder="2"/>
    </xf>
    <xf numFmtId="0" fontId="8" fillId="11" borderId="81" xfId="0" applyFont="1" applyFill="1" applyBorder="1" applyAlignment="1">
      <alignment horizontal="center" readingOrder="2"/>
    </xf>
    <xf numFmtId="0" fontId="8" fillId="11" borderId="82" xfId="0" applyFont="1" applyFill="1" applyBorder="1" applyAlignment="1">
      <alignment horizontal="center" readingOrder="2"/>
    </xf>
    <xf numFmtId="0" fontId="8" fillId="11" borderId="79" xfId="0" applyFont="1" applyFill="1" applyBorder="1" applyAlignment="1">
      <alignment horizontal="center" readingOrder="1"/>
    </xf>
    <xf numFmtId="165" fontId="8" fillId="11" borderId="80" xfId="0" applyNumberFormat="1" applyFont="1" applyFill="1" applyBorder="1" applyAlignment="1">
      <alignment horizontal="center"/>
    </xf>
    <xf numFmtId="165" fontId="8" fillId="11" borderId="82" xfId="0" applyNumberFormat="1" applyFont="1" applyFill="1" applyBorder="1" applyAlignment="1">
      <alignment horizontal="center"/>
    </xf>
    <xf numFmtId="166" fontId="8" fillId="11" borderId="80" xfId="0" applyNumberFormat="1" applyFont="1" applyFill="1" applyBorder="1" applyAlignment="1">
      <alignment horizontal="center"/>
    </xf>
    <xf numFmtId="0" fontId="8" fillId="8" borderId="83" xfId="0" applyFont="1" applyFill="1" applyBorder="1" applyAlignment="1">
      <alignment horizontal="center"/>
    </xf>
    <xf numFmtId="164" fontId="8" fillId="8" borderId="84" xfId="1" applyNumberFormat="1" applyFont="1" applyFill="1" applyBorder="1" applyAlignment="1">
      <alignment horizontal="center"/>
    </xf>
    <xf numFmtId="0" fontId="8" fillId="11" borderId="85" xfId="0" applyFont="1" applyFill="1" applyBorder="1" applyAlignment="1">
      <alignment horizontal="center"/>
    </xf>
    <xf numFmtId="0" fontId="8" fillId="11" borderId="87" xfId="0" applyFont="1" applyFill="1" applyBorder="1" applyAlignment="1">
      <alignment horizontal="center"/>
    </xf>
    <xf numFmtId="9" fontId="8" fillId="12" borderId="37" xfId="2" applyFont="1" applyFill="1" applyBorder="1" applyAlignment="1">
      <alignment horizontal="center"/>
    </xf>
    <xf numFmtId="9" fontId="8" fillId="12" borderId="38" xfId="2" applyFont="1" applyFill="1" applyBorder="1" applyAlignment="1">
      <alignment horizontal="center"/>
    </xf>
    <xf numFmtId="166" fontId="8" fillId="11" borderId="79" xfId="0" applyNumberFormat="1" applyFont="1" applyFill="1" applyBorder="1" applyAlignment="1">
      <alignment horizontal="center"/>
    </xf>
    <xf numFmtId="43" fontId="8" fillId="11" borderId="81" xfId="1" applyFont="1" applyFill="1" applyBorder="1" applyAlignment="1">
      <alignment horizontal="center" vertical="center" readingOrder="2"/>
    </xf>
    <xf numFmtId="164" fontId="8" fillId="11" borderId="80" xfId="1" applyNumberFormat="1" applyFont="1" applyFill="1" applyBorder="1" applyAlignment="1">
      <alignment horizontal="center"/>
    </xf>
    <xf numFmtId="0" fontId="8" fillId="11" borderId="89" xfId="0" applyFont="1" applyFill="1" applyBorder="1" applyAlignment="1">
      <alignment horizontal="center"/>
    </xf>
    <xf numFmtId="164" fontId="8" fillId="11" borderId="90" xfId="1" applyNumberFormat="1" applyFont="1" applyFill="1" applyBorder="1" applyAlignment="1">
      <alignment horizontal="center"/>
    </xf>
    <xf numFmtId="0" fontId="8" fillId="11" borderId="81" xfId="0" applyFont="1" applyFill="1" applyBorder="1" applyAlignment="1">
      <alignment horizontal="center"/>
    </xf>
    <xf numFmtId="164" fontId="8" fillId="11" borderId="82" xfId="1" applyNumberFormat="1" applyFont="1" applyFill="1" applyBorder="1" applyAlignment="1">
      <alignment horizontal="center"/>
    </xf>
    <xf numFmtId="9" fontId="3" fillId="0" borderId="10" xfId="2" applyFont="1" applyBorder="1"/>
    <xf numFmtId="164" fontId="3" fillId="0" borderId="10" xfId="0" applyNumberFormat="1" applyFont="1" applyBorder="1"/>
    <xf numFmtId="0" fontId="4" fillId="4" borderId="11" xfId="0" applyFont="1" applyFill="1" applyBorder="1" applyAlignment="1">
      <alignment horizontal="right"/>
    </xf>
    <xf numFmtId="166" fontId="3" fillId="0" borderId="15" xfId="0" applyNumberFormat="1" applyFont="1" applyBorder="1"/>
    <xf numFmtId="0" fontId="3" fillId="0" borderId="17" xfId="0" applyFont="1" applyBorder="1"/>
    <xf numFmtId="166" fontId="3" fillId="0" borderId="18" xfId="0" applyNumberFormat="1" applyFont="1" applyBorder="1"/>
    <xf numFmtId="38" fontId="3" fillId="0" borderId="15" xfId="0" applyNumberFormat="1" applyFont="1" applyBorder="1"/>
    <xf numFmtId="38" fontId="3" fillId="0" borderId="18" xfId="0" applyNumberFormat="1" applyFont="1" applyBorder="1"/>
    <xf numFmtId="9" fontId="3" fillId="0" borderId="0" xfId="2" applyFont="1"/>
    <xf numFmtId="164" fontId="8" fillId="11" borderId="86" xfId="1" applyNumberFormat="1" applyFont="1" applyFill="1" applyBorder="1"/>
    <xf numFmtId="164" fontId="8" fillId="11" borderId="93" xfId="1" applyNumberFormat="1" applyFont="1" applyFill="1" applyBorder="1" applyAlignment="1">
      <alignment horizontal="center"/>
    </xf>
    <xf numFmtId="43" fontId="8" fillId="0" borderId="1" xfId="1" applyFont="1" applyBorder="1" applyAlignment="1">
      <alignment horizontal="center" vertical="center"/>
    </xf>
    <xf numFmtId="38" fontId="8" fillId="9" borderId="9" xfId="1" applyNumberFormat="1" applyFont="1" applyFill="1" applyBorder="1" applyAlignment="1">
      <alignment horizontal="center"/>
    </xf>
    <xf numFmtId="38" fontId="8" fillId="9" borderId="9" xfId="1" applyNumberFormat="1" applyFont="1" applyFill="1" applyBorder="1"/>
    <xf numFmtId="0" fontId="3" fillId="0" borderId="15" xfId="0" applyFont="1" applyBorder="1"/>
    <xf numFmtId="43" fontId="3" fillId="0" borderId="17" xfId="0" applyNumberFormat="1" applyFont="1" applyBorder="1"/>
    <xf numFmtId="0" fontId="3" fillId="0" borderId="16" xfId="0" applyFont="1" applyBorder="1"/>
    <xf numFmtId="166" fontId="3" fillId="0" borderId="17" xfId="0" applyNumberFormat="1" applyFont="1" applyBorder="1"/>
    <xf numFmtId="166" fontId="3" fillId="0" borderId="34" xfId="0" applyNumberFormat="1" applyFont="1" applyBorder="1"/>
    <xf numFmtId="0" fontId="19" fillId="4" borderId="10" xfId="0" applyFont="1" applyFill="1" applyBorder="1" applyAlignment="1">
      <alignment horizontal="right"/>
    </xf>
    <xf numFmtId="164" fontId="19" fillId="0" borderId="10" xfId="1" applyNumberFormat="1" applyFont="1" applyBorder="1"/>
    <xf numFmtId="164" fontId="19" fillId="0" borderId="0" xfId="1" applyNumberFormat="1" applyFont="1"/>
    <xf numFmtId="4" fontId="19" fillId="0" borderId="0" xfId="0" applyNumberFormat="1" applyFont="1" applyBorder="1"/>
    <xf numFmtId="0" fontId="19" fillId="4" borderId="14" xfId="0" applyFont="1" applyFill="1" applyBorder="1"/>
    <xf numFmtId="38" fontId="19" fillId="0" borderId="10" xfId="0" applyNumberFormat="1" applyFont="1" applyBorder="1"/>
    <xf numFmtId="0" fontId="19" fillId="4" borderId="16" xfId="0" applyFont="1" applyFill="1" applyBorder="1"/>
    <xf numFmtId="38" fontId="19" fillId="0" borderId="17" xfId="0" applyNumberFormat="1" applyFont="1" applyBorder="1"/>
    <xf numFmtId="38" fontId="19" fillId="0" borderId="18" xfId="0" applyNumberFormat="1" applyFont="1" applyBorder="1"/>
    <xf numFmtId="166" fontId="19" fillId="0" borderId="10" xfId="0" applyNumberFormat="1" applyFont="1" applyBorder="1"/>
    <xf numFmtId="164" fontId="19" fillId="0" borderId="15" xfId="0" applyNumberFormat="1" applyFont="1" applyBorder="1"/>
    <xf numFmtId="164" fontId="19" fillId="2" borderId="10" xfId="0" applyNumberFormat="1" applyFont="1" applyFill="1" applyBorder="1"/>
    <xf numFmtId="43" fontId="19" fillId="0" borderId="17" xfId="1" applyFont="1" applyBorder="1"/>
    <xf numFmtId="43" fontId="19" fillId="0" borderId="17" xfId="0" applyNumberFormat="1" applyFont="1" applyBorder="1"/>
    <xf numFmtId="166" fontId="19" fillId="0" borderId="17" xfId="0" applyNumberFormat="1" applyFont="1" applyBorder="1"/>
    <xf numFmtId="164" fontId="19" fillId="0" borderId="17" xfId="1" applyNumberFormat="1" applyFont="1" applyBorder="1"/>
    <xf numFmtId="164" fontId="19" fillId="0" borderId="18" xfId="1" applyNumberFormat="1" applyFont="1" applyBorder="1"/>
    <xf numFmtId="166" fontId="19" fillId="0" borderId="34" xfId="0" applyNumberFormat="1" applyFont="1" applyBorder="1"/>
    <xf numFmtId="165" fontId="19" fillId="0" borderId="10" xfId="0" applyNumberFormat="1" applyFont="1" applyBorder="1"/>
    <xf numFmtId="164" fontId="19" fillId="0" borderId="15" xfId="1" applyNumberFormat="1" applyFont="1" applyBorder="1"/>
    <xf numFmtId="164" fontId="19" fillId="0" borderId="18" xfId="0" applyNumberFormat="1" applyFont="1" applyBorder="1"/>
    <xf numFmtId="166" fontId="19" fillId="4" borderId="14" xfId="0" applyNumberFormat="1" applyFont="1" applyFill="1" applyBorder="1"/>
    <xf numFmtId="165" fontId="19" fillId="4" borderId="14" xfId="0" applyNumberFormat="1" applyFont="1" applyFill="1" applyBorder="1"/>
    <xf numFmtId="166" fontId="19" fillId="4" borderId="10" xfId="0" applyNumberFormat="1" applyFont="1" applyFill="1" applyBorder="1"/>
    <xf numFmtId="165" fontId="19" fillId="4" borderId="10" xfId="0" applyNumberFormat="1" applyFont="1" applyFill="1" applyBorder="1"/>
    <xf numFmtId="43" fontId="19" fillId="0" borderId="10" xfId="1" applyNumberFormat="1" applyFont="1" applyBorder="1"/>
    <xf numFmtId="165" fontId="19" fillId="0" borderId="15" xfId="0" applyNumberFormat="1" applyFont="1" applyBorder="1"/>
    <xf numFmtId="164" fontId="19" fillId="0" borderId="10" xfId="0" applyNumberFormat="1" applyFont="1" applyBorder="1"/>
    <xf numFmtId="165" fontId="19" fillId="0" borderId="18" xfId="0" applyNumberFormat="1" applyFont="1" applyBorder="1"/>
    <xf numFmtId="38" fontId="19" fillId="0" borderId="0" xfId="0" applyNumberFormat="1" applyFont="1" applyBorder="1"/>
    <xf numFmtId="9" fontId="19" fillId="0" borderId="15" xfId="0" applyNumberFormat="1" applyFont="1" applyBorder="1"/>
    <xf numFmtId="9" fontId="19" fillId="0" borderId="17" xfId="2" applyFont="1" applyBorder="1"/>
    <xf numFmtId="9" fontId="19" fillId="0" borderId="17" xfId="0" applyNumberFormat="1" applyFont="1" applyBorder="1"/>
    <xf numFmtId="9" fontId="19" fillId="0" borderId="18" xfId="0" applyNumberFormat="1" applyFont="1" applyBorder="1"/>
    <xf numFmtId="43" fontId="3" fillId="0" borderId="18" xfId="0" applyNumberFormat="1" applyFont="1" applyBorder="1"/>
    <xf numFmtId="38" fontId="3" fillId="0" borderId="10" xfId="0" applyNumberFormat="1" applyFont="1" applyBorder="1" applyAlignment="1">
      <alignment horizontal="center" vertical="center"/>
    </xf>
    <xf numFmtId="167" fontId="3" fillId="0" borderId="14" xfId="0" applyNumberFormat="1" applyFont="1" applyBorder="1"/>
    <xf numFmtId="38" fontId="3" fillId="0" borderId="15" xfId="0" applyNumberFormat="1" applyFont="1" applyBorder="1" applyAlignment="1">
      <alignment horizontal="center" vertical="center"/>
    </xf>
    <xf numFmtId="0" fontId="3" fillId="0" borderId="14" xfId="0" applyFont="1" applyBorder="1"/>
    <xf numFmtId="38" fontId="3" fillId="0" borderId="17" xfId="0" applyNumberFormat="1" applyFont="1" applyBorder="1" applyAlignment="1">
      <alignment horizontal="center" vertical="center"/>
    </xf>
    <xf numFmtId="164" fontId="8" fillId="0" borderId="0" xfId="1" applyNumberFormat="1" applyFont="1"/>
    <xf numFmtId="0" fontId="8" fillId="8" borderId="68" xfId="0" applyFont="1" applyFill="1" applyBorder="1" applyAlignment="1">
      <alignment horizontal="center"/>
    </xf>
    <xf numFmtId="164" fontId="8" fillId="8" borderId="99" xfId="1" applyNumberFormat="1" applyFont="1" applyFill="1" applyBorder="1" applyAlignment="1">
      <alignment horizontal="center"/>
    </xf>
    <xf numFmtId="0" fontId="8" fillId="11" borderId="71" xfId="0" applyFont="1" applyFill="1" applyBorder="1" applyAlignment="1">
      <alignment horizontal="center"/>
    </xf>
    <xf numFmtId="164" fontId="8" fillId="11" borderId="100" xfId="1" applyNumberFormat="1" applyFont="1" applyFill="1" applyBorder="1"/>
    <xf numFmtId="0" fontId="8" fillId="11" borderId="101" xfId="0" applyFont="1" applyFill="1" applyBorder="1" applyAlignment="1">
      <alignment horizontal="center"/>
    </xf>
    <xf numFmtId="164" fontId="8" fillId="11" borderId="102" xfId="1" applyNumberFormat="1" applyFont="1" applyFill="1" applyBorder="1"/>
    <xf numFmtId="164" fontId="8" fillId="11" borderId="86" xfId="0" applyNumberFormat="1" applyFont="1" applyFill="1" applyBorder="1"/>
    <xf numFmtId="164" fontId="8" fillId="11" borderId="88" xfId="0" applyNumberFormat="1" applyFont="1" applyFill="1" applyBorder="1"/>
    <xf numFmtId="164" fontId="19" fillId="15" borderId="37" xfId="1" applyNumberFormat="1" applyFont="1" applyFill="1" applyBorder="1"/>
    <xf numFmtId="164" fontId="19" fillId="15" borderId="66" xfId="1" applyNumberFormat="1" applyFont="1" applyFill="1" applyBorder="1"/>
    <xf numFmtId="164" fontId="19" fillId="15" borderId="66" xfId="1" applyNumberFormat="1" applyFont="1" applyFill="1" applyBorder="1" applyAlignment="1">
      <alignment horizontal="center"/>
    </xf>
    <xf numFmtId="164" fontId="19" fillId="15" borderId="38" xfId="1" applyNumberFormat="1" applyFont="1" applyFill="1" applyBorder="1"/>
    <xf numFmtId="164" fontId="19" fillId="15" borderId="41" xfId="1" applyNumberFormat="1" applyFont="1" applyFill="1" applyBorder="1"/>
    <xf numFmtId="164" fontId="19" fillId="0" borderId="42" xfId="1" applyNumberFormat="1" applyFont="1" applyBorder="1"/>
    <xf numFmtId="164" fontId="19" fillId="15" borderId="39" xfId="1" applyNumberFormat="1" applyFont="1" applyFill="1" applyBorder="1"/>
    <xf numFmtId="164" fontId="19" fillId="0" borderId="67" xfId="1" applyNumberFormat="1" applyFont="1" applyBorder="1"/>
    <xf numFmtId="164" fontId="19" fillId="0" borderId="40" xfId="1" applyNumberFormat="1" applyFont="1" applyBorder="1"/>
    <xf numFmtId="164" fontId="8" fillId="0" borderId="60" xfId="1" applyNumberFormat="1" applyFont="1" applyFill="1" applyBorder="1"/>
    <xf numFmtId="164" fontId="8" fillId="0" borderId="98" xfId="1" applyNumberFormat="1" applyFont="1" applyFill="1" applyBorder="1"/>
    <xf numFmtId="164" fontId="8" fillId="0" borderId="103" xfId="1" applyNumberFormat="1" applyFont="1" applyFill="1" applyBorder="1"/>
    <xf numFmtId="164" fontId="8" fillId="0" borderId="97" xfId="1" applyNumberFormat="1" applyFont="1" applyFill="1" applyBorder="1"/>
    <xf numFmtId="164" fontId="8" fillId="0" borderId="0" xfId="1" applyNumberFormat="1" applyFont="1" applyFill="1" applyBorder="1"/>
    <xf numFmtId="164" fontId="8" fillId="0" borderId="104" xfId="1" applyNumberFormat="1" applyFont="1" applyFill="1" applyBorder="1"/>
    <xf numFmtId="164" fontId="8" fillId="0" borderId="97" xfId="1" applyNumberFormat="1" applyFont="1" applyFill="1" applyBorder="1" applyAlignment="1"/>
    <xf numFmtId="164" fontId="8" fillId="0" borderId="0" xfId="1" applyNumberFormat="1" applyFont="1" applyFill="1" applyBorder="1" applyAlignment="1"/>
    <xf numFmtId="164" fontId="8" fillId="0" borderId="105" xfId="1" applyNumberFormat="1" applyFont="1" applyFill="1" applyBorder="1"/>
    <xf numFmtId="164" fontId="8" fillId="0" borderId="106" xfId="1" applyNumberFormat="1" applyFont="1" applyFill="1" applyBorder="1"/>
    <xf numFmtId="164" fontId="8" fillId="0" borderId="107" xfId="1" applyNumberFormat="1" applyFont="1" applyFill="1" applyBorder="1"/>
    <xf numFmtId="164" fontId="19" fillId="15" borderId="0" xfId="1" applyNumberFormat="1" applyFont="1" applyFill="1" applyBorder="1"/>
    <xf numFmtId="164" fontId="20" fillId="0" borderId="0" xfId="1" applyNumberFormat="1" applyFont="1" applyBorder="1"/>
    <xf numFmtId="164" fontId="19" fillId="15" borderId="108" xfId="1" applyNumberFormat="1" applyFont="1" applyFill="1" applyBorder="1"/>
    <xf numFmtId="164" fontId="19" fillId="15" borderId="108" xfId="1" applyNumberFormat="1" applyFont="1" applyFill="1" applyBorder="1" applyAlignment="1">
      <alignment horizontal="center"/>
    </xf>
    <xf numFmtId="164" fontId="19" fillId="15" borderId="109" xfId="1" applyNumberFormat="1" applyFont="1" applyFill="1" applyBorder="1"/>
    <xf numFmtId="43" fontId="20" fillId="0" borderId="10" xfId="1" applyNumberFormat="1" applyFont="1" applyBorder="1"/>
    <xf numFmtId="164" fontId="20" fillId="0" borderId="42" xfId="1" applyNumberFormat="1" applyFont="1" applyBorder="1"/>
    <xf numFmtId="164" fontId="20" fillId="0" borderId="67" xfId="1" applyNumberFormat="1" applyFont="1" applyBorder="1"/>
    <xf numFmtId="164" fontId="20" fillId="0" borderId="40" xfId="1" applyNumberFormat="1" applyFont="1" applyBorder="1"/>
    <xf numFmtId="164" fontId="19" fillId="15" borderId="106" xfId="1" applyNumberFormat="1" applyFont="1" applyFill="1" applyBorder="1"/>
    <xf numFmtId="164" fontId="19" fillId="15" borderId="67" xfId="1" applyNumberFormat="1" applyFont="1" applyFill="1" applyBorder="1"/>
    <xf numFmtId="164" fontId="8" fillId="11" borderId="88" xfId="1" applyNumberFormat="1" applyFont="1" applyFill="1" applyBorder="1"/>
    <xf numFmtId="164" fontId="3" fillId="15" borderId="0" xfId="1" applyNumberFormat="1" applyFont="1" applyFill="1"/>
    <xf numFmtId="164" fontId="3" fillId="0" borderId="0" xfId="1" applyNumberFormat="1" applyFont="1" applyBorder="1"/>
    <xf numFmtId="164" fontId="2" fillId="0" borderId="0" xfId="1" applyNumberFormat="1" applyFont="1"/>
    <xf numFmtId="0" fontId="2" fillId="2" borderId="0" xfId="0" applyFont="1" applyFill="1"/>
    <xf numFmtId="164" fontId="2" fillId="2" borderId="0" xfId="1" applyNumberFormat="1" applyFont="1" applyFill="1"/>
    <xf numFmtId="164" fontId="2" fillId="0" borderId="0" xfId="0" applyNumberFormat="1" applyFont="1"/>
    <xf numFmtId="38" fontId="2" fillId="0" borderId="0" xfId="0" applyNumberFormat="1" applyFont="1"/>
    <xf numFmtId="43" fontId="2" fillId="0" borderId="0" xfId="1" applyFont="1"/>
    <xf numFmtId="0" fontId="2" fillId="3" borderId="0" xfId="0" applyFont="1" applyFill="1"/>
    <xf numFmtId="164" fontId="2" fillId="3" borderId="0" xfId="1" applyNumberFormat="1" applyFont="1" applyFill="1"/>
    <xf numFmtId="0" fontId="11" fillId="2" borderId="6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8" fillId="15" borderId="63" xfId="0" applyFont="1" applyFill="1" applyBorder="1" applyAlignment="1">
      <alignment horizontal="center" vertical="center" textRotation="45"/>
    </xf>
    <xf numFmtId="0" fontId="18" fillId="15" borderId="64" xfId="0" applyFont="1" applyFill="1" applyBorder="1" applyAlignment="1">
      <alignment horizontal="center" vertical="center" textRotation="45"/>
    </xf>
    <xf numFmtId="0" fontId="18" fillId="15" borderId="65" xfId="0" applyFont="1" applyFill="1" applyBorder="1" applyAlignment="1">
      <alignment horizontal="center" vertical="center" textRotation="45"/>
    </xf>
    <xf numFmtId="0" fontId="7" fillId="15" borderId="37" xfId="0" applyFont="1" applyFill="1" applyBorder="1" applyAlignment="1">
      <alignment horizontal="center" vertical="center"/>
    </xf>
    <xf numFmtId="0" fontId="7" fillId="15" borderId="66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39" xfId="0" applyFont="1" applyFill="1" applyBorder="1" applyAlignment="1">
      <alignment horizontal="center" vertical="center"/>
    </xf>
    <xf numFmtId="0" fontId="7" fillId="15" borderId="67" xfId="0" applyFont="1" applyFill="1" applyBorder="1" applyAlignment="1">
      <alignment horizontal="center" vertical="center"/>
    </xf>
    <xf numFmtId="0" fontId="7" fillId="15" borderId="40" xfId="0" applyFont="1" applyFill="1" applyBorder="1" applyAlignment="1">
      <alignment horizontal="center" vertical="center"/>
    </xf>
    <xf numFmtId="0" fontId="16" fillId="2" borderId="73" xfId="0" applyFont="1" applyFill="1" applyBorder="1" applyAlignment="1">
      <alignment horizontal="center"/>
    </xf>
    <xf numFmtId="0" fontId="16" fillId="2" borderId="74" xfId="0" applyFont="1" applyFill="1" applyBorder="1" applyAlignment="1">
      <alignment horizontal="center"/>
    </xf>
    <xf numFmtId="0" fontId="17" fillId="15" borderId="37" xfId="0" applyFont="1" applyFill="1" applyBorder="1" applyAlignment="1">
      <alignment horizontal="center"/>
    </xf>
    <xf numFmtId="0" fontId="17" fillId="15" borderId="66" xfId="0" applyFont="1" applyFill="1" applyBorder="1" applyAlignment="1">
      <alignment horizontal="center"/>
    </xf>
    <xf numFmtId="0" fontId="17" fillId="15" borderId="38" xfId="0" applyFont="1" applyFill="1" applyBorder="1" applyAlignment="1">
      <alignment horizontal="center"/>
    </xf>
    <xf numFmtId="0" fontId="17" fillId="15" borderId="39" xfId="0" applyFont="1" applyFill="1" applyBorder="1" applyAlignment="1">
      <alignment horizontal="center"/>
    </xf>
    <xf numFmtId="0" fontId="17" fillId="15" borderId="67" xfId="0" applyFont="1" applyFill="1" applyBorder="1" applyAlignment="1">
      <alignment horizontal="center"/>
    </xf>
    <xf numFmtId="0" fontId="17" fillId="15" borderId="40" xfId="0" applyFont="1" applyFill="1" applyBorder="1" applyAlignment="1">
      <alignment horizontal="center"/>
    </xf>
    <xf numFmtId="0" fontId="16" fillId="15" borderId="63" xfId="0" applyFont="1" applyFill="1" applyBorder="1" applyAlignment="1">
      <alignment horizontal="center" vertical="center" textRotation="45"/>
    </xf>
    <xf numFmtId="0" fontId="16" fillId="15" borderId="64" xfId="0" applyFont="1" applyFill="1" applyBorder="1" applyAlignment="1">
      <alignment horizontal="center" vertical="center" textRotation="45"/>
    </xf>
    <xf numFmtId="0" fontId="16" fillId="15" borderId="65" xfId="0" applyFont="1" applyFill="1" applyBorder="1" applyAlignment="1">
      <alignment horizontal="center" vertical="center" textRotation="45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16" fillId="15" borderId="76" xfId="0" applyFont="1" applyFill="1" applyBorder="1" applyAlignment="1">
      <alignment horizontal="center" vertical="center" textRotation="45"/>
    </xf>
    <xf numFmtId="0" fontId="16" fillId="15" borderId="7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78" xfId="0" applyFont="1" applyFill="1" applyBorder="1" applyAlignment="1">
      <alignment horizontal="center"/>
    </xf>
    <xf numFmtId="0" fontId="17" fillId="15" borderId="41" xfId="0" applyFont="1" applyFill="1" applyBorder="1" applyAlignment="1">
      <alignment horizontal="center"/>
    </xf>
    <xf numFmtId="0" fontId="17" fillId="15" borderId="0" xfId="0" applyFont="1" applyFill="1" applyBorder="1" applyAlignment="1">
      <alignment horizontal="center"/>
    </xf>
    <xf numFmtId="0" fontId="17" fillId="15" borderId="42" xfId="0" applyFont="1" applyFill="1" applyBorder="1" applyAlignment="1">
      <alignment horizontal="center"/>
    </xf>
    <xf numFmtId="0" fontId="5" fillId="3" borderId="91" xfId="0" applyFont="1" applyFill="1" applyBorder="1" applyAlignment="1">
      <alignment horizontal="center"/>
    </xf>
    <xf numFmtId="0" fontId="5" fillId="3" borderId="92" xfId="0" applyFont="1" applyFill="1" applyBorder="1" applyAlignment="1">
      <alignment horizontal="center"/>
    </xf>
    <xf numFmtId="0" fontId="11" fillId="2" borderId="94" xfId="0" applyFont="1" applyFill="1" applyBorder="1" applyAlignment="1">
      <alignment horizontal="center"/>
    </xf>
    <xf numFmtId="0" fontId="11" fillId="2" borderId="95" xfId="0" applyFont="1" applyFill="1" applyBorder="1" applyAlignment="1">
      <alignment horizontal="center"/>
    </xf>
    <xf numFmtId="0" fontId="11" fillId="2" borderId="96" xfId="0" applyFont="1" applyFill="1" applyBorder="1" applyAlignment="1">
      <alignment horizontal="center"/>
    </xf>
    <xf numFmtId="0" fontId="17" fillId="15" borderId="37" xfId="0" applyFont="1" applyFill="1" applyBorder="1" applyAlignment="1">
      <alignment horizontal="center" vertical="center"/>
    </xf>
    <xf numFmtId="0" fontId="17" fillId="15" borderId="66" xfId="0" applyFont="1" applyFill="1" applyBorder="1" applyAlignment="1">
      <alignment horizontal="center" vertical="center"/>
    </xf>
    <xf numFmtId="0" fontId="17" fillId="15" borderId="38" xfId="0" applyFont="1" applyFill="1" applyBorder="1" applyAlignment="1">
      <alignment horizontal="center" vertical="center"/>
    </xf>
    <xf numFmtId="0" fontId="17" fillId="15" borderId="39" xfId="0" applyFont="1" applyFill="1" applyBorder="1" applyAlignment="1">
      <alignment horizontal="center" vertical="center"/>
    </xf>
    <xf numFmtId="0" fontId="17" fillId="15" borderId="67" xfId="0" applyFont="1" applyFill="1" applyBorder="1" applyAlignment="1">
      <alignment horizontal="center" vertical="center"/>
    </xf>
    <xf numFmtId="0" fontId="17" fillId="15" borderId="40" xfId="0" applyFont="1" applyFill="1" applyBorder="1" applyAlignment="1">
      <alignment horizontal="center" vertical="center"/>
    </xf>
    <xf numFmtId="0" fontId="16" fillId="15" borderId="63" xfId="0" applyFont="1" applyFill="1" applyBorder="1" applyAlignment="1">
      <alignment horizontal="center"/>
    </xf>
    <xf numFmtId="0" fontId="16" fillId="15" borderId="65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2" fillId="14" borderId="0" xfId="0" applyFont="1" applyFill="1"/>
    <xf numFmtId="164" fontId="2" fillId="14" borderId="0" xfId="1" applyNumberFormat="1" applyFont="1" applyFill="1"/>
    <xf numFmtId="0" fontId="2" fillId="14" borderId="110" xfId="0" applyFont="1" applyFill="1" applyBorder="1"/>
    <xf numFmtId="0" fontId="2" fillId="14" borderId="110" xfId="0" applyFont="1" applyFill="1" applyBorder="1" applyAlignment="1">
      <alignment horizontal="center" readingOrder="2"/>
    </xf>
    <xf numFmtId="164" fontId="2" fillId="14" borderId="110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90">
    <dxf>
      <border outline="0">
        <top style="thin">
          <color indexed="64"/>
        </top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border outline="0">
        <top style="thin">
          <color theme="4" tint="-0.499984740745262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-0.499984740745262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/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Yekan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5" formatCode="[$-3000401]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5" formatCode="[$-3000401]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5" formatCode="[$-3000401]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5" formatCode="[$-3000401]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medium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/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medium">
          <color indexed="64"/>
        </top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medium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/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medium">
          <color indexed="64"/>
        </top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6" formatCode="#,##0_);[Red]\(#,##0\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/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medium">
          <color indexed="64"/>
        </top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border outline="0">
        <top style="thin">
          <color theme="4" tint="-0.499984740745262"/>
        </top>
      </border>
    </dxf>
    <dxf>
      <border outline="0">
        <left style="medium">
          <color theme="4" tint="-0.499984740745262"/>
        </left>
        <right style="medium">
          <color theme="4" tint="-0.499984740745262"/>
        </right>
        <top style="medium">
          <color theme="4" tint="-0.499984740745262"/>
        </top>
        <bottom style="thin">
          <color theme="4" tint="-0.499984740745262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</dxf>
    <dxf>
      <border outline="0">
        <bottom style="thin">
          <color theme="4" tint="-0.499984740745262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border outline="0">
        <top style="thin">
          <color theme="4" tint="-0.499984740745262"/>
        </top>
      </border>
    </dxf>
    <dxf>
      <border outline="0">
        <left style="medium">
          <color theme="4" tint="-0.499984740745262"/>
        </left>
        <right style="medium">
          <color theme="4" tint="-0.499984740745262"/>
        </right>
        <top style="medium">
          <color theme="4" tint="-0.499984740745262"/>
        </top>
        <bottom style="medium">
          <color theme="4" tint="-0.499984740745262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</dxf>
    <dxf>
      <border outline="0">
        <bottom style="thin">
          <color theme="4" tint="-0.499984740745262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/>
        <top style="thin">
          <color theme="4" tint="-0.499984740745262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 tint="-0.499984740745262"/>
        </top>
        <bottom/>
        <vertical/>
        <horizontal/>
      </border>
    </dxf>
    <dxf>
      <border outline="0">
        <left style="medium">
          <color theme="4" tint="-0.499984740745262"/>
        </left>
        <right style="medium">
          <color theme="4" tint="-0.499984740745262"/>
        </right>
        <top style="medium">
          <color theme="4" tint="-0.499984740745262"/>
        </top>
        <bottom style="thin">
          <color theme="4" tint="-0.499984740745262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numFmt numFmtId="164" formatCode="_(* #,##0_);_(* \(#,##0\);_(* &quot;-&quot;??_);_(@_)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/>
        <horizontal/>
      </border>
    </dxf>
    <dxf>
      <border outline="0">
        <top style="thin">
          <color theme="4" tint="-0.499984740745262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4" tint="0.79998168889431442"/>
        </patternFill>
      </fill>
    </dxf>
    <dxf>
      <border outline="0">
        <bottom style="thin">
          <color theme="4" tint="-0.499984740745262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2  Titr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MarketWatchPlus.aspx?d=0" backgroundRefresh="0" connectionId="1" autoFormatId="16" applyNumberFormats="0" applyBorderFormats="0" applyFontFormats="0" applyPatternFormats="0" applyAlignmentFormats="0" applyWidthHeightFormats="0">
  <queryTableRefresh nextId="24">
    <queryTableFields count="23">
      <queryTableField id="1" name=" " tableColumnId="1"/>
      <queryTableField id="2" name=" 1" tableColumnId="2"/>
      <queryTableField id="3" name=" 2" tableColumnId="3"/>
      <queryTableField id="4" name=" 3" tableColumnId="4"/>
      <queryTableField id="5" name=" 4" tableColumnId="5"/>
      <queryTableField id="6" name=" 5" tableColumnId="6"/>
      <queryTableField id="7" name=" 6" tableColumnId="7"/>
      <queryTableField id="8" name=" 7" tableColumnId="8"/>
      <queryTableField id="9" name=" 8" tableColumnId="9"/>
      <queryTableField id="10" name=" 9" tableColumnId="10"/>
      <queryTableField id="11" name=" 10" tableColumnId="11"/>
      <queryTableField id="12" name=" 11" tableColumnId="12"/>
      <queryTableField id="13" name=" 12" tableColumnId="13"/>
      <queryTableField id="14" name=" 13" tableColumnId="14"/>
      <queryTableField id="15" name=" 14" tableColumnId="15"/>
      <queryTableField id="16" name=" 15" tableColumnId="16"/>
      <queryTableField id="17" name=" 16" tableColumnId="17"/>
      <queryTableField id="18" name=" 17" tableColumnId="18"/>
      <queryTableField id="19" name=" 18" tableColumnId="19"/>
      <queryTableField id="20" name=" 19" tableColumnId="20"/>
      <queryTableField id="21" name=" 20" tableColumnId="21"/>
      <queryTableField id="22" name=" 21" tableColumnId="22"/>
      <queryTableField id="23" name=" 22" tableColumnId="23"/>
    </queryTableFields>
  </queryTableRefresh>
</queryTable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Table3" displayName="Table3" ref="A12:L19" totalsRowShown="0" headerRowDxfId="189" dataDxfId="187" headerRowBorderDxfId="188" tableBorderDxfId="186" totalsRowBorderDxfId="185" dataCellStyle="Comma">
  <autoFilter ref="A12:L19"/>
  <tableColumns count="12">
    <tableColumn id="1" name="مقدار فروش" dataDxfId="184"/>
    <tableColumn id="2" name="سال 93" dataDxfId="183" dataCellStyle="Comma"/>
    <tableColumn id="3" name="سال 94" dataDxfId="182" dataCellStyle="Comma"/>
    <tableColumn id="4" name="سال 95" dataDxfId="181" dataCellStyle="Comma"/>
    <tableColumn id="5" name="سال 96" dataDxfId="180" dataCellStyle="Comma"/>
    <tableColumn id="6" name="سه ماهه 97" dataDxfId="179" dataCellStyle="Comma"/>
    <tableColumn id="7" name="شش ماهه 97" dataDxfId="178" dataCellStyle="Comma"/>
    <tableColumn id="8" name="نه ماهه 97" dataDxfId="177" dataCellStyle="Comma"/>
    <tableColumn id="9" name="سال 97" dataDxfId="176" dataCellStyle="Comma"/>
    <tableColumn id="10" name="سه ماهه 98" dataDxfId="175" dataCellStyle="Comma"/>
    <tableColumn id="11" name="کارشناسی نه ماهه 98" dataDxfId="174" dataCellStyle="Comma">
      <calculatedColumnFormula>L13-J13</calculatedColumnFormula>
    </tableColumn>
    <tableColumn id="12" name="کارشناسی 98" dataDxfId="173" dataCellStyle="Comm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87:G98" totalsRowShown="0" headerRowDxfId="65" headerRowBorderDxfId="64" tableBorderDxfId="63" totalsRowBorderDxfId="62">
  <autoFilter ref="A87:G98"/>
  <tableColumns count="7">
    <tableColumn id="1" name="هزينه هاي اداري، عمومي و فروش" dataDxfId="61"/>
    <tableColumn id="2" name="سال 96" dataDxfId="60"/>
    <tableColumn id="3" name="سه ماهه 97" dataDxfId="59"/>
    <tableColumn id="4" name="سال 97" dataDxfId="58"/>
    <tableColumn id="5" name="سه ماهه 98" dataDxfId="57"/>
    <tableColumn id="6" name="کار شناسی نه ماهه 98" dataDxfId="56"/>
    <tableColumn id="7" name="کارشناسی 98" dataDxfId="55" dataCellStyle="Comm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e13" displayName="Table13" ref="A100:P117" totalsRowShown="0" headerRowDxfId="54" dataDxfId="52" headerRowBorderDxfId="53" tableBorderDxfId="51">
  <autoFilter ref="A100:P117"/>
  <tableColumns count="16">
    <tableColumn id="1" name="دوره منتهی به " dataDxfId="50"/>
    <tableColumn id="2" name="سال 92" dataDxfId="49"/>
    <tableColumn id="3" name="سال 93" dataDxfId="48"/>
    <tableColumn id="4" name="سال 94" dataDxfId="47"/>
    <tableColumn id="5" name="سال 95" dataDxfId="46"/>
    <tableColumn id="6" name="سه ماهه 96" dataDxfId="45"/>
    <tableColumn id="7" name="شش ماهه 96" dataDxfId="44"/>
    <tableColumn id="8" name="نه ماهه 96" dataDxfId="43"/>
    <tableColumn id="9" name="سال 96" dataDxfId="42"/>
    <tableColumn id="10" name="سه ماهه 97" dataDxfId="41"/>
    <tableColumn id="11" name="شش ماهه 97" dataDxfId="40"/>
    <tableColumn id="12" name="نه ماهه 97" dataDxfId="39"/>
    <tableColumn id="13" name="سال 97" dataDxfId="38"/>
    <tableColumn id="14" name="سه ماهه 98" dataDxfId="37"/>
    <tableColumn id="15" name="کارشناسی نه  ماه بعدی98" dataDxfId="36"/>
    <tableColumn id="16" name="کارشناسی 98" dataDxfId="3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Table14" displayName="Table14" ref="N3:Y6" totalsRowShown="0" headerRowDxfId="34" dataDxfId="32" headerRowBorderDxfId="33" tableBorderDxfId="31" totalsRowBorderDxfId="30" dataCellStyle="Percent">
  <autoFilter ref="N3:Y6"/>
  <tableColumns count="12">
    <tableColumn id="1" name="درصد تولید" dataDxfId="29"/>
    <tableColumn id="2" name="سال 93" dataDxfId="28" dataCellStyle="Percent"/>
    <tableColumn id="3" name="سال 94" dataDxfId="27" dataCellStyle="Percent"/>
    <tableColumn id="4" name="سال 95" dataDxfId="26" dataCellStyle="Percent"/>
    <tableColumn id="5" name="سال 96" dataDxfId="25" dataCellStyle="Percent"/>
    <tableColumn id="6" name="سه ماهه 97" dataDxfId="24" dataCellStyle="Percent"/>
    <tableColumn id="7" name="شش ماهه 97" dataDxfId="23" dataCellStyle="Percent"/>
    <tableColumn id="8" name="نه ماهه 97" dataDxfId="22" dataCellStyle="Percent"/>
    <tableColumn id="9" name="سال 97" dataDxfId="21" dataCellStyle="Percent"/>
    <tableColumn id="10" name="سه ماهه 98" dataDxfId="20" dataCellStyle="Percent"/>
    <tableColumn id="11" name="کارشناسی نه ماهه 98" dataDxfId="19" dataCellStyle="Percent"/>
    <tableColumn id="12" name="کارشناسی 98" dataDxfId="18" dataCellStyle="Percent">
      <calculatedColumnFormula>AVERAGE(V4,O4:R4)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Table15" displayName="Table15" ref="N12:Y15" totalsRowShown="0" headerRowDxfId="17" dataDxfId="15" headerRowBorderDxfId="16" tableBorderDxfId="14" totalsRowBorderDxfId="13" dataCellStyle="Percent">
  <autoFilter ref="N12:Y15"/>
  <tableColumns count="12">
    <tableColumn id="1" name="ضریب فروش شکر به تولیدشکر" dataDxfId="12"/>
    <tableColumn id="2" name="سال 93" dataDxfId="11" dataCellStyle="Percent"/>
    <tableColumn id="3" name="سال 94" dataDxfId="10" dataCellStyle="Percent"/>
    <tableColumn id="4" name="سال 95" dataDxfId="9" dataCellStyle="Percent"/>
    <tableColumn id="5" name="سال 96" dataDxfId="8" dataCellStyle="Percent"/>
    <tableColumn id="6" name="سه ماهه 97" dataDxfId="7" dataCellStyle="Percent"/>
    <tableColumn id="7" name="شش ماهه 97" dataDxfId="6" dataCellStyle="Percent"/>
    <tableColumn id="8" name="نه ماهه 97" dataDxfId="5" dataCellStyle="Percent"/>
    <tableColumn id="9" name="سال 97" dataDxfId="4" dataCellStyle="Percent"/>
    <tableColumn id="10" name="سه ماهه 98" dataDxfId="3" dataCellStyle="Percent"/>
    <tableColumn id="11" name="کارشناسی نه ماهه 98" dataDxfId="2" dataCellStyle="Percent"/>
    <tableColumn id="12" name="کارشناسی 98" dataDxfId="1" dataCellStyle="Percent">
      <calculatedColumnFormula>AVERAGE(V13,O13:R13)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" name="Table_MarketWatchPlus.aspx?d_0" displayName="Table_MarketWatchPlus.aspx?d_0" ref="A4:W985" tableType="queryTable" totalsRowShown="0" tableBorderDxfId="0">
  <autoFilter ref="A4:W985"/>
  <tableColumns count="23">
    <tableColumn id="1" uniqueName="1" name=" " queryTableFieldId="1"/>
    <tableColumn id="2" uniqueName="2" name=" 1" queryTableFieldId="2"/>
    <tableColumn id="3" uniqueName="3" name=" 2" queryTableFieldId="3"/>
    <tableColumn id="4" uniqueName="4" name=" 3" queryTableFieldId="4"/>
    <tableColumn id="5" uniqueName="5" name=" 4" queryTableFieldId="5"/>
    <tableColumn id="6" uniqueName="6" name=" 5" queryTableFieldId="6"/>
    <tableColumn id="7" uniqueName="7" name=" 6" queryTableFieldId="7"/>
    <tableColumn id="8" uniqueName="8" name=" 7" queryTableFieldId="8"/>
    <tableColumn id="9" uniqueName="9" name=" 8" queryTableFieldId="9"/>
    <tableColumn id="10" uniqueName="10" name=" 9" queryTableFieldId="10"/>
    <tableColumn id="11" uniqueName="11" name=" 10" queryTableFieldId="11"/>
    <tableColumn id="12" uniqueName="12" name=" 11" queryTableFieldId="12"/>
    <tableColumn id="13" uniqueName="13" name=" 12" queryTableFieldId="13"/>
    <tableColumn id="14" uniqueName="14" name=" 13" queryTableFieldId="14"/>
    <tableColumn id="15" uniqueName="15" name=" 14" queryTableFieldId="15"/>
    <tableColumn id="16" uniqueName="16" name=" 15" queryTableFieldId="16"/>
    <tableColumn id="17" uniqueName="17" name=" 16" queryTableFieldId="17"/>
    <tableColumn id="18" uniqueName="18" name=" 17" queryTableFieldId="18"/>
    <tableColumn id="19" uniqueName="19" name=" 18" queryTableFieldId="19"/>
    <tableColumn id="20" uniqueName="20" name=" 19" queryTableFieldId="20"/>
    <tableColumn id="21" uniqueName="21" name=" 20" queryTableFieldId="21"/>
    <tableColumn id="22" uniqueName="22" name=" 21" queryTableFieldId="22"/>
    <tableColumn id="23" uniqueName="23" name=" 22" queryTableField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3:L10" totalsRowShown="0" headerRowDxfId="172" dataDxfId="171" tableBorderDxfId="170" dataCellStyle="Comma">
  <autoFilter ref="A3:L10"/>
  <tableColumns count="12">
    <tableColumn id="1" name="مقدارتولید" dataDxfId="169"/>
    <tableColumn id="2" name="سال 93" dataDxfId="168" dataCellStyle="Comma"/>
    <tableColumn id="3" name="سال 94" dataDxfId="167" dataCellStyle="Comma"/>
    <tableColumn id="4" name="سال 95" dataDxfId="166" dataCellStyle="Comma"/>
    <tableColumn id="5" name="سال 96" dataDxfId="165" dataCellStyle="Comma"/>
    <tableColumn id="6" name="سه ماهه 97" dataDxfId="164" dataCellStyle="Comma"/>
    <tableColumn id="7" name="شش ماهه 97" dataDxfId="163" dataCellStyle="Comma"/>
    <tableColumn id="8" name="نه ماهه 97" dataDxfId="162" dataCellStyle="Comma"/>
    <tableColumn id="9" name="سال 97" dataDxfId="161" dataCellStyle="Comma"/>
    <tableColumn id="10" name="سه ماهه 98" dataDxfId="160" dataCellStyle="Comma"/>
    <tableColumn id="11" name="کارشناسی نه ماهه 98" dataDxfId="159" dataCellStyle="Comma">
      <calculatedColumnFormula>L4-J4</calculatedColumnFormula>
    </tableColumn>
    <tableColumn id="12" name="کارشناسی 98" dataDxfId="158" dataCellStyle="Comma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مقدارتولید"/>
    </ext>
  </extLst>
</table>
</file>

<file path=xl/tables/table3.xml><?xml version="1.0" encoding="utf-8"?>
<table xmlns="http://schemas.openxmlformats.org/spreadsheetml/2006/main" id="5" name="Table5" displayName="Table5" ref="A21:L29" totalsRowShown="0" headerRowDxfId="157" dataDxfId="155" headerRowBorderDxfId="156" tableBorderDxfId="154" totalsRowBorderDxfId="153" dataCellStyle="Comma">
  <autoFilter ref="A21:L29"/>
  <tableColumns count="12">
    <tableColumn id="1" name="مبلغ فروش" dataDxfId="152"/>
    <tableColumn id="2" name="سال 93" dataDxfId="151" dataCellStyle="Comma"/>
    <tableColumn id="3" name="سال 94" dataDxfId="150" dataCellStyle="Comma"/>
    <tableColumn id="4" name="سال 95" dataDxfId="149" dataCellStyle="Comma"/>
    <tableColumn id="5" name="سال 96" dataDxfId="148" dataCellStyle="Comma"/>
    <tableColumn id="6" name="سه ماهه 97" dataDxfId="147" dataCellStyle="Comma"/>
    <tableColumn id="7" name="شش ماهه 97" dataDxfId="146" dataCellStyle="Comma"/>
    <tableColumn id="8" name="نه ماهه 97" dataDxfId="145" dataCellStyle="Comma"/>
    <tableColumn id="9" name="سال 97" dataDxfId="144" dataCellStyle="Comma"/>
    <tableColumn id="10" name="سه ماهه 98" dataDxfId="143" dataCellStyle="Comma"/>
    <tableColumn id="11" name="کارشناسی نه ماهه 98" dataDxfId="142" dataCellStyle="Comma"/>
    <tableColumn id="12" name="کارشناسی 98" dataDxfId="141" dataCellStyle="Comm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31:L38" totalsRowShown="0" headerRowDxfId="140" dataDxfId="138" headerRowBorderDxfId="139" tableBorderDxfId="137" totalsRowBorderDxfId="136" dataCellStyle="Comma">
  <autoFilter ref="A31:L38"/>
  <tableColumns count="12">
    <tableColumn id="1" name="نرخ فروش" dataDxfId="135"/>
    <tableColumn id="2" name="سال 93" dataDxfId="134" dataCellStyle="Comma">
      <calculatedColumnFormula>B22*1000000/B13</calculatedColumnFormula>
    </tableColumn>
    <tableColumn id="3" name="سال 94" dataDxfId="133" dataCellStyle="Comma">
      <calculatedColumnFormula>C22*1000000/C13</calculatedColumnFormula>
    </tableColumn>
    <tableColumn id="4" name="سال 95" dataDxfId="132" dataCellStyle="Comma">
      <calculatedColumnFormula>D22*1000000/D13</calculatedColumnFormula>
    </tableColumn>
    <tableColumn id="5" name="سال 96" dataDxfId="131" dataCellStyle="Comma">
      <calculatedColumnFormula>E22*1000000/E13</calculatedColumnFormula>
    </tableColumn>
    <tableColumn id="6" name="سه ماهه 97" dataDxfId="130" dataCellStyle="Comma"/>
    <tableColumn id="7" name="شش ماهه 97" dataDxfId="129" dataCellStyle="Comma"/>
    <tableColumn id="8" name="نه ماهه 97" dataDxfId="128" dataCellStyle="Comma"/>
    <tableColumn id="9" name="سال 97" dataDxfId="127" dataCellStyle="Comma"/>
    <tableColumn id="10" name="سه ماهه 98" dataDxfId="126" dataCellStyle="Comma">
      <calculatedColumnFormula>J22*1000000/J13</calculatedColumnFormula>
    </tableColumn>
    <tableColumn id="11" name="کارشناسی نه ماهه 98" dataDxfId="125" dataCellStyle="Comma">
      <calculatedColumnFormula>L32</calculatedColumnFormula>
    </tableColumn>
    <tableColumn id="12" name="کارشناسی 98" dataDxfId="124" dataCellStyle="Comm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40:F55" totalsRowShown="0" headerRowDxfId="123" dataDxfId="121" headerRowBorderDxfId="122" tableBorderDxfId="120" dataCellStyle="Comma">
  <autoFilter ref="A40:F55"/>
  <tableColumns count="6">
    <tableColumn id="1" name="شرح" dataDxfId="119"/>
    <tableColumn id="2" name="1397/03/31" dataDxfId="118" dataCellStyle="Comma"/>
    <tableColumn id="3" name=" ۱۳۹۷/۱۲/۲۹ " dataDxfId="117" dataCellStyle="Comma"/>
    <tableColumn id="4" name=" ۱۳۹۸/۰۳/۳۱ " dataDxfId="116" dataCellStyle="Comma"/>
    <tableColumn id="5" name="کارشناسی نه ماهه" dataDxfId="115" dataCellStyle="Comma"/>
    <tableColumn id="6" name="کارشناسی 98" dataDxfId="114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A57:H62" totalsRowShown="0" headerRowDxfId="113" dataDxfId="111" headerRowBorderDxfId="112" tableBorderDxfId="110" totalsRowBorderDxfId="109" dataCellStyle="Comma">
  <autoFilter ref="A57:H62"/>
  <tableColumns count="8">
    <tableColumn id="1" name="مقدار مواد اولیه" dataDxfId="108"/>
    <tableColumn id="2" name="سال 95" dataDxfId="107" dataCellStyle="Comma"/>
    <tableColumn id="3" name="سال 96" dataDxfId="106" dataCellStyle="Comma"/>
    <tableColumn id="4" name="سه ماهه 97" dataDxfId="105" dataCellStyle="Comma"/>
    <tableColumn id="5" name="سال 97" dataDxfId="104" dataCellStyle="Comma"/>
    <tableColumn id="6" name="سه ماهه 98" dataDxfId="103" dataCellStyle="Comma"/>
    <tableColumn id="7" name="کارشناسی نه ماهه" dataDxfId="102" dataCellStyle="Comma"/>
    <tableColumn id="8" name="کارشناسی 9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64:H67" totalsRowShown="0" headerRowDxfId="101" dataDxfId="99" headerRowBorderDxfId="100" tableBorderDxfId="98" dataCellStyle="Comma">
  <autoFilter ref="A64:H67"/>
  <tableColumns count="8">
    <tableColumn id="1" name="مبلغ مواد اولیه" dataDxfId="97"/>
    <tableColumn id="2" name="سال 95" dataDxfId="96" dataCellStyle="Comma"/>
    <tableColumn id="3" name="سال 96" dataDxfId="95" dataCellStyle="Comma"/>
    <tableColumn id="4" name="سه ماهه 97" dataDxfId="94" dataCellStyle="Comma"/>
    <tableColumn id="5" name="سال 97" dataDxfId="93" dataCellStyle="Comma"/>
    <tableColumn id="6" name="سه ماهه 98" dataDxfId="92" dataCellStyle="Comma"/>
    <tableColumn id="7" name="کارشناسی نه ماهه" dataDxfId="91" dataCellStyle="Comma"/>
    <tableColumn id="8" name="کارشناسی 98" dataDxfId="90" dataCellStyle="Comm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69:H71" totalsRowShown="0" headerRowDxfId="89" dataDxfId="87" headerRowBorderDxfId="88" tableBorderDxfId="86" dataCellStyle="Comma">
  <autoFilter ref="A69:H71"/>
  <tableColumns count="8">
    <tableColumn id="1" name="نرخ  مواد اولیه" dataDxfId="85"/>
    <tableColumn id="2" name="سال 95" dataDxfId="84" dataCellStyle="Comma">
      <calculatedColumnFormula>B65*1000000/B58</calculatedColumnFormula>
    </tableColumn>
    <tableColumn id="3" name="سال 96" dataDxfId="83" dataCellStyle="Comma">
      <calculatedColumnFormula>C65*1000000/C58</calculatedColumnFormula>
    </tableColumn>
    <tableColumn id="4" name="سه ماهه 97" dataDxfId="82" dataCellStyle="Comma">
      <calculatedColumnFormula>D65*1000000/D58</calculatedColumnFormula>
    </tableColumn>
    <tableColumn id="5" name="سال 97" dataDxfId="81" dataCellStyle="Comma">
      <calculatedColumnFormula>E65*1000000/E58</calculatedColumnFormula>
    </tableColumn>
    <tableColumn id="6" name="سه ماهه 98" dataDxfId="80" dataCellStyle="Comma">
      <calculatedColumnFormula>F65*1000000/F58</calculatedColumnFormula>
    </tableColumn>
    <tableColumn id="7" name="کارشناسی نه ماهه" dataDxfId="79" dataCellStyle="Comma">
      <calculatedColumnFormula>F70</calculatedColumnFormula>
    </tableColumn>
    <tableColumn id="8" name="کارشناسی 98" dataDxfId="78" dataCellStyle="Comm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74:G85" totalsRowShown="0" headerRowDxfId="77" dataDxfId="75" headerRowBorderDxfId="76" tableBorderDxfId="74" totalsRowBorderDxfId="73" dataCellStyle="Comma">
  <autoFilter ref="A74:G85"/>
  <tableColumns count="7">
    <tableColumn id="1" name="هزينه سربار" dataDxfId="72"/>
    <tableColumn id="2" name="سال 96" dataDxfId="71"/>
    <tableColumn id="3" name="سه ماهه 97" dataDxfId="70" dataCellStyle="Comma"/>
    <tableColumn id="4" name="سال 97" dataDxfId="69" dataCellStyle="Comma"/>
    <tableColumn id="5" name="سه ماهه 98" dataDxfId="68" dataCellStyle="Comma"/>
    <tableColumn id="6" name="کار شناسی نه ماهه 98" dataDxfId="67" dataCellStyle="Comma"/>
    <tableColumn id="7" name="کارشناسی 98" dataDxfId="66" dataCellStyle="Comma">
      <calculatedColumnFormula>F75+E75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8"/>
  <sheetViews>
    <sheetView rightToLeft="1" topLeftCell="A123" zoomScale="40" zoomScaleNormal="40" workbookViewId="0">
      <pane xSplit="1" topLeftCell="B1" activePane="topRight" state="frozen"/>
      <selection pane="topRight" activeCell="A120" sqref="A120:A122"/>
    </sheetView>
  </sheetViews>
  <sheetFormatPr defaultRowHeight="25.5" x14ac:dyDescent="0.7"/>
  <cols>
    <col min="1" max="1" width="52.140625" style="88" bestFit="1" customWidth="1"/>
    <col min="2" max="2" width="21.7109375" style="86" bestFit="1" customWidth="1"/>
    <col min="3" max="3" width="17" style="86" bestFit="1" customWidth="1"/>
    <col min="4" max="4" width="29.42578125" style="87" bestFit="1" customWidth="1"/>
    <col min="5" max="5" width="24.85546875" style="87" bestFit="1" customWidth="1"/>
    <col min="6" max="6" width="20.5703125" style="87" customWidth="1"/>
    <col min="7" max="7" width="17.28515625" style="87" bestFit="1" customWidth="1"/>
    <col min="8" max="8" width="29" style="87" bestFit="1" customWidth="1"/>
    <col min="9" max="9" width="22.140625" style="87" bestFit="1" customWidth="1"/>
    <col min="10" max="10" width="17.5703125" style="87" bestFit="1" customWidth="1"/>
    <col min="11" max="11" width="20.5703125" style="87" customWidth="1"/>
    <col min="12" max="12" width="19.42578125" style="87" bestFit="1" customWidth="1"/>
    <col min="13" max="13" width="16.7109375" style="103" bestFit="1" customWidth="1"/>
    <col min="14" max="14" width="27.7109375" style="87" bestFit="1" customWidth="1"/>
    <col min="15" max="15" width="36" style="87" bestFit="1" customWidth="1"/>
    <col min="16" max="16" width="21.140625" style="87" bestFit="1" customWidth="1"/>
    <col min="17" max="18" width="19.5703125" style="87" bestFit="1" customWidth="1"/>
    <col min="19" max="19" width="19.85546875" style="87" bestFit="1" customWidth="1"/>
    <col min="20" max="21" width="20.140625" style="87" bestFit="1" customWidth="1"/>
    <col min="22" max="23" width="20" style="87" bestFit="1" customWidth="1"/>
    <col min="24" max="24" width="25.5703125" style="87" bestFit="1" customWidth="1"/>
    <col min="25" max="25" width="20.140625" style="87" bestFit="1" customWidth="1"/>
    <col min="26" max="26" width="19.7109375" style="87" bestFit="1" customWidth="1"/>
    <col min="27" max="27" width="19.5703125" style="87" bestFit="1" customWidth="1"/>
    <col min="28" max="28" width="12.42578125" style="87" customWidth="1"/>
    <col min="29" max="29" width="12" style="87" customWidth="1"/>
    <col min="30" max="35" width="9.140625" style="87"/>
    <col min="36" max="36" width="9.42578125" style="87" bestFit="1" customWidth="1"/>
    <col min="37" max="37" width="9.140625" style="87"/>
    <col min="38" max="38" width="23.140625" style="87" bestFit="1" customWidth="1"/>
    <col min="39" max="41" width="9.140625" style="87"/>
    <col min="42" max="42" width="15.85546875" style="87" bestFit="1" customWidth="1"/>
    <col min="43" max="45" width="9.140625" style="87"/>
    <col min="46" max="46" width="22.140625" style="87" bestFit="1" customWidth="1"/>
    <col min="47" max="48" width="9.140625" style="87"/>
    <col min="49" max="49" width="15.85546875" style="87" bestFit="1" customWidth="1"/>
    <col min="50" max="52" width="9.140625" style="87"/>
    <col min="53" max="53" width="15.85546875" style="87" bestFit="1" customWidth="1"/>
    <col min="54" max="54" width="9.140625" style="87"/>
    <col min="55" max="55" width="10.7109375" style="87" bestFit="1" customWidth="1"/>
    <col min="56" max="56" width="9.140625" style="87"/>
    <col min="57" max="57" width="15.85546875" style="87" bestFit="1" customWidth="1"/>
    <col min="58" max="58" width="10.7109375" style="87" bestFit="1" customWidth="1"/>
    <col min="59" max="16384" width="9.140625" style="87"/>
  </cols>
  <sheetData>
    <row r="1" spans="1:59" s="103" customFormat="1" ht="37.5" thickTop="1" thickBot="1" x14ac:dyDescent="1">
      <c r="A1" s="101"/>
      <c r="B1" s="102"/>
      <c r="C1" s="102"/>
      <c r="E1" s="117"/>
      <c r="F1" s="610" t="str">
        <f>VLOOKUP(H1,'دیده بان بازار'!A:W,2,0)</f>
        <v>كارخانجات‌ قند قزوين‌</v>
      </c>
      <c r="G1" s="610"/>
      <c r="H1" s="316" t="s">
        <v>731</v>
      </c>
      <c r="I1" s="113"/>
      <c r="K1" s="132"/>
      <c r="L1" s="132"/>
      <c r="M1" s="132"/>
      <c r="N1" s="132"/>
    </row>
    <row r="2" spans="1:59" s="103" customFormat="1" ht="26.25" thickTop="1" x14ac:dyDescent="0.7">
      <c r="A2" s="101"/>
      <c r="B2" s="102"/>
      <c r="C2" s="102"/>
      <c r="F2" s="117"/>
      <c r="G2" s="117"/>
      <c r="H2" s="117"/>
      <c r="I2" s="117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</row>
    <row r="3" spans="1:59" x14ac:dyDescent="0.7">
      <c r="A3" s="241" t="s">
        <v>102</v>
      </c>
      <c r="B3" s="244" t="s">
        <v>97</v>
      </c>
      <c r="C3" s="244" t="s">
        <v>96</v>
      </c>
      <c r="D3" s="245" t="s">
        <v>62</v>
      </c>
      <c r="E3" s="245" t="s">
        <v>40</v>
      </c>
      <c r="F3" s="245" t="s">
        <v>55</v>
      </c>
      <c r="G3" s="245" t="s">
        <v>95</v>
      </c>
      <c r="H3" s="245" t="s">
        <v>94</v>
      </c>
      <c r="I3" s="245" t="s">
        <v>39</v>
      </c>
      <c r="J3" s="245" t="s">
        <v>54</v>
      </c>
      <c r="K3" s="245" t="s">
        <v>93</v>
      </c>
      <c r="L3" s="245" t="s">
        <v>38</v>
      </c>
      <c r="N3" s="270" t="s">
        <v>101</v>
      </c>
      <c r="O3" s="271" t="s">
        <v>97</v>
      </c>
      <c r="P3" s="271" t="s">
        <v>96</v>
      </c>
      <c r="Q3" s="272" t="s">
        <v>62</v>
      </c>
      <c r="R3" s="272" t="s">
        <v>40</v>
      </c>
      <c r="S3" s="272" t="s">
        <v>55</v>
      </c>
      <c r="T3" s="272" t="s">
        <v>95</v>
      </c>
      <c r="U3" s="272" t="s">
        <v>94</v>
      </c>
      <c r="V3" s="272" t="s">
        <v>39</v>
      </c>
      <c r="W3" s="272" t="s">
        <v>54</v>
      </c>
      <c r="X3" s="272" t="s">
        <v>93</v>
      </c>
      <c r="Y3" s="273" t="s">
        <v>38</v>
      </c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18"/>
      <c r="AM3" s="118"/>
      <c r="AN3" s="118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</row>
    <row r="4" spans="1:59" x14ac:dyDescent="0.7">
      <c r="A4" s="243" t="s">
        <v>92</v>
      </c>
      <c r="B4" s="237">
        <v>30843</v>
      </c>
      <c r="C4" s="237">
        <v>30045</v>
      </c>
      <c r="D4" s="237">
        <v>34085</v>
      </c>
      <c r="E4" s="237">
        <v>54213</v>
      </c>
      <c r="F4" s="237">
        <v>10256</v>
      </c>
      <c r="G4" s="237">
        <v>30920</v>
      </c>
      <c r="H4" s="237">
        <v>38735</v>
      </c>
      <c r="I4" s="242">
        <v>44697</v>
      </c>
      <c r="J4" s="237">
        <v>7604</v>
      </c>
      <c r="K4" s="237">
        <f>L4-J4</f>
        <v>30396</v>
      </c>
      <c r="L4" s="237">
        <f>B124</f>
        <v>38000</v>
      </c>
      <c r="M4" s="108"/>
      <c r="N4" s="268" t="s">
        <v>92</v>
      </c>
      <c r="O4" s="156">
        <f t="shared" ref="O4:W4" si="0">B4/B4</f>
        <v>1</v>
      </c>
      <c r="P4" s="156">
        <f t="shared" si="0"/>
        <v>1</v>
      </c>
      <c r="Q4" s="156">
        <f t="shared" si="0"/>
        <v>1</v>
      </c>
      <c r="R4" s="156">
        <f t="shared" si="0"/>
        <v>1</v>
      </c>
      <c r="S4" s="156">
        <f t="shared" si="0"/>
        <v>1</v>
      </c>
      <c r="T4" s="156">
        <f t="shared" si="0"/>
        <v>1</v>
      </c>
      <c r="U4" s="156">
        <f t="shared" si="0"/>
        <v>1</v>
      </c>
      <c r="V4" s="156">
        <f t="shared" si="0"/>
        <v>1</v>
      </c>
      <c r="W4" s="156">
        <f t="shared" si="0"/>
        <v>1</v>
      </c>
      <c r="X4" s="157"/>
      <c r="Y4" s="269">
        <v>1</v>
      </c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18"/>
      <c r="AM4" s="118"/>
      <c r="AN4" s="120"/>
      <c r="AO4" s="95"/>
      <c r="AP4" s="96"/>
      <c r="AQ4" s="96"/>
      <c r="AR4" s="95"/>
      <c r="AS4" s="95"/>
      <c r="AT4" s="96"/>
      <c r="AU4" s="96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</row>
    <row r="5" spans="1:59" x14ac:dyDescent="0.7">
      <c r="A5" s="243" t="s">
        <v>91</v>
      </c>
      <c r="B5" s="237">
        <v>14756</v>
      </c>
      <c r="C5" s="237">
        <v>6807</v>
      </c>
      <c r="D5" s="237">
        <v>2790</v>
      </c>
      <c r="E5" s="237">
        <v>12907</v>
      </c>
      <c r="F5" s="237">
        <v>0</v>
      </c>
      <c r="G5" s="237">
        <v>136</v>
      </c>
      <c r="H5" s="237">
        <v>136</v>
      </c>
      <c r="I5" s="237">
        <v>136</v>
      </c>
      <c r="J5" s="237">
        <v>0</v>
      </c>
      <c r="K5" s="237">
        <f t="shared" ref="K5:K10" si="1">L5-J5</f>
        <v>7479.2</v>
      </c>
      <c r="L5" s="237">
        <f>AVERAGE(I5,B5:E5)</f>
        <v>7479.2</v>
      </c>
      <c r="M5" s="108"/>
      <c r="N5" s="268" t="s">
        <v>89</v>
      </c>
      <c r="O5" s="156">
        <f t="shared" ref="O5:W5" si="2">B7/B4</f>
        <v>0.47842298090328439</v>
      </c>
      <c r="P5" s="156">
        <f t="shared" si="2"/>
        <v>0.48350807122649359</v>
      </c>
      <c r="Q5" s="156">
        <f t="shared" si="2"/>
        <v>0.4926213877072026</v>
      </c>
      <c r="R5" s="156">
        <f t="shared" si="2"/>
        <v>0.46638260195893971</v>
      </c>
      <c r="S5" s="156">
        <f t="shared" si="2"/>
        <v>0.47113884555382213</v>
      </c>
      <c r="T5" s="156">
        <f t="shared" si="2"/>
        <v>0.27263906856403625</v>
      </c>
      <c r="U5" s="156">
        <f t="shared" si="2"/>
        <v>0.55076803924099649</v>
      </c>
      <c r="V5" s="156">
        <f t="shared" si="2"/>
        <v>0.42696377832964183</v>
      </c>
      <c r="W5" s="156">
        <f t="shared" si="2"/>
        <v>0.48001052077853762</v>
      </c>
      <c r="X5" s="157"/>
      <c r="Y5" s="269">
        <f>AVERAGE(V5,O5:R5)</f>
        <v>0.46957976402511237</v>
      </c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18"/>
      <c r="AM5" s="118"/>
      <c r="AN5" s="120"/>
      <c r="AO5" s="96"/>
      <c r="AP5" s="96"/>
      <c r="AQ5" s="96"/>
      <c r="AR5" s="95"/>
      <c r="AS5" s="96"/>
      <c r="AT5" s="96"/>
      <c r="AU5" s="96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</row>
    <row r="6" spans="1:59" x14ac:dyDescent="0.7">
      <c r="A6" s="243" t="s">
        <v>90</v>
      </c>
      <c r="B6" s="237">
        <v>3414</v>
      </c>
      <c r="C6" s="237">
        <v>1000</v>
      </c>
      <c r="D6" s="237">
        <v>0</v>
      </c>
      <c r="E6" s="237">
        <v>0</v>
      </c>
      <c r="F6" s="237">
        <v>0</v>
      </c>
      <c r="G6" s="237">
        <v>0</v>
      </c>
      <c r="H6" s="237">
        <v>0</v>
      </c>
      <c r="I6" s="237">
        <v>0</v>
      </c>
      <c r="J6" s="237">
        <v>0</v>
      </c>
      <c r="K6" s="237">
        <f t="shared" si="1"/>
        <v>882.8</v>
      </c>
      <c r="L6" s="237">
        <f>AVERAGE(I6,B6:E6)</f>
        <v>882.8</v>
      </c>
      <c r="M6" s="108"/>
      <c r="N6" s="274" t="s">
        <v>86</v>
      </c>
      <c r="O6" s="275">
        <f t="shared" ref="O6:W6" si="3">B10/B4</f>
        <v>0.39003987938916446</v>
      </c>
      <c r="P6" s="275">
        <f t="shared" si="3"/>
        <v>0.41987019470793807</v>
      </c>
      <c r="Q6" s="275">
        <f t="shared" si="3"/>
        <v>0.39958926213877072</v>
      </c>
      <c r="R6" s="275">
        <f t="shared" si="3"/>
        <v>0.41842362532971794</v>
      </c>
      <c r="S6" s="275">
        <f t="shared" si="3"/>
        <v>0.27301092043681746</v>
      </c>
      <c r="T6" s="275">
        <f t="shared" si="3"/>
        <v>0.18741914618369987</v>
      </c>
      <c r="U6" s="275">
        <f t="shared" si="3"/>
        <v>0.32257648121853622</v>
      </c>
      <c r="V6" s="275">
        <f t="shared" si="3"/>
        <v>0.35337942143768036</v>
      </c>
      <c r="W6" s="275">
        <f t="shared" si="3"/>
        <v>0.24592319831667545</v>
      </c>
      <c r="X6" s="276"/>
      <c r="Y6" s="277">
        <f>AVERAGE(V6,O6:R6)</f>
        <v>0.39626047660065428</v>
      </c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18"/>
      <c r="AM6" s="118"/>
      <c r="AN6" s="120"/>
      <c r="AO6" s="95"/>
      <c r="AP6" s="96"/>
      <c r="AQ6" s="95"/>
      <c r="AR6" s="95"/>
      <c r="AS6" s="95"/>
      <c r="AT6" s="96"/>
      <c r="AU6" s="95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</row>
    <row r="7" spans="1:59" ht="26.25" thickBot="1" x14ac:dyDescent="0.75">
      <c r="A7" s="243" t="s">
        <v>89</v>
      </c>
      <c r="B7" s="237">
        <v>14756</v>
      </c>
      <c r="C7" s="237">
        <v>14527</v>
      </c>
      <c r="D7" s="237">
        <v>16791</v>
      </c>
      <c r="E7" s="237">
        <v>25284</v>
      </c>
      <c r="F7" s="237">
        <v>4832</v>
      </c>
      <c r="G7" s="237">
        <v>8430</v>
      </c>
      <c r="H7" s="237">
        <v>21334</v>
      </c>
      <c r="I7" s="237">
        <v>19084</v>
      </c>
      <c r="J7" s="237">
        <v>3650</v>
      </c>
      <c r="K7" s="237">
        <f t="shared" si="1"/>
        <v>14194.03103295427</v>
      </c>
      <c r="L7" s="237">
        <f>L4*Y5</f>
        <v>17844.03103295427</v>
      </c>
      <c r="M7" s="108"/>
      <c r="N7" s="10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33"/>
      <c r="AA7" s="118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18"/>
      <c r="AM7" s="118"/>
      <c r="AN7" s="118"/>
      <c r="AO7" s="89"/>
      <c r="AP7" s="89"/>
      <c r="AQ7" s="96"/>
      <c r="AR7" s="89"/>
      <c r="AS7" s="95"/>
      <c r="AT7" s="89"/>
      <c r="AU7" s="96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</row>
    <row r="8" spans="1:59" x14ac:dyDescent="0.7">
      <c r="A8" s="243" t="s">
        <v>88</v>
      </c>
      <c r="B8" s="237">
        <v>31037</v>
      </c>
      <c r="C8" s="237">
        <v>19515</v>
      </c>
      <c r="D8" s="237">
        <v>39780</v>
      </c>
      <c r="E8" s="237">
        <v>1044</v>
      </c>
      <c r="F8" s="237">
        <v>0</v>
      </c>
      <c r="G8" s="237">
        <v>1491</v>
      </c>
      <c r="H8" s="237">
        <v>1491</v>
      </c>
      <c r="I8" s="237">
        <v>11448</v>
      </c>
      <c r="J8" s="237">
        <v>9551</v>
      </c>
      <c r="K8" s="237">
        <f t="shared" si="1"/>
        <v>11013.8</v>
      </c>
      <c r="L8" s="237">
        <f t="shared" ref="L8:L9" si="4">AVERAGE(I8,B8:E8)</f>
        <v>20564.8</v>
      </c>
      <c r="M8" s="108"/>
      <c r="N8" s="108"/>
      <c r="O8" s="122"/>
      <c r="P8" s="134"/>
      <c r="Q8" s="134"/>
      <c r="R8" s="135"/>
      <c r="S8" s="3" t="s">
        <v>112</v>
      </c>
      <c r="T8" s="3" t="s">
        <v>113</v>
      </c>
      <c r="U8" s="135"/>
      <c r="V8" s="135"/>
      <c r="W8" s="135"/>
      <c r="X8" s="135"/>
      <c r="Y8" s="135"/>
      <c r="Z8" s="135"/>
      <c r="AA8" s="118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18"/>
      <c r="AM8" s="118"/>
      <c r="AN8" s="118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</row>
    <row r="9" spans="1:59" x14ac:dyDescent="0.7">
      <c r="A9" s="243" t="s">
        <v>87</v>
      </c>
      <c r="B9" s="237">
        <v>501</v>
      </c>
      <c r="C9" s="237">
        <v>0</v>
      </c>
      <c r="D9" s="237">
        <v>81</v>
      </c>
      <c r="E9" s="237">
        <v>0</v>
      </c>
      <c r="F9" s="237">
        <v>0</v>
      </c>
      <c r="G9" s="237">
        <v>0</v>
      </c>
      <c r="H9" s="237">
        <v>0</v>
      </c>
      <c r="I9" s="237">
        <v>0</v>
      </c>
      <c r="J9" s="237">
        <v>121</v>
      </c>
      <c r="K9" s="237">
        <f t="shared" si="1"/>
        <v>-4.5999999999999943</v>
      </c>
      <c r="L9" s="237">
        <f t="shared" si="4"/>
        <v>116.4</v>
      </c>
      <c r="M9" s="108"/>
      <c r="N9" s="108"/>
      <c r="O9" s="122"/>
      <c r="P9" s="134"/>
      <c r="Q9" s="134"/>
      <c r="R9" s="135"/>
      <c r="S9" s="6"/>
      <c r="T9" s="6"/>
      <c r="U9" s="135"/>
      <c r="V9" s="135"/>
      <c r="W9" s="135"/>
      <c r="X9" s="135"/>
      <c r="Y9" s="135"/>
      <c r="Z9" s="135"/>
      <c r="AA9" s="118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18"/>
      <c r="AM9" s="118"/>
      <c r="AN9" s="118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</row>
    <row r="10" spans="1:59" x14ac:dyDescent="0.7">
      <c r="A10" s="243" t="s">
        <v>86</v>
      </c>
      <c r="B10" s="237">
        <v>12030</v>
      </c>
      <c r="C10" s="237">
        <v>12615</v>
      </c>
      <c r="D10" s="237">
        <v>13620</v>
      </c>
      <c r="E10" s="237">
        <v>22684</v>
      </c>
      <c r="F10" s="237">
        <v>2800</v>
      </c>
      <c r="G10" s="237">
        <v>5795</v>
      </c>
      <c r="H10" s="237">
        <v>12495</v>
      </c>
      <c r="I10" s="237">
        <v>15795</v>
      </c>
      <c r="J10" s="237">
        <v>1870</v>
      </c>
      <c r="K10" s="237">
        <f t="shared" si="1"/>
        <v>13187.898110824863</v>
      </c>
      <c r="L10" s="237">
        <f>Y6*L4</f>
        <v>15057.898110824863</v>
      </c>
      <c r="M10" s="108"/>
      <c r="N10" s="10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03"/>
      <c r="AC10" s="103"/>
      <c r="AD10" s="103"/>
      <c r="AE10" s="136"/>
      <c r="AF10" s="103"/>
      <c r="AG10" s="103"/>
      <c r="AH10" s="103"/>
      <c r="AI10" s="103"/>
      <c r="AJ10" s="103"/>
      <c r="AK10" s="103"/>
      <c r="AL10" s="118"/>
      <c r="AM10" s="118"/>
      <c r="AN10" s="118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</row>
    <row r="11" spans="1:59" s="103" customFormat="1" x14ac:dyDescent="0.7">
      <c r="A11" s="101"/>
      <c r="B11" s="119"/>
      <c r="C11" s="119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AL11" s="118"/>
      <c r="AM11" s="118"/>
      <c r="AN11" s="120"/>
      <c r="AO11" s="120"/>
      <c r="AP11" s="121"/>
      <c r="AQ11" s="121"/>
      <c r="AR11" s="120"/>
      <c r="AS11" s="120"/>
      <c r="AT11" s="120"/>
      <c r="AU11" s="120"/>
      <c r="AV11" s="120"/>
      <c r="AW11" s="121"/>
      <c r="AX11" s="121"/>
      <c r="AY11" s="120"/>
      <c r="AZ11" s="120"/>
      <c r="BA11" s="120"/>
      <c r="BB11" s="120"/>
      <c r="BC11" s="120"/>
      <c r="BD11" s="120"/>
      <c r="BE11" s="121"/>
      <c r="BF11" s="121"/>
      <c r="BG11" s="118"/>
    </row>
    <row r="12" spans="1:59" x14ac:dyDescent="0.7">
      <c r="A12" s="231" t="s">
        <v>100</v>
      </c>
      <c r="B12" s="232" t="s">
        <v>97</v>
      </c>
      <c r="C12" s="232" t="s">
        <v>96</v>
      </c>
      <c r="D12" s="233" t="s">
        <v>62</v>
      </c>
      <c r="E12" s="233" t="s">
        <v>40</v>
      </c>
      <c r="F12" s="233" t="s">
        <v>55</v>
      </c>
      <c r="G12" s="233" t="s">
        <v>95</v>
      </c>
      <c r="H12" s="233" t="s">
        <v>94</v>
      </c>
      <c r="I12" s="233" t="s">
        <v>39</v>
      </c>
      <c r="J12" s="233" t="s">
        <v>54</v>
      </c>
      <c r="K12" s="233" t="s">
        <v>93</v>
      </c>
      <c r="L12" s="234" t="s">
        <v>38</v>
      </c>
      <c r="N12" s="231" t="s">
        <v>215</v>
      </c>
      <c r="O12" s="232" t="s">
        <v>97</v>
      </c>
      <c r="P12" s="232" t="s">
        <v>96</v>
      </c>
      <c r="Q12" s="233" t="s">
        <v>62</v>
      </c>
      <c r="R12" s="233" t="s">
        <v>40</v>
      </c>
      <c r="S12" s="233" t="s">
        <v>55</v>
      </c>
      <c r="T12" s="233" t="s">
        <v>95</v>
      </c>
      <c r="U12" s="233" t="s">
        <v>94</v>
      </c>
      <c r="V12" s="233" t="s">
        <v>39</v>
      </c>
      <c r="W12" s="233" t="s">
        <v>54</v>
      </c>
      <c r="X12" s="233" t="s">
        <v>93</v>
      </c>
      <c r="Y12" s="234" t="s">
        <v>38</v>
      </c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18"/>
      <c r="AM12" s="118"/>
      <c r="AN12" s="120"/>
      <c r="AO12" s="96"/>
      <c r="AP12" s="96"/>
      <c r="AQ12" s="96"/>
      <c r="AR12" s="95"/>
      <c r="AS12" s="95"/>
      <c r="AT12" s="95"/>
      <c r="AU12" s="95"/>
      <c r="AV12" s="96"/>
      <c r="AW12" s="96"/>
      <c r="AX12" s="96"/>
      <c r="AY12" s="95"/>
      <c r="AZ12" s="95"/>
      <c r="BA12" s="96"/>
      <c r="BB12" s="95"/>
      <c r="BC12" s="95"/>
      <c r="BD12" s="96"/>
      <c r="BE12" s="96"/>
      <c r="BF12" s="96"/>
      <c r="BG12" s="89"/>
    </row>
    <row r="13" spans="1:59" x14ac:dyDescent="0.7">
      <c r="A13" s="230" t="s">
        <v>92</v>
      </c>
      <c r="B13" s="154">
        <v>30939</v>
      </c>
      <c r="C13" s="154">
        <v>30955</v>
      </c>
      <c r="D13" s="155">
        <v>39439</v>
      </c>
      <c r="E13" s="155">
        <v>37437</v>
      </c>
      <c r="F13" s="155">
        <v>11139</v>
      </c>
      <c r="G13" s="155">
        <v>30921</v>
      </c>
      <c r="H13" s="155">
        <v>48793</v>
      </c>
      <c r="I13" s="155">
        <v>62186</v>
      </c>
      <c r="J13" s="155">
        <v>70</v>
      </c>
      <c r="K13" s="155">
        <f t="shared" ref="K13:K19" si="5">L13-J13</f>
        <v>40865.981676349918</v>
      </c>
      <c r="L13" s="238">
        <f>Y13*L4</f>
        <v>40935.981676349918</v>
      </c>
      <c r="N13" s="230" t="s">
        <v>92</v>
      </c>
      <c r="O13" s="159">
        <f t="shared" ref="O13:W13" si="6">B13/B4</f>
        <v>1.003112537690886</v>
      </c>
      <c r="P13" s="159">
        <f t="shared" si="6"/>
        <v>1.0302879014811117</v>
      </c>
      <c r="Q13" s="159">
        <f t="shared" si="6"/>
        <v>1.1570778935015402</v>
      </c>
      <c r="R13" s="159">
        <f t="shared" si="6"/>
        <v>0.6905539261800675</v>
      </c>
      <c r="S13" s="159">
        <f t="shared" si="6"/>
        <v>1.0860959438377535</v>
      </c>
      <c r="T13" s="159">
        <f t="shared" si="6"/>
        <v>1.00003234152652</v>
      </c>
      <c r="U13" s="159">
        <f t="shared" si="6"/>
        <v>1.2596618045695107</v>
      </c>
      <c r="V13" s="159">
        <f t="shared" si="6"/>
        <v>1.3912790567599616</v>
      </c>
      <c r="W13" s="159">
        <f t="shared" si="6"/>
        <v>9.2056812204103101E-3</v>
      </c>
      <c r="X13" s="160"/>
      <c r="Y13" s="278">
        <f>AVERAGE(O13:V13)</f>
        <v>1.0772626756934189</v>
      </c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18"/>
      <c r="AM13" s="118"/>
      <c r="AN13" s="120"/>
      <c r="AO13" s="95"/>
      <c r="AP13" s="96"/>
      <c r="AQ13" s="95"/>
      <c r="AR13" s="95"/>
      <c r="AS13" s="95"/>
      <c r="AT13" s="95"/>
      <c r="AU13" s="95"/>
      <c r="AV13" s="95"/>
      <c r="AW13" s="96"/>
      <c r="AX13" s="95"/>
      <c r="AY13" s="95"/>
      <c r="AZ13" s="95"/>
      <c r="BA13" s="95"/>
      <c r="BB13" s="95"/>
      <c r="BC13" s="95"/>
      <c r="BD13" s="95"/>
      <c r="BE13" s="96"/>
      <c r="BF13" s="95"/>
      <c r="BG13" s="89"/>
    </row>
    <row r="14" spans="1:59" x14ac:dyDescent="0.7">
      <c r="A14" s="230" t="s">
        <v>91</v>
      </c>
      <c r="B14" s="154">
        <v>14720</v>
      </c>
      <c r="C14" s="154">
        <v>6807</v>
      </c>
      <c r="D14" s="155">
        <v>327</v>
      </c>
      <c r="E14" s="155">
        <v>12591</v>
      </c>
      <c r="F14" s="155">
        <v>0</v>
      </c>
      <c r="G14" s="155">
        <v>3238</v>
      </c>
      <c r="H14" s="155">
        <v>3243</v>
      </c>
      <c r="I14" s="155">
        <v>3242</v>
      </c>
      <c r="J14" s="155">
        <v>0</v>
      </c>
      <c r="K14" s="155">
        <f t="shared" si="5"/>
        <v>7537.4</v>
      </c>
      <c r="L14" s="238">
        <f>AVERAGE(I14,B14:E14)</f>
        <v>7537.4</v>
      </c>
      <c r="N14" s="230" t="s">
        <v>89</v>
      </c>
      <c r="O14" s="159">
        <f t="shared" ref="O14:W14" si="7">B16/B7</f>
        <v>1</v>
      </c>
      <c r="P14" s="159">
        <f t="shared" si="7"/>
        <v>1</v>
      </c>
      <c r="Q14" s="159">
        <f t="shared" si="7"/>
        <v>1</v>
      </c>
      <c r="R14" s="159">
        <f t="shared" si="7"/>
        <v>1</v>
      </c>
      <c r="S14" s="159">
        <f t="shared" si="7"/>
        <v>0.65997516556291391</v>
      </c>
      <c r="T14" s="159">
        <f t="shared" si="7"/>
        <v>0.84163701067615659</v>
      </c>
      <c r="U14" s="159">
        <f t="shared" si="7"/>
        <v>0.74655479516265122</v>
      </c>
      <c r="V14" s="159">
        <f t="shared" si="7"/>
        <v>1.0640326975476839</v>
      </c>
      <c r="W14" s="159">
        <f t="shared" si="7"/>
        <v>0.80547945205479454</v>
      </c>
      <c r="X14" s="160"/>
      <c r="Y14" s="278">
        <f>AVERAGE(V14,O14:R14)</f>
        <v>1.0128065395095367</v>
      </c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18"/>
      <c r="AM14" s="118"/>
      <c r="AN14" s="120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89"/>
    </row>
    <row r="15" spans="1:59" x14ac:dyDescent="0.7">
      <c r="A15" s="230" t="s">
        <v>90</v>
      </c>
      <c r="B15" s="154">
        <v>1500</v>
      </c>
      <c r="C15" s="154">
        <v>2914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v>4</v>
      </c>
      <c r="J15" s="155">
        <v>0</v>
      </c>
      <c r="K15" s="155">
        <f t="shared" si="5"/>
        <v>0</v>
      </c>
      <c r="L15" s="238">
        <v>0</v>
      </c>
      <c r="N15" s="235" t="s">
        <v>86</v>
      </c>
      <c r="O15" s="279">
        <f t="shared" ref="O15:W15" si="8">B19/B10</f>
        <v>0.97772236076475483</v>
      </c>
      <c r="P15" s="279">
        <f t="shared" si="8"/>
        <v>0.68101466508125252</v>
      </c>
      <c r="Q15" s="279">
        <f t="shared" si="8"/>
        <v>1.0517621145374449</v>
      </c>
      <c r="R15" s="279">
        <f t="shared" si="8"/>
        <v>0.99651736907071065</v>
      </c>
      <c r="S15" s="279">
        <f t="shared" si="8"/>
        <v>0.875</v>
      </c>
      <c r="T15" s="279">
        <f t="shared" si="8"/>
        <v>0.96583261432269196</v>
      </c>
      <c r="U15" s="279">
        <f t="shared" si="8"/>
        <v>0.88195278111244502</v>
      </c>
      <c r="V15" s="279">
        <f t="shared" si="8"/>
        <v>1.0105729661285217</v>
      </c>
      <c r="W15" s="279">
        <f t="shared" si="8"/>
        <v>0.30588235294117649</v>
      </c>
      <c r="X15" s="280"/>
      <c r="Y15" s="281">
        <f>AVERAGE(V15,O15:R15)</f>
        <v>0.94351789511653694</v>
      </c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18"/>
      <c r="AM15" s="118"/>
      <c r="AN15" s="120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6"/>
      <c r="AZ15" s="96"/>
      <c r="BA15" s="96"/>
      <c r="BB15" s="96"/>
      <c r="BC15" s="96"/>
      <c r="BD15" s="96"/>
      <c r="BE15" s="96"/>
      <c r="BF15" s="96"/>
      <c r="BG15" s="89"/>
    </row>
    <row r="16" spans="1:59" x14ac:dyDescent="0.7">
      <c r="A16" s="230" t="s">
        <v>89</v>
      </c>
      <c r="B16" s="154">
        <v>14756</v>
      </c>
      <c r="C16" s="154">
        <v>14527</v>
      </c>
      <c r="D16" s="155">
        <v>16791</v>
      </c>
      <c r="E16" s="155">
        <v>25284</v>
      </c>
      <c r="F16" s="155">
        <v>3189</v>
      </c>
      <c r="G16" s="155">
        <v>7095</v>
      </c>
      <c r="H16" s="155">
        <v>15927</v>
      </c>
      <c r="I16" s="155">
        <v>20306</v>
      </c>
      <c r="J16" s="155">
        <v>2940</v>
      </c>
      <c r="K16" s="155">
        <f t="shared" si="5"/>
        <v>15132.551321387196</v>
      </c>
      <c r="L16" s="238">
        <f>Y14*L7</f>
        <v>18072.551321387196</v>
      </c>
      <c r="N16" s="103"/>
      <c r="O16" s="103"/>
      <c r="P16" s="137"/>
      <c r="Q16" s="137"/>
      <c r="R16" s="137"/>
      <c r="S16" s="137"/>
      <c r="T16" s="137"/>
      <c r="U16" s="137"/>
      <c r="V16" s="137"/>
      <c r="W16" s="137"/>
      <c r="X16" s="137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18"/>
      <c r="AM16" s="118"/>
      <c r="AN16" s="118"/>
      <c r="AO16" s="89"/>
      <c r="AP16" s="89"/>
      <c r="AQ16" s="96"/>
      <c r="AR16" s="89"/>
      <c r="AS16" s="89"/>
      <c r="AT16" s="95"/>
      <c r="AU16" s="89"/>
      <c r="AV16" s="89"/>
      <c r="AW16" s="89"/>
      <c r="AX16" s="96"/>
      <c r="AY16" s="89"/>
      <c r="AZ16" s="89"/>
      <c r="BA16" s="89"/>
      <c r="BB16" s="96"/>
      <c r="BC16" s="95"/>
      <c r="BD16" s="89"/>
      <c r="BE16" s="89"/>
      <c r="BF16" s="96"/>
      <c r="BG16" s="89"/>
    </row>
    <row r="17" spans="1:59" x14ac:dyDescent="0.7">
      <c r="A17" s="230" t="s">
        <v>88</v>
      </c>
      <c r="B17" s="154">
        <v>31037</v>
      </c>
      <c r="C17" s="154">
        <v>19515</v>
      </c>
      <c r="D17" s="155">
        <v>39780</v>
      </c>
      <c r="E17" s="155">
        <v>1044</v>
      </c>
      <c r="F17" s="155">
        <v>0</v>
      </c>
      <c r="G17" s="155">
        <v>0</v>
      </c>
      <c r="H17" s="155">
        <v>1491</v>
      </c>
      <c r="I17" s="155">
        <v>0</v>
      </c>
      <c r="J17" s="155">
        <f>J8</f>
        <v>9551</v>
      </c>
      <c r="K17" s="155">
        <f t="shared" si="5"/>
        <v>15419.75</v>
      </c>
      <c r="L17" s="238">
        <f>AVERAGE(J17,B17:D17)</f>
        <v>24970.75</v>
      </c>
      <c r="N17" s="103"/>
      <c r="O17" s="122"/>
      <c r="P17" s="134"/>
      <c r="Q17" s="134"/>
      <c r="R17" s="135"/>
      <c r="S17" s="135"/>
      <c r="T17" s="135"/>
      <c r="U17" s="135"/>
      <c r="V17" s="135"/>
      <c r="W17" s="135"/>
      <c r="X17" s="135"/>
      <c r="Y17" s="135"/>
      <c r="Z17" s="136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18"/>
      <c r="AM17" s="118"/>
      <c r="AN17" s="118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</row>
    <row r="18" spans="1:59" x14ac:dyDescent="0.7">
      <c r="A18" s="230" t="s">
        <v>87</v>
      </c>
      <c r="B18" s="154">
        <v>501</v>
      </c>
      <c r="C18" s="154">
        <v>109</v>
      </c>
      <c r="D18" s="155">
        <v>69</v>
      </c>
      <c r="E18" s="155">
        <v>1</v>
      </c>
      <c r="F18" s="155">
        <v>0</v>
      </c>
      <c r="G18" s="155">
        <v>0</v>
      </c>
      <c r="H18" s="155">
        <v>0</v>
      </c>
      <c r="I18" s="155">
        <v>0</v>
      </c>
      <c r="J18" s="155">
        <v>21</v>
      </c>
      <c r="K18" s="155">
        <f t="shared" si="5"/>
        <v>88</v>
      </c>
      <c r="L18" s="238">
        <f>C18</f>
        <v>109</v>
      </c>
      <c r="N18" s="103"/>
      <c r="O18" s="122"/>
      <c r="P18" s="134"/>
      <c r="Q18" s="134"/>
      <c r="R18" s="135"/>
      <c r="S18" s="135"/>
      <c r="T18" s="135"/>
      <c r="U18" s="135"/>
      <c r="V18" s="135"/>
      <c r="W18" s="135"/>
      <c r="X18" s="135"/>
      <c r="Y18" s="135"/>
      <c r="Z18" s="135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18"/>
      <c r="AM18" s="118"/>
      <c r="AN18" s="118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</row>
    <row r="19" spans="1:59" x14ac:dyDescent="0.7">
      <c r="A19" s="235" t="s">
        <v>86</v>
      </c>
      <c r="B19" s="236">
        <v>11762</v>
      </c>
      <c r="C19" s="236">
        <v>8591</v>
      </c>
      <c r="D19" s="239">
        <v>14325</v>
      </c>
      <c r="E19" s="239">
        <v>22605</v>
      </c>
      <c r="F19" s="239">
        <v>2450</v>
      </c>
      <c r="G19" s="239">
        <v>5597</v>
      </c>
      <c r="H19" s="239">
        <v>11020</v>
      </c>
      <c r="I19" s="239">
        <v>15962</v>
      </c>
      <c r="J19" s="239">
        <v>572</v>
      </c>
      <c r="K19" s="239">
        <f t="shared" si="5"/>
        <v>13635.396330404752</v>
      </c>
      <c r="L19" s="240">
        <f>Y15*L10</f>
        <v>14207.396330404752</v>
      </c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35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18"/>
      <c r="AM19" s="118"/>
      <c r="AN19" s="118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</row>
    <row r="20" spans="1:59" s="103" customFormat="1" x14ac:dyDescent="0.7">
      <c r="A20" s="101"/>
      <c r="B20" s="102"/>
      <c r="C20" s="102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L20" s="118"/>
      <c r="AM20" s="118"/>
      <c r="AN20" s="120"/>
      <c r="AO20" s="120"/>
      <c r="AP20" s="121"/>
      <c r="AQ20" s="121"/>
      <c r="AR20" s="120"/>
      <c r="AS20" s="120"/>
      <c r="AT20" s="120"/>
      <c r="AU20" s="120"/>
      <c r="AV20" s="120"/>
      <c r="AW20" s="121"/>
      <c r="AX20" s="121"/>
      <c r="AY20" s="121"/>
      <c r="AZ20" s="120"/>
      <c r="BA20" s="121"/>
      <c r="BB20" s="121"/>
      <c r="BC20" s="121"/>
      <c r="BD20" s="120"/>
      <c r="BE20" s="121"/>
      <c r="BF20" s="121"/>
      <c r="BG20" s="118"/>
    </row>
    <row r="21" spans="1:59" x14ac:dyDescent="0.7">
      <c r="A21" s="231" t="s">
        <v>99</v>
      </c>
      <c r="B21" s="232" t="s">
        <v>97</v>
      </c>
      <c r="C21" s="232" t="s">
        <v>96</v>
      </c>
      <c r="D21" s="233" t="s">
        <v>62</v>
      </c>
      <c r="E21" s="233" t="s">
        <v>40</v>
      </c>
      <c r="F21" s="233" t="s">
        <v>55</v>
      </c>
      <c r="G21" s="233" t="s">
        <v>95</v>
      </c>
      <c r="H21" s="233" t="s">
        <v>94</v>
      </c>
      <c r="I21" s="233" t="s">
        <v>39</v>
      </c>
      <c r="J21" s="233" t="s">
        <v>54</v>
      </c>
      <c r="K21" s="233" t="s">
        <v>93</v>
      </c>
      <c r="L21" s="234" t="s">
        <v>38</v>
      </c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36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18"/>
      <c r="AM21" s="118"/>
      <c r="AN21" s="120"/>
      <c r="AO21" s="95"/>
      <c r="AP21" s="96"/>
      <c r="AQ21" s="95"/>
      <c r="AR21" s="95"/>
      <c r="AS21" s="95"/>
      <c r="AT21" s="95"/>
      <c r="AU21" s="95"/>
      <c r="AV21" s="95"/>
      <c r="AW21" s="96"/>
      <c r="AX21" s="95"/>
      <c r="AY21" s="95"/>
      <c r="AZ21" s="95"/>
      <c r="BA21" s="95"/>
      <c r="BB21" s="95"/>
      <c r="BC21" s="95"/>
      <c r="BD21" s="95"/>
      <c r="BE21" s="96"/>
      <c r="BF21" s="95"/>
      <c r="BG21" s="89"/>
    </row>
    <row r="22" spans="1:59" x14ac:dyDescent="0.7">
      <c r="A22" s="230" t="s">
        <v>92</v>
      </c>
      <c r="B22" s="154">
        <v>618297</v>
      </c>
      <c r="C22" s="154">
        <v>696833</v>
      </c>
      <c r="D22" s="155">
        <v>1016879</v>
      </c>
      <c r="E22" s="155">
        <v>991412</v>
      </c>
      <c r="F22" s="155">
        <v>304958</v>
      </c>
      <c r="G22" s="155">
        <v>868943</v>
      </c>
      <c r="H22" s="155">
        <v>1423989</v>
      </c>
      <c r="I22" s="155">
        <v>1863413</v>
      </c>
      <c r="J22" s="155">
        <v>2117</v>
      </c>
      <c r="K22" s="155">
        <f t="shared" ref="K22:L28" si="9">K13*K32/1000000</f>
        <v>1655072.2578921716</v>
      </c>
      <c r="L22" s="238">
        <f t="shared" si="9"/>
        <v>1657907.2578921716</v>
      </c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18"/>
      <c r="AM22" s="118"/>
      <c r="AN22" s="120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6"/>
      <c r="AZ22" s="95"/>
      <c r="BA22" s="96"/>
      <c r="BB22" s="96"/>
      <c r="BC22" s="96"/>
      <c r="BD22" s="95"/>
      <c r="BE22" s="96"/>
      <c r="BF22" s="96"/>
      <c r="BG22" s="89"/>
    </row>
    <row r="23" spans="1:59" x14ac:dyDescent="0.7">
      <c r="A23" s="230" t="s">
        <v>91</v>
      </c>
      <c r="B23" s="154">
        <v>290884</v>
      </c>
      <c r="C23" s="154">
        <v>148842</v>
      </c>
      <c r="D23" s="155">
        <v>8253</v>
      </c>
      <c r="E23" s="155">
        <v>327406</v>
      </c>
      <c r="F23" s="155">
        <v>0</v>
      </c>
      <c r="G23" s="155">
        <v>93174</v>
      </c>
      <c r="H23" s="155">
        <v>93296</v>
      </c>
      <c r="I23" s="155">
        <v>93296</v>
      </c>
      <c r="J23" s="155">
        <v>0</v>
      </c>
      <c r="K23" s="155">
        <f t="shared" si="9"/>
        <v>300511.57792427664</v>
      </c>
      <c r="L23" s="238">
        <f t="shared" si="9"/>
        <v>300511.57792427664</v>
      </c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1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18"/>
      <c r="AM23" s="118"/>
      <c r="AN23" s="121"/>
      <c r="AO23" s="96"/>
      <c r="AP23" s="96"/>
      <c r="AQ23" s="96"/>
      <c r="AR23" s="95"/>
      <c r="AS23" s="95"/>
      <c r="AT23" s="95"/>
      <c r="AU23" s="96"/>
      <c r="AV23" s="96"/>
      <c r="AW23" s="96"/>
      <c r="AX23" s="96"/>
      <c r="AY23" s="95"/>
      <c r="AZ23" s="95"/>
      <c r="BA23" s="95"/>
      <c r="BB23" s="95"/>
      <c r="BC23" s="96"/>
      <c r="BD23" s="96"/>
      <c r="BE23" s="96"/>
      <c r="BF23" s="96"/>
      <c r="BG23" s="89"/>
    </row>
    <row r="24" spans="1:59" x14ac:dyDescent="0.7">
      <c r="A24" s="230" t="s">
        <v>90</v>
      </c>
      <c r="B24" s="154">
        <v>29990</v>
      </c>
      <c r="C24" s="154">
        <v>65250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131</v>
      </c>
      <c r="J24" s="155">
        <v>0</v>
      </c>
      <c r="K24" s="155">
        <f t="shared" si="9"/>
        <v>0</v>
      </c>
      <c r="L24" s="238">
        <f t="shared" si="9"/>
        <v>0</v>
      </c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18"/>
      <c r="AM24" s="118"/>
      <c r="AN24" s="118"/>
      <c r="AO24" s="89"/>
      <c r="AP24" s="89"/>
      <c r="AQ24" s="96"/>
      <c r="AR24" s="89"/>
      <c r="AS24" s="89"/>
      <c r="AT24" s="95"/>
      <c r="AU24" s="89"/>
      <c r="AV24" s="89"/>
      <c r="AW24" s="89"/>
      <c r="AX24" s="96"/>
      <c r="AY24" s="89"/>
      <c r="AZ24" s="89"/>
      <c r="BA24" s="89"/>
      <c r="BB24" s="96"/>
      <c r="BC24" s="96"/>
      <c r="BD24" s="89"/>
      <c r="BE24" s="89"/>
      <c r="BF24" s="96"/>
      <c r="BG24" s="89"/>
    </row>
    <row r="25" spans="1:59" x14ac:dyDescent="0.7">
      <c r="A25" s="230" t="s">
        <v>89</v>
      </c>
      <c r="B25" s="154">
        <v>89681</v>
      </c>
      <c r="C25" s="154">
        <v>66795</v>
      </c>
      <c r="D25" s="155">
        <v>80590</v>
      </c>
      <c r="E25" s="155">
        <v>207311</v>
      </c>
      <c r="F25" s="155">
        <v>31549</v>
      </c>
      <c r="G25" s="155">
        <v>52033</v>
      </c>
      <c r="H25" s="155">
        <v>163807</v>
      </c>
      <c r="I25" s="155">
        <v>210798</v>
      </c>
      <c r="J25" s="155">
        <v>63895</v>
      </c>
      <c r="K25" s="155">
        <f t="shared" si="9"/>
        <v>440416.82806466264</v>
      </c>
      <c r="L25" s="238">
        <f t="shared" si="9"/>
        <v>525982.40435186157</v>
      </c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18"/>
      <c r="AM25" s="118"/>
      <c r="AN25" s="118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</row>
    <row r="26" spans="1:59" x14ac:dyDescent="0.7">
      <c r="A26" s="230" t="s">
        <v>88</v>
      </c>
      <c r="B26" s="154">
        <v>28913</v>
      </c>
      <c r="C26" s="154">
        <v>18319</v>
      </c>
      <c r="D26" s="155">
        <v>47858</v>
      </c>
      <c r="E26" s="155">
        <v>1434</v>
      </c>
      <c r="F26" s="155">
        <v>0</v>
      </c>
      <c r="G26" s="155">
        <v>0</v>
      </c>
      <c r="H26" s="155">
        <v>1789</v>
      </c>
      <c r="I26" s="155">
        <v>23397</v>
      </c>
      <c r="J26" s="155">
        <v>20725</v>
      </c>
      <c r="K26" s="155">
        <f t="shared" si="9"/>
        <v>31194.379882381447</v>
      </c>
      <c r="L26" s="238">
        <f t="shared" si="9"/>
        <v>50516.192639178749</v>
      </c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13"/>
      <c r="AK26" s="103"/>
      <c r="AL26" s="118"/>
      <c r="AM26" s="118"/>
      <c r="AN26" s="118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</row>
    <row r="27" spans="1:59" x14ac:dyDescent="0.7">
      <c r="A27" s="230" t="s">
        <v>87</v>
      </c>
      <c r="B27" s="154">
        <v>12837</v>
      </c>
      <c r="C27" s="154">
        <v>2874</v>
      </c>
      <c r="D27" s="155">
        <v>1977</v>
      </c>
      <c r="E27" s="155">
        <v>9</v>
      </c>
      <c r="F27" s="155">
        <v>0</v>
      </c>
      <c r="G27" s="155">
        <v>0</v>
      </c>
      <c r="H27" s="155"/>
      <c r="I27" s="155">
        <v>0</v>
      </c>
      <c r="J27" s="155">
        <v>625</v>
      </c>
      <c r="K27" s="155">
        <f t="shared" si="9"/>
        <v>4052.9595253952343</v>
      </c>
      <c r="L27" s="238">
        <f t="shared" si="9"/>
        <v>5020.1430485009141</v>
      </c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13"/>
      <c r="AK27" s="103"/>
      <c r="AL27" s="118"/>
      <c r="AM27" s="118"/>
      <c r="AN27" s="118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</row>
    <row r="28" spans="1:59" x14ac:dyDescent="0.7">
      <c r="A28" s="230" t="s">
        <v>86</v>
      </c>
      <c r="B28" s="154">
        <v>49485</v>
      </c>
      <c r="C28" s="154">
        <v>30786</v>
      </c>
      <c r="D28" s="155">
        <v>46270</v>
      </c>
      <c r="E28" s="155">
        <v>76025</v>
      </c>
      <c r="F28" s="155">
        <v>7367</v>
      </c>
      <c r="G28" s="155">
        <v>17176</v>
      </c>
      <c r="H28" s="155">
        <v>50469</v>
      </c>
      <c r="I28" s="155">
        <v>106270</v>
      </c>
      <c r="J28" s="155">
        <v>12084</v>
      </c>
      <c r="K28" s="155">
        <f t="shared" si="9"/>
        <v>385757.74899373722</v>
      </c>
      <c r="L28" s="238">
        <f t="shared" si="9"/>
        <v>401940.14861584397</v>
      </c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13"/>
      <c r="AK28" s="103"/>
      <c r="AL28" s="118"/>
      <c r="AM28" s="118"/>
      <c r="AN28" s="121"/>
      <c r="AO28" s="95"/>
      <c r="AP28" s="96"/>
      <c r="AQ28" s="96"/>
      <c r="AR28" s="95"/>
      <c r="AS28" s="95"/>
      <c r="AT28" s="95"/>
      <c r="AU28" s="96"/>
      <c r="AV28" s="95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89"/>
    </row>
    <row r="29" spans="1:59" x14ac:dyDescent="0.7">
      <c r="A29" s="235" t="s">
        <v>64</v>
      </c>
      <c r="B29" s="236">
        <f t="shared" ref="B29:K29" si="10">SUM(B22:B28)</f>
        <v>1120087</v>
      </c>
      <c r="C29" s="236">
        <f t="shared" si="10"/>
        <v>1029699</v>
      </c>
      <c r="D29" s="239">
        <f t="shared" si="10"/>
        <v>1201827</v>
      </c>
      <c r="E29" s="239">
        <f t="shared" si="10"/>
        <v>1603597</v>
      </c>
      <c r="F29" s="239">
        <f t="shared" si="10"/>
        <v>343874</v>
      </c>
      <c r="G29" s="239">
        <f t="shared" si="10"/>
        <v>1031326</v>
      </c>
      <c r="H29" s="239">
        <f t="shared" si="10"/>
        <v>1733350</v>
      </c>
      <c r="I29" s="239">
        <f t="shared" si="10"/>
        <v>2297305</v>
      </c>
      <c r="J29" s="239">
        <f>SUM(J22:J28)</f>
        <v>99446</v>
      </c>
      <c r="K29" s="239">
        <f t="shared" si="10"/>
        <v>2817005.7522826246</v>
      </c>
      <c r="L29" s="240">
        <f>K29+J29</f>
        <v>2916451.7522826246</v>
      </c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13"/>
      <c r="AK29" s="103"/>
      <c r="AL29" s="118"/>
      <c r="AM29" s="118"/>
      <c r="AN29" s="121"/>
      <c r="AO29" s="96"/>
      <c r="AP29" s="96"/>
      <c r="AQ29" s="96"/>
      <c r="AR29" s="95"/>
      <c r="AS29" s="95"/>
      <c r="AT29" s="95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89"/>
    </row>
    <row r="30" spans="1:59" s="103" customFormat="1" ht="26.25" thickBot="1" x14ac:dyDescent="0.75">
      <c r="A30" s="122"/>
      <c r="B30" s="123"/>
      <c r="C30" s="123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AJ30" s="113"/>
      <c r="AL30" s="118"/>
      <c r="AM30" s="118"/>
      <c r="AN30" s="120"/>
      <c r="AO30" s="120"/>
      <c r="AP30" s="121"/>
      <c r="AQ30" s="120"/>
      <c r="AR30" s="120"/>
      <c r="AS30" s="120"/>
      <c r="AT30" s="120"/>
      <c r="AU30" s="120"/>
      <c r="AV30" s="120"/>
      <c r="AW30" s="121"/>
      <c r="AX30" s="120"/>
      <c r="AY30" s="120"/>
      <c r="AZ30" s="120"/>
      <c r="BA30" s="121"/>
      <c r="BB30" s="120"/>
      <c r="BC30" s="120"/>
      <c r="BD30" s="120"/>
      <c r="BE30" s="121"/>
      <c r="BF30" s="120"/>
      <c r="BG30" s="118"/>
    </row>
    <row r="31" spans="1:59" x14ac:dyDescent="0.7">
      <c r="A31" s="231" t="s">
        <v>98</v>
      </c>
      <c r="B31" s="232" t="s">
        <v>97</v>
      </c>
      <c r="C31" s="232" t="s">
        <v>96</v>
      </c>
      <c r="D31" s="233" t="s">
        <v>62</v>
      </c>
      <c r="E31" s="233" t="s">
        <v>40</v>
      </c>
      <c r="F31" s="233" t="s">
        <v>55</v>
      </c>
      <c r="G31" s="233" t="s">
        <v>95</v>
      </c>
      <c r="H31" s="233" t="s">
        <v>94</v>
      </c>
      <c r="I31" s="233" t="s">
        <v>39</v>
      </c>
      <c r="J31" s="233" t="s">
        <v>54</v>
      </c>
      <c r="K31" s="233" t="s">
        <v>93</v>
      </c>
      <c r="L31" s="234" t="s">
        <v>38</v>
      </c>
      <c r="N31" s="90" t="s">
        <v>100</v>
      </c>
      <c r="O31" s="91" t="s">
        <v>97</v>
      </c>
      <c r="P31" s="91" t="s">
        <v>96</v>
      </c>
      <c r="Q31" s="92" t="s">
        <v>62</v>
      </c>
      <c r="R31" s="92" t="s">
        <v>40</v>
      </c>
      <c r="S31" s="92" t="s">
        <v>55</v>
      </c>
      <c r="T31" s="92" t="s">
        <v>95</v>
      </c>
      <c r="U31" s="92" t="s">
        <v>94</v>
      </c>
      <c r="V31" s="92" t="s">
        <v>39</v>
      </c>
      <c r="W31" s="92" t="s">
        <v>54</v>
      </c>
      <c r="X31" s="92" t="s">
        <v>93</v>
      </c>
      <c r="Y31" s="93" t="s">
        <v>38</v>
      </c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13"/>
      <c r="AK31" s="103"/>
      <c r="AL31" s="118"/>
      <c r="AM31" s="118"/>
      <c r="AN31" s="121"/>
      <c r="AO31" s="95"/>
      <c r="AP31" s="96"/>
      <c r="AQ31" s="96"/>
      <c r="AR31" s="95"/>
      <c r="AS31" s="95"/>
      <c r="AT31" s="95"/>
      <c r="AU31" s="96"/>
      <c r="AV31" s="95"/>
      <c r="AW31" s="96"/>
      <c r="AX31" s="96"/>
      <c r="AY31" s="96"/>
      <c r="AZ31" s="95"/>
      <c r="BA31" s="96"/>
      <c r="BB31" s="95"/>
      <c r="BC31" s="96"/>
      <c r="BD31" s="95"/>
      <c r="BE31" s="96"/>
      <c r="BF31" s="96"/>
      <c r="BG31" s="89"/>
    </row>
    <row r="32" spans="1:59" x14ac:dyDescent="0.7">
      <c r="A32" s="230" t="s">
        <v>92</v>
      </c>
      <c r="B32" s="154">
        <f t="shared" ref="B32:J32" si="11">B22*1000000/B13</f>
        <v>19984388.635702513</v>
      </c>
      <c r="C32" s="154">
        <f t="shared" si="11"/>
        <v>22511161.363269262</v>
      </c>
      <c r="D32" s="155">
        <f t="shared" si="11"/>
        <v>25783589.847612768</v>
      </c>
      <c r="E32" s="155">
        <f t="shared" si="11"/>
        <v>26482143.334134679</v>
      </c>
      <c r="F32" s="155">
        <f t="shared" si="11"/>
        <v>27377502.468803305</v>
      </c>
      <c r="G32" s="155">
        <f t="shared" si="11"/>
        <v>28102034.216228452</v>
      </c>
      <c r="H32" s="155">
        <f t="shared" si="11"/>
        <v>29184288.729940768</v>
      </c>
      <c r="I32" s="155">
        <f t="shared" si="11"/>
        <v>29965152.92831184</v>
      </c>
      <c r="J32" s="155">
        <f t="shared" si="11"/>
        <v>30242857.142857142</v>
      </c>
      <c r="K32" s="155">
        <f>L32</f>
        <v>40500000</v>
      </c>
      <c r="L32" s="238">
        <f>B125</f>
        <v>40500000</v>
      </c>
      <c r="N32" s="94" t="s">
        <v>92</v>
      </c>
      <c r="O32" s="161">
        <f t="shared" ref="O32:W32" si="12">B32/B32</f>
        <v>1</v>
      </c>
      <c r="P32" s="161">
        <f t="shared" si="12"/>
        <v>1</v>
      </c>
      <c r="Q32" s="161">
        <f t="shared" si="12"/>
        <v>1</v>
      </c>
      <c r="R32" s="161">
        <f t="shared" si="12"/>
        <v>1</v>
      </c>
      <c r="S32" s="161">
        <f t="shared" si="12"/>
        <v>1</v>
      </c>
      <c r="T32" s="161">
        <f t="shared" si="12"/>
        <v>1</v>
      </c>
      <c r="U32" s="161">
        <f t="shared" si="12"/>
        <v>1</v>
      </c>
      <c r="V32" s="161">
        <f t="shared" si="12"/>
        <v>1</v>
      </c>
      <c r="W32" s="161">
        <f t="shared" si="12"/>
        <v>1</v>
      </c>
      <c r="X32" s="161"/>
      <c r="Y32" s="162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18"/>
      <c r="AM32" s="118"/>
      <c r="AN32" s="118"/>
      <c r="AO32" s="89"/>
      <c r="AP32" s="89"/>
      <c r="AQ32" s="96"/>
      <c r="AR32" s="89"/>
      <c r="AS32" s="89"/>
      <c r="AT32" s="95"/>
      <c r="AU32" s="89"/>
      <c r="AV32" s="89"/>
      <c r="AW32" s="89"/>
      <c r="AX32" s="96"/>
      <c r="AY32" s="89"/>
      <c r="AZ32" s="89"/>
      <c r="BA32" s="89"/>
      <c r="BB32" s="96"/>
      <c r="BC32" s="96"/>
      <c r="BD32" s="96"/>
      <c r="BE32" s="89"/>
      <c r="BF32" s="96"/>
      <c r="BG32" s="89"/>
    </row>
    <row r="33" spans="1:59" x14ac:dyDescent="0.7">
      <c r="A33" s="230" t="s">
        <v>91</v>
      </c>
      <c r="B33" s="154">
        <f>B23*1000000/B14</f>
        <v>19761141.304347824</v>
      </c>
      <c r="C33" s="154">
        <f>C23*1000000/C14</f>
        <v>21866020.273248129</v>
      </c>
      <c r="D33" s="155">
        <f>D23*1000000/D14</f>
        <v>25238532.110091742</v>
      </c>
      <c r="E33" s="155">
        <f>E23*1000000/E14</f>
        <v>26003176.872369152</v>
      </c>
      <c r="F33" s="155"/>
      <c r="G33" s="155">
        <f>G23*1000000/G14</f>
        <v>28775169.857936997</v>
      </c>
      <c r="H33" s="155">
        <f>H23*1000000/H14</f>
        <v>28768424.298489053</v>
      </c>
      <c r="I33" s="155">
        <f>I23*1000000/I14</f>
        <v>28777297.964219619</v>
      </c>
      <c r="J33" s="155"/>
      <c r="K33" s="155">
        <f t="shared" ref="K33:K38" si="13">L33</f>
        <v>39869395.006802969</v>
      </c>
      <c r="L33" s="238">
        <f>L32*Y35</f>
        <v>39869395.006802969</v>
      </c>
      <c r="N33" s="94" t="s">
        <v>89</v>
      </c>
      <c r="O33" s="161">
        <f t="shared" ref="O33:W33" si="14">B35/B32</f>
        <v>0.30411716190772159</v>
      </c>
      <c r="P33" s="161">
        <f t="shared" si="14"/>
        <v>0.20425378662387164</v>
      </c>
      <c r="Q33" s="161">
        <f t="shared" si="14"/>
        <v>0.18614921543156102</v>
      </c>
      <c r="R33" s="161">
        <f t="shared" si="14"/>
        <v>0.30961602669449007</v>
      </c>
      <c r="S33" s="161">
        <f t="shared" si="14"/>
        <v>0.36135764900944645</v>
      </c>
      <c r="T33" s="161">
        <f t="shared" si="14"/>
        <v>0.26096887185765311</v>
      </c>
      <c r="U33" s="161">
        <f t="shared" si="14"/>
        <v>0.35241092489472731</v>
      </c>
      <c r="V33" s="161">
        <f t="shared" si="14"/>
        <v>0.34643806622399925</v>
      </c>
      <c r="W33" s="161">
        <f t="shared" si="14"/>
        <v>0.71861574105315251</v>
      </c>
      <c r="X33" s="161"/>
      <c r="Y33" s="162">
        <f>W33</f>
        <v>0.71861574105315251</v>
      </c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18"/>
      <c r="AM33" s="118"/>
      <c r="AN33" s="118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</row>
    <row r="34" spans="1:59" x14ac:dyDescent="0.7">
      <c r="A34" s="230" t="s">
        <v>90</v>
      </c>
      <c r="B34" s="154">
        <f t="shared" ref="B34:C38" si="15">B24*1000000/B15</f>
        <v>19993333.333333332</v>
      </c>
      <c r="C34" s="154">
        <f t="shared" si="15"/>
        <v>22391901.166781057</v>
      </c>
      <c r="D34" s="155"/>
      <c r="E34" s="155"/>
      <c r="F34" s="155"/>
      <c r="G34" s="155"/>
      <c r="H34" s="155"/>
      <c r="I34" s="155">
        <f>I24*1000000/I15</f>
        <v>32750000</v>
      </c>
      <c r="J34" s="155"/>
      <c r="K34" s="155">
        <f t="shared" si="13"/>
        <v>41689160.279628679</v>
      </c>
      <c r="L34" s="238">
        <f>L32*Y36</f>
        <v>41689160.279628679</v>
      </c>
      <c r="N34" s="94" t="s">
        <v>86</v>
      </c>
      <c r="O34" s="161">
        <f t="shared" ref="O34:W34" si="16">B38/B32</f>
        <v>0.21052396102797247</v>
      </c>
      <c r="P34" s="161">
        <f t="shared" si="16"/>
        <v>0.15918848329971702</v>
      </c>
      <c r="Q34" s="161">
        <f t="shared" si="16"/>
        <v>0.12527415581372348</v>
      </c>
      <c r="R34" s="161">
        <f t="shared" si="16"/>
        <v>0.12699855677077634</v>
      </c>
      <c r="S34" s="161">
        <f t="shared" si="16"/>
        <v>0.10983247207946065</v>
      </c>
      <c r="T34" s="161">
        <f t="shared" si="16"/>
        <v>0.10920159111919713</v>
      </c>
      <c r="U34" s="161">
        <f t="shared" si="16"/>
        <v>0.15692567009992875</v>
      </c>
      <c r="V34" s="161">
        <f t="shared" si="16"/>
        <v>0.22218097877119189</v>
      </c>
      <c r="W34" s="161">
        <f t="shared" si="16"/>
        <v>0.69854094889522378</v>
      </c>
      <c r="X34" s="161"/>
      <c r="Y34" s="162">
        <f>W34</f>
        <v>0.69854094889522378</v>
      </c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18"/>
      <c r="AM34" s="118"/>
      <c r="AN34" s="118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</row>
    <row r="35" spans="1:59" x14ac:dyDescent="0.7">
      <c r="A35" s="230" t="s">
        <v>89</v>
      </c>
      <c r="B35" s="154">
        <f t="shared" si="15"/>
        <v>6077595.5543507729</v>
      </c>
      <c r="C35" s="154">
        <f t="shared" si="15"/>
        <v>4597989.9497487433</v>
      </c>
      <c r="D35" s="155">
        <f>D25*1000000/D16</f>
        <v>4799595.0211422788</v>
      </c>
      <c r="E35" s="155">
        <f>E25*1000000/E16</f>
        <v>8199295.9974687546</v>
      </c>
      <c r="F35" s="155">
        <f>F25*1000000/F16</f>
        <v>9893069.9278770778</v>
      </c>
      <c r="G35" s="155">
        <f>G25*1000000/G16</f>
        <v>7333756.1663143057</v>
      </c>
      <c r="H35" s="155">
        <f>H25*1000000/H16</f>
        <v>10284862.183713192</v>
      </c>
      <c r="I35" s="155">
        <f>I25*1000000/I16</f>
        <v>10381069.634590762</v>
      </c>
      <c r="J35" s="155">
        <f>J25*1000000/J16</f>
        <v>21732993.197278913</v>
      </c>
      <c r="K35" s="155">
        <f t="shared" si="13"/>
        <v>29103937.512652677</v>
      </c>
      <c r="L35" s="238">
        <f>L32*Y33</f>
        <v>29103937.512652677</v>
      </c>
      <c r="N35" s="94" t="s">
        <v>91</v>
      </c>
      <c r="O35" s="161">
        <f t="shared" ref="O35:W35" si="17">B33/B32</f>
        <v>0.98882891363732528</v>
      </c>
      <c r="P35" s="161">
        <f t="shared" si="17"/>
        <v>0.97134127912770463</v>
      </c>
      <c r="Q35" s="161">
        <f t="shared" si="17"/>
        <v>0.97886028513707946</v>
      </c>
      <c r="R35" s="161">
        <f t="shared" si="17"/>
        <v>0.98191360662457583</v>
      </c>
      <c r="S35" s="161">
        <f t="shared" si="17"/>
        <v>0</v>
      </c>
      <c r="T35" s="161">
        <f t="shared" si="17"/>
        <v>1.0239532710169366</v>
      </c>
      <c r="U35" s="161">
        <f t="shared" si="17"/>
        <v>0.98575040031641847</v>
      </c>
      <c r="V35" s="161">
        <f t="shared" si="17"/>
        <v>0.96035878852565759</v>
      </c>
      <c r="W35" s="161">
        <f t="shared" si="17"/>
        <v>0</v>
      </c>
      <c r="X35" s="163"/>
      <c r="Y35" s="164">
        <f>AVERAGE(V35,R35,Q35,P35,O35,T35,U35)</f>
        <v>0.98442950634081405</v>
      </c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18"/>
      <c r="AM35" s="118"/>
      <c r="AN35" s="118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</row>
    <row r="36" spans="1:59" x14ac:dyDescent="0.7">
      <c r="A36" s="230" t="s">
        <v>88</v>
      </c>
      <c r="B36" s="154">
        <f t="shared" si="15"/>
        <v>931565.55079421331</v>
      </c>
      <c r="C36" s="154">
        <f t="shared" si="15"/>
        <v>938713.80988982832</v>
      </c>
      <c r="D36" s="155">
        <f t="shared" ref="D36:E38" si="18">D26*1000000/D17</f>
        <v>1203066.8677727501</v>
      </c>
      <c r="E36" s="155">
        <f t="shared" si="18"/>
        <v>1373563.2183908045</v>
      </c>
      <c r="F36" s="155"/>
      <c r="G36" s="155"/>
      <c r="H36" s="155">
        <f>H26*1000000/H17</f>
        <v>1199865.8618376928</v>
      </c>
      <c r="I36" s="155"/>
      <c r="J36" s="155">
        <f>J26*1000000/J17</f>
        <v>2169929.8502774579</v>
      </c>
      <c r="K36" s="155">
        <f t="shared" si="13"/>
        <v>2023014.6326873943</v>
      </c>
      <c r="L36" s="238">
        <f>L32*Y37</f>
        <v>2023014.6326873943</v>
      </c>
      <c r="N36" s="94" t="s">
        <v>90</v>
      </c>
      <c r="O36" s="161">
        <f t="shared" ref="O36:W36" si="19">B34/B32</f>
        <v>1.0004475842515812</v>
      </c>
      <c r="P36" s="161">
        <f t="shared" si="19"/>
        <v>0.99470217486500723</v>
      </c>
      <c r="Q36" s="161">
        <f t="shared" si="19"/>
        <v>0</v>
      </c>
      <c r="R36" s="161">
        <f t="shared" si="19"/>
        <v>0</v>
      </c>
      <c r="S36" s="161">
        <f t="shared" si="19"/>
        <v>0</v>
      </c>
      <c r="T36" s="161">
        <f t="shared" si="19"/>
        <v>0</v>
      </c>
      <c r="U36" s="161">
        <f t="shared" si="19"/>
        <v>0</v>
      </c>
      <c r="V36" s="161">
        <f t="shared" si="19"/>
        <v>1.0929361875225727</v>
      </c>
      <c r="W36" s="161">
        <f t="shared" si="19"/>
        <v>0</v>
      </c>
      <c r="X36" s="163"/>
      <c r="Y36" s="164">
        <f>AVERAGE(V36,O36:P36)</f>
        <v>1.0293619822130538</v>
      </c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</row>
    <row r="37" spans="1:59" x14ac:dyDescent="0.7">
      <c r="A37" s="230" t="s">
        <v>87</v>
      </c>
      <c r="B37" s="154">
        <f t="shared" si="15"/>
        <v>25622754.491017964</v>
      </c>
      <c r="C37" s="154">
        <f t="shared" si="15"/>
        <v>26366972.477064218</v>
      </c>
      <c r="D37" s="155">
        <f t="shared" si="18"/>
        <v>28652173.913043477</v>
      </c>
      <c r="E37" s="155">
        <f t="shared" si="18"/>
        <v>9000000</v>
      </c>
      <c r="F37" s="155"/>
      <c r="G37" s="155"/>
      <c r="H37" s="155"/>
      <c r="I37" s="155"/>
      <c r="J37" s="155">
        <f>J27*1000000/J18</f>
        <v>29761904.761904761</v>
      </c>
      <c r="K37" s="155">
        <f t="shared" si="13"/>
        <v>46056358.243127659</v>
      </c>
      <c r="L37" s="238">
        <f>L32*Y38</f>
        <v>46056358.243127659</v>
      </c>
      <c r="N37" s="94" t="s">
        <v>88</v>
      </c>
      <c r="O37" s="161">
        <f t="shared" ref="O37:W37" si="20">B36/B32</f>
        <v>4.6614663464358011E-2</v>
      </c>
      <c r="P37" s="161">
        <f t="shared" si="20"/>
        <v>4.1699928081964599E-2</v>
      </c>
      <c r="Q37" s="161">
        <f t="shared" si="20"/>
        <v>4.6660177069336166E-2</v>
      </c>
      <c r="R37" s="161">
        <f t="shared" si="20"/>
        <v>5.1867524507365807E-2</v>
      </c>
      <c r="S37" s="161">
        <f t="shared" si="20"/>
        <v>0</v>
      </c>
      <c r="T37" s="161">
        <f t="shared" si="20"/>
        <v>0</v>
      </c>
      <c r="U37" s="161">
        <f t="shared" si="20"/>
        <v>4.1113418008598766E-2</v>
      </c>
      <c r="V37" s="161">
        <f t="shared" si="20"/>
        <v>0</v>
      </c>
      <c r="W37" s="161">
        <f t="shared" si="20"/>
        <v>7.1750160377620248E-2</v>
      </c>
      <c r="X37" s="163"/>
      <c r="Y37" s="164">
        <f>AVERAGE(W37,U37,O37:R37)</f>
        <v>4.9950978584873934E-2</v>
      </c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</row>
    <row r="38" spans="1:59" ht="26.25" thickBot="1" x14ac:dyDescent="0.75">
      <c r="A38" s="235" t="s">
        <v>86</v>
      </c>
      <c r="B38" s="236">
        <f t="shared" si="15"/>
        <v>4207192.6543104919</v>
      </c>
      <c r="C38" s="236">
        <f t="shared" si="15"/>
        <v>3583517.6347340238</v>
      </c>
      <c r="D38" s="239">
        <f t="shared" si="18"/>
        <v>3230017.4520069808</v>
      </c>
      <c r="E38" s="239">
        <f t="shared" si="18"/>
        <v>3363193.9836319396</v>
      </c>
      <c r="F38" s="239">
        <f>F28*1000000/F19</f>
        <v>3006938.775510204</v>
      </c>
      <c r="G38" s="239">
        <f>G28*1000000/G19</f>
        <v>3068786.8500982667</v>
      </c>
      <c r="H38" s="239">
        <f>H28*1000000/H19</f>
        <v>4579764.0653357534</v>
      </c>
      <c r="I38" s="239">
        <f>I28*1000000/I19</f>
        <v>6657687.0066407714</v>
      </c>
      <c r="J38" s="239">
        <f>J28*1000000/J19</f>
        <v>21125874.125874124</v>
      </c>
      <c r="K38" s="239">
        <f t="shared" si="13"/>
        <v>28290908.430256564</v>
      </c>
      <c r="L38" s="240">
        <f>L32*Y34</f>
        <v>28290908.430256564</v>
      </c>
      <c r="N38" s="97" t="s">
        <v>87</v>
      </c>
      <c r="O38" s="165">
        <f t="shared" ref="O38:W38" si="21">B37/B32</f>
        <v>1.2821385211275564</v>
      </c>
      <c r="P38" s="165">
        <f t="shared" si="21"/>
        <v>1.1712844153872204</v>
      </c>
      <c r="Q38" s="165">
        <f t="shared" si="21"/>
        <v>1.1112561936636727</v>
      </c>
      <c r="R38" s="165">
        <f t="shared" si="21"/>
        <v>0.33985164593529227</v>
      </c>
      <c r="S38" s="165">
        <f t="shared" si="21"/>
        <v>0</v>
      </c>
      <c r="T38" s="165">
        <f t="shared" si="21"/>
        <v>0</v>
      </c>
      <c r="U38" s="165">
        <f t="shared" si="21"/>
        <v>0</v>
      </c>
      <c r="V38" s="165">
        <f t="shared" si="21"/>
        <v>0</v>
      </c>
      <c r="W38" s="165">
        <f t="shared" si="21"/>
        <v>0.9840969925995906</v>
      </c>
      <c r="X38" s="166"/>
      <c r="Y38" s="167">
        <f>AVERAGE(W38,O38:Q38)</f>
        <v>1.1371940306945101</v>
      </c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</row>
    <row r="39" spans="1:59" s="103" customFormat="1" x14ac:dyDescent="0.7">
      <c r="A39" s="122"/>
      <c r="B39" s="124"/>
      <c r="C39" s="124"/>
      <c r="D39" s="125"/>
      <c r="E39" s="125"/>
      <c r="F39" s="125"/>
      <c r="G39" s="125"/>
      <c r="H39" s="125"/>
      <c r="I39" s="125"/>
      <c r="J39" s="125"/>
      <c r="K39" s="125"/>
      <c r="L39" s="125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</row>
    <row r="40" spans="1:59" ht="26.25" thickBot="1" x14ac:dyDescent="0.75">
      <c r="A40" s="247" t="s">
        <v>58</v>
      </c>
      <c r="B40" s="248" t="s">
        <v>85</v>
      </c>
      <c r="C40" s="248" t="s">
        <v>84</v>
      </c>
      <c r="D40" s="248" t="s">
        <v>83</v>
      </c>
      <c r="E40" s="248" t="s">
        <v>61</v>
      </c>
      <c r="F40" s="248" t="s">
        <v>38</v>
      </c>
      <c r="G40" s="103"/>
      <c r="H40" s="103"/>
      <c r="I40" s="103"/>
      <c r="J40" s="103"/>
      <c r="K40" s="103"/>
      <c r="L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18"/>
      <c r="AC40" s="118"/>
      <c r="AD40" s="118"/>
      <c r="AE40" s="118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</row>
    <row r="41" spans="1:59" ht="26.25" thickBot="1" x14ac:dyDescent="0.75">
      <c r="A41" s="246" t="s">
        <v>82</v>
      </c>
      <c r="B41" s="512">
        <v>242547</v>
      </c>
      <c r="C41" s="512">
        <v>1103761</v>
      </c>
      <c r="D41" s="512">
        <v>281102</v>
      </c>
      <c r="E41" s="513">
        <f>G67</f>
        <v>1414676.1798128239</v>
      </c>
      <c r="F41" s="513">
        <f>E41+D41</f>
        <v>1695778.1798128239</v>
      </c>
      <c r="G41" s="103"/>
      <c r="H41" s="103"/>
      <c r="I41" s="103"/>
      <c r="J41" s="103"/>
      <c r="K41" s="103"/>
      <c r="L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</row>
    <row r="42" spans="1:59" ht="26.25" thickBot="1" x14ac:dyDescent="0.75">
      <c r="A42" s="246" t="s">
        <v>81</v>
      </c>
      <c r="B42" s="512">
        <v>8099</v>
      </c>
      <c r="C42" s="512">
        <v>34076</v>
      </c>
      <c r="D42" s="512">
        <v>9909</v>
      </c>
      <c r="E42" s="513">
        <f>F42-D42</f>
        <v>30982.199999999997</v>
      </c>
      <c r="F42" s="513">
        <f>C42*1.2</f>
        <v>40891.199999999997</v>
      </c>
      <c r="G42" s="103"/>
      <c r="H42" s="103"/>
      <c r="I42" s="103"/>
      <c r="J42" s="103"/>
      <c r="K42" s="103"/>
      <c r="L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</row>
    <row r="43" spans="1:59" s="98" customFormat="1" ht="26.25" thickBot="1" x14ac:dyDescent="0.75">
      <c r="A43" s="246" t="s">
        <v>80</v>
      </c>
      <c r="B43" s="512">
        <v>61036</v>
      </c>
      <c r="C43" s="512">
        <v>249145</v>
      </c>
      <c r="D43" s="512">
        <v>75567</v>
      </c>
      <c r="E43" s="513">
        <f>F85</f>
        <v>232641.6</v>
      </c>
      <c r="F43" s="513">
        <f>G85</f>
        <v>308208.59999999998</v>
      </c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</row>
    <row r="44" spans="1:59" ht="26.25" thickBot="1" x14ac:dyDescent="0.75">
      <c r="A44" s="246" t="s">
        <v>42</v>
      </c>
      <c r="B44" s="512">
        <f>SUM(B41:B43)</f>
        <v>311682</v>
      </c>
      <c r="C44" s="512">
        <f>SUM(C41:C43)</f>
        <v>1386982</v>
      </c>
      <c r="D44" s="512">
        <f>SUM(D41:D43)</f>
        <v>366578</v>
      </c>
      <c r="E44" s="512">
        <f>SUM(E41:E43)</f>
        <v>1678299.9798128239</v>
      </c>
      <c r="F44" s="512">
        <f>SUM(F41:F43)</f>
        <v>2044877.9798128237</v>
      </c>
      <c r="G44" s="103"/>
      <c r="H44" s="103"/>
      <c r="I44" s="103"/>
      <c r="J44" s="103"/>
      <c r="K44" s="103"/>
      <c r="L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</row>
    <row r="45" spans="1:59" ht="26.25" thickBot="1" x14ac:dyDescent="0.75">
      <c r="A45" s="246" t="s">
        <v>79</v>
      </c>
      <c r="B45" s="512"/>
      <c r="C45" s="512">
        <v>0</v>
      </c>
      <c r="D45" s="512">
        <v>0</v>
      </c>
      <c r="E45" s="513">
        <v>0</v>
      </c>
      <c r="F45" s="513">
        <v>0</v>
      </c>
      <c r="G45" s="103"/>
      <c r="H45" s="103"/>
      <c r="I45" s="103"/>
      <c r="J45" s="103"/>
      <c r="K45" s="103"/>
      <c r="L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</row>
    <row r="46" spans="1:59" ht="26.25" thickBot="1" x14ac:dyDescent="0.75">
      <c r="A46" s="246" t="s">
        <v>78</v>
      </c>
      <c r="B46" s="512">
        <f>SUM(B44:B45)</f>
        <v>311682</v>
      </c>
      <c r="C46" s="512">
        <f>SUM(C44:C45)</f>
        <v>1386982</v>
      </c>
      <c r="D46" s="512">
        <f>SUM(D44:D45)</f>
        <v>366578</v>
      </c>
      <c r="E46" s="512">
        <f>SUM(E44:E45)</f>
        <v>1678299.9798128239</v>
      </c>
      <c r="F46" s="512">
        <f>E46+D46</f>
        <v>2044877.9798128239</v>
      </c>
      <c r="G46" s="103"/>
      <c r="H46" s="103"/>
      <c r="I46" s="103"/>
      <c r="J46" s="103"/>
      <c r="K46" s="103"/>
      <c r="L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</row>
    <row r="47" spans="1:59" ht="26.25" thickBot="1" x14ac:dyDescent="0.75">
      <c r="A47" s="246" t="s">
        <v>77</v>
      </c>
      <c r="B47" s="512"/>
      <c r="C47" s="512">
        <v>31026</v>
      </c>
      <c r="D47" s="512">
        <v>0</v>
      </c>
      <c r="E47" s="513">
        <v>0</v>
      </c>
      <c r="F47" s="513">
        <v>0</v>
      </c>
      <c r="G47" s="103"/>
      <c r="H47" s="103"/>
      <c r="I47" s="103"/>
      <c r="J47" s="103"/>
      <c r="K47" s="103"/>
      <c r="L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</row>
    <row r="48" spans="1:59" ht="26.25" thickBot="1" x14ac:dyDescent="0.75">
      <c r="A48" s="246" t="s">
        <v>76</v>
      </c>
      <c r="B48" s="512">
        <v>-4176</v>
      </c>
      <c r="C48" s="512">
        <v>0</v>
      </c>
      <c r="D48" s="512">
        <v>0</v>
      </c>
      <c r="E48" s="513">
        <v>0</v>
      </c>
      <c r="F48" s="513">
        <v>0</v>
      </c>
      <c r="G48" s="103"/>
      <c r="H48" s="103"/>
      <c r="I48" s="103"/>
      <c r="J48" s="103"/>
      <c r="K48" s="103"/>
      <c r="L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</row>
    <row r="49" spans="1:41" ht="26.25" thickBot="1" x14ac:dyDescent="0.75">
      <c r="A49" s="246" t="s">
        <v>75</v>
      </c>
      <c r="B49" s="512"/>
      <c r="C49" s="512">
        <v>0</v>
      </c>
      <c r="D49" s="512">
        <v>0</v>
      </c>
      <c r="E49" s="513">
        <v>0</v>
      </c>
      <c r="F49" s="513">
        <v>0</v>
      </c>
      <c r="G49" s="103"/>
      <c r="H49" s="103"/>
      <c r="I49" s="103"/>
      <c r="J49" s="103"/>
      <c r="K49" s="103"/>
      <c r="L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</row>
    <row r="50" spans="1:41" ht="26.25" thickBot="1" x14ac:dyDescent="0.75">
      <c r="A50" s="246" t="s">
        <v>74</v>
      </c>
      <c r="B50" s="512">
        <f>SUM(B46:B49)</f>
        <v>307506</v>
      </c>
      <c r="C50" s="512">
        <v>1418008</v>
      </c>
      <c r="D50" s="512">
        <v>366578</v>
      </c>
      <c r="E50" s="513">
        <f>SUM(E46:E49)</f>
        <v>1678299.9798128239</v>
      </c>
      <c r="F50" s="513">
        <f>E50+D50</f>
        <v>2044877.9798128239</v>
      </c>
      <c r="G50" s="103"/>
      <c r="H50" s="103"/>
      <c r="I50" s="103"/>
      <c r="J50" s="103"/>
      <c r="K50" s="103"/>
      <c r="L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</row>
    <row r="51" spans="1:41" ht="26.25" thickBot="1" x14ac:dyDescent="0.75">
      <c r="A51" s="246" t="s">
        <v>73</v>
      </c>
      <c r="B51" s="512">
        <v>494834</v>
      </c>
      <c r="C51" s="512">
        <v>494834</v>
      </c>
      <c r="D51" s="512">
        <v>15601</v>
      </c>
      <c r="E51" s="513">
        <v>15601</v>
      </c>
      <c r="F51" s="513"/>
      <c r="G51" s="103"/>
      <c r="H51" s="103"/>
      <c r="I51" s="113"/>
      <c r="J51" s="103"/>
      <c r="K51" s="103"/>
      <c r="L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</row>
    <row r="52" spans="1:41" ht="26.25" thickBot="1" x14ac:dyDescent="0.75">
      <c r="A52" s="246" t="s">
        <v>72</v>
      </c>
      <c r="B52" s="512">
        <v>-532751</v>
      </c>
      <c r="C52" s="512">
        <v>-15601</v>
      </c>
      <c r="D52" s="512">
        <v>-313363</v>
      </c>
      <c r="E52" s="513">
        <v>-15668.150000000001</v>
      </c>
      <c r="F52" s="513">
        <f>Table7[[#This Row],[کارشناسی نه ماهه]]</f>
        <v>-15668.150000000001</v>
      </c>
      <c r="G52" s="103"/>
      <c r="H52" s="103"/>
      <c r="I52" s="103"/>
      <c r="J52" s="103"/>
      <c r="K52" s="103"/>
      <c r="L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</row>
    <row r="53" spans="1:41" ht="26.25" thickBot="1" x14ac:dyDescent="0.75">
      <c r="A53" s="246" t="s">
        <v>71</v>
      </c>
      <c r="B53" s="512">
        <f>SUM(B50:B52)</f>
        <v>269589</v>
      </c>
      <c r="C53" s="512">
        <v>1897241</v>
      </c>
      <c r="D53" s="512">
        <v>68816</v>
      </c>
      <c r="E53" s="513">
        <f>SUM(E50:E52)</f>
        <v>1678232.829812824</v>
      </c>
      <c r="F53" s="513">
        <f>E53+D53</f>
        <v>1747048.829812824</v>
      </c>
      <c r="G53" s="103"/>
      <c r="H53" s="103"/>
      <c r="I53" s="103"/>
      <c r="J53" s="103"/>
      <c r="K53" s="103"/>
      <c r="L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</row>
    <row r="54" spans="1:41" ht="26.25" thickBot="1" x14ac:dyDescent="0.75">
      <c r="A54" s="246" t="s">
        <v>70</v>
      </c>
      <c r="B54" s="512">
        <v>0</v>
      </c>
      <c r="C54" s="512">
        <v>0</v>
      </c>
      <c r="D54" s="512">
        <v>0</v>
      </c>
      <c r="E54" s="513">
        <v>0</v>
      </c>
      <c r="F54" s="513">
        <v>0</v>
      </c>
      <c r="G54" s="103"/>
      <c r="H54" s="103"/>
      <c r="I54" s="103"/>
      <c r="J54" s="103"/>
      <c r="K54" s="103"/>
      <c r="L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</row>
    <row r="55" spans="1:41" x14ac:dyDescent="0.7">
      <c r="A55" s="246" t="s">
        <v>69</v>
      </c>
      <c r="B55" s="512">
        <f>SUM(B53:B54)</f>
        <v>269589</v>
      </c>
      <c r="C55" s="512">
        <v>1897241</v>
      </c>
      <c r="D55" s="512">
        <v>68816</v>
      </c>
      <c r="E55" s="513">
        <f>SUM(E53:E54)</f>
        <v>1678232.829812824</v>
      </c>
      <c r="F55" s="513">
        <f>E55+D55</f>
        <v>1747048.829812824</v>
      </c>
      <c r="G55" s="103"/>
      <c r="H55" s="103"/>
      <c r="I55" s="103"/>
      <c r="J55" s="103"/>
      <c r="K55" s="103"/>
      <c r="L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</row>
    <row r="56" spans="1:41" s="103" customFormat="1" x14ac:dyDescent="0.7">
      <c r="A56" s="101"/>
      <c r="B56" s="102"/>
      <c r="C56" s="102"/>
    </row>
    <row r="57" spans="1:41" x14ac:dyDescent="0.7">
      <c r="A57" s="247" t="s">
        <v>68</v>
      </c>
      <c r="B57" s="248" t="s">
        <v>62</v>
      </c>
      <c r="C57" s="248" t="s">
        <v>40</v>
      </c>
      <c r="D57" s="248" t="s">
        <v>55</v>
      </c>
      <c r="E57" s="248" t="s">
        <v>39</v>
      </c>
      <c r="F57" s="248" t="s">
        <v>54</v>
      </c>
      <c r="G57" s="248" t="s">
        <v>61</v>
      </c>
      <c r="H57" s="253" t="s">
        <v>38</v>
      </c>
      <c r="I57" s="103"/>
      <c r="J57" s="116" t="s">
        <v>2509</v>
      </c>
      <c r="K57" s="116"/>
      <c r="L57" s="116"/>
      <c r="M57" s="116"/>
      <c r="N57" s="116"/>
      <c r="O57" s="118"/>
      <c r="P57" s="118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</row>
    <row r="58" spans="1:41" x14ac:dyDescent="0.7">
      <c r="A58" s="249" t="s">
        <v>60</v>
      </c>
      <c r="B58" s="153">
        <v>256181</v>
      </c>
      <c r="C58" s="153">
        <v>432356</v>
      </c>
      <c r="D58" s="153">
        <v>86008</v>
      </c>
      <c r="E58" s="153">
        <v>365967</v>
      </c>
      <c r="F58" s="153">
        <v>72575</v>
      </c>
      <c r="G58" s="153">
        <f>H58-F58</f>
        <v>231425</v>
      </c>
      <c r="H58" s="251">
        <f>B127</f>
        <v>304000</v>
      </c>
      <c r="I58" s="103"/>
      <c r="J58" s="304" t="s">
        <v>62</v>
      </c>
      <c r="K58" s="304" t="s">
        <v>40</v>
      </c>
      <c r="L58" s="116" t="s">
        <v>55</v>
      </c>
      <c r="M58" s="116" t="s">
        <v>39</v>
      </c>
      <c r="N58" s="116" t="s">
        <v>54</v>
      </c>
      <c r="O58" s="118"/>
      <c r="P58" s="118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</row>
    <row r="59" spans="1:41" x14ac:dyDescent="0.7">
      <c r="A59" s="249" t="s">
        <v>59</v>
      </c>
      <c r="B59" s="153">
        <v>1524266</v>
      </c>
      <c r="C59" s="153">
        <v>1434500</v>
      </c>
      <c r="D59" s="153">
        <v>228500</v>
      </c>
      <c r="E59" s="153">
        <v>1265229</v>
      </c>
      <c r="F59" s="153">
        <v>381750</v>
      </c>
      <c r="G59" s="153">
        <f>H59-F59</f>
        <v>873274.59447907517</v>
      </c>
      <c r="H59" s="252">
        <f>H58*M60</f>
        <v>1255024.5944790752</v>
      </c>
      <c r="I59" s="103"/>
      <c r="J59" s="168">
        <f t="shared" ref="J59:K59" si="22">B59/B58</f>
        <v>5.9499572567832901</v>
      </c>
      <c r="K59" s="168">
        <f t="shared" si="22"/>
        <v>3.3178676831129903</v>
      </c>
      <c r="L59" s="168">
        <f>D59/D58</f>
        <v>2.656729606548228</v>
      </c>
      <c r="M59" s="168">
        <f>E59/E58</f>
        <v>3.4572215527629542</v>
      </c>
      <c r="N59" s="168">
        <f>F59/F58</f>
        <v>5.2600757836720637</v>
      </c>
      <c r="O59" s="118"/>
      <c r="P59" s="118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</row>
    <row r="60" spans="1:41" x14ac:dyDescent="0.7">
      <c r="A60" s="249" t="s">
        <v>64</v>
      </c>
      <c r="B60" s="153">
        <f t="shared" ref="B60:G60" si="23">SUM(B58:B59)</f>
        <v>1780447</v>
      </c>
      <c r="C60" s="153">
        <f t="shared" si="23"/>
        <v>1866856</v>
      </c>
      <c r="D60" s="153">
        <f t="shared" si="23"/>
        <v>314508</v>
      </c>
      <c r="E60" s="153">
        <f t="shared" si="23"/>
        <v>1631196</v>
      </c>
      <c r="F60" s="153">
        <f t="shared" si="23"/>
        <v>454325</v>
      </c>
      <c r="G60" s="153">
        <f t="shared" si="23"/>
        <v>1104699.5944790752</v>
      </c>
      <c r="H60" s="251">
        <f>G60+F60</f>
        <v>1559024.5944790752</v>
      </c>
      <c r="I60" s="103"/>
      <c r="J60" s="169"/>
      <c r="K60" s="169"/>
      <c r="L60" s="169"/>
      <c r="M60" s="170">
        <f>AVERAGE(J59:N59)</f>
        <v>4.128370376575905</v>
      </c>
      <c r="N60" s="169"/>
      <c r="O60" s="118"/>
      <c r="P60" s="118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</row>
    <row r="61" spans="1:41" x14ac:dyDescent="0.7">
      <c r="A61" s="250" t="s">
        <v>67</v>
      </c>
      <c r="B61" s="345">
        <f>D4</f>
        <v>34085</v>
      </c>
      <c r="C61" s="345">
        <f>E4</f>
        <v>54213</v>
      </c>
      <c r="D61" s="345">
        <f>F4</f>
        <v>10256</v>
      </c>
      <c r="E61" s="345">
        <f>I4</f>
        <v>44697</v>
      </c>
      <c r="F61" s="345">
        <f>J4</f>
        <v>7604</v>
      </c>
      <c r="G61" s="344"/>
      <c r="H61" s="346"/>
      <c r="I61" s="103"/>
      <c r="J61" s="169"/>
      <c r="K61" s="169"/>
      <c r="L61" s="169"/>
      <c r="M61" s="169"/>
      <c r="N61" s="171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</row>
    <row r="62" spans="1:41" x14ac:dyDescent="0.7">
      <c r="A62" s="254" t="s">
        <v>66</v>
      </c>
      <c r="B62" s="255">
        <f>B58/B61</f>
        <v>7.5159454305412936</v>
      </c>
      <c r="C62" s="255">
        <f>C58/C61</f>
        <v>7.9751351151937726</v>
      </c>
      <c r="D62" s="255">
        <f>D58/D61</f>
        <v>8.3861154446177846</v>
      </c>
      <c r="E62" s="255">
        <f>E58/E61</f>
        <v>8.1877307201825626</v>
      </c>
      <c r="F62" s="255">
        <f>F58/F61</f>
        <v>9.5443187795896893</v>
      </c>
      <c r="G62" s="256"/>
      <c r="H62" s="257"/>
      <c r="I62" s="103"/>
      <c r="J62" s="169"/>
      <c r="K62" s="169"/>
      <c r="L62" s="169"/>
      <c r="M62" s="169"/>
      <c r="N62" s="169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</row>
    <row r="63" spans="1:41" s="103" customFormat="1" x14ac:dyDescent="0.7"/>
    <row r="64" spans="1:41" ht="26.25" thickBot="1" x14ac:dyDescent="0.75">
      <c r="A64" s="247" t="s">
        <v>65</v>
      </c>
      <c r="B64" s="248" t="s">
        <v>62</v>
      </c>
      <c r="C64" s="248" t="s">
        <v>40</v>
      </c>
      <c r="D64" s="248" t="s">
        <v>55</v>
      </c>
      <c r="E64" s="248" t="s">
        <v>39</v>
      </c>
      <c r="F64" s="248" t="s">
        <v>54</v>
      </c>
      <c r="G64" s="248" t="s">
        <v>61</v>
      </c>
      <c r="H64" s="248" t="s">
        <v>38</v>
      </c>
      <c r="I64" s="103"/>
      <c r="J64" s="103"/>
      <c r="K64" s="103"/>
      <c r="L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</row>
    <row r="65" spans="1:41" ht="26.25" thickBot="1" x14ac:dyDescent="0.75">
      <c r="A65" s="246" t="s">
        <v>60</v>
      </c>
      <c r="B65" s="149">
        <v>763806</v>
      </c>
      <c r="C65" s="149">
        <v>1246782</v>
      </c>
      <c r="D65" s="149">
        <v>240706</v>
      </c>
      <c r="E65" s="149">
        <v>1083056</v>
      </c>
      <c r="F65" s="149">
        <v>269681</v>
      </c>
      <c r="G65" s="149">
        <f>G58*G70/1000000</f>
        <v>1388550</v>
      </c>
      <c r="H65" s="150"/>
      <c r="I65" s="103"/>
      <c r="J65" s="103"/>
      <c r="K65" s="103"/>
      <c r="L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</row>
    <row r="66" spans="1:41" ht="26.25" thickBot="1" x14ac:dyDescent="0.75">
      <c r="A66" s="246" t="s">
        <v>59</v>
      </c>
      <c r="B66" s="149">
        <v>11045</v>
      </c>
      <c r="C66" s="149">
        <v>10037</v>
      </c>
      <c r="D66" s="149">
        <v>1841</v>
      </c>
      <c r="E66" s="149">
        <v>20705</v>
      </c>
      <c r="F66" s="149">
        <v>11421</v>
      </c>
      <c r="G66" s="149">
        <f>G59*G71/1000000</f>
        <v>26126.179812823884</v>
      </c>
      <c r="H66" s="150"/>
      <c r="I66" s="103"/>
      <c r="J66" s="103"/>
      <c r="K66" s="103"/>
      <c r="L66" s="103"/>
      <c r="M66" s="118"/>
      <c r="N66" s="118"/>
      <c r="O66" s="118"/>
      <c r="P66" s="118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</row>
    <row r="67" spans="1:41" ht="26.25" thickBot="1" x14ac:dyDescent="0.75">
      <c r="A67" s="246" t="s">
        <v>64</v>
      </c>
      <c r="B67" s="151">
        <f t="shared" ref="B67:G67" si="24">SUM(B65:B66)</f>
        <v>774851</v>
      </c>
      <c r="C67" s="151">
        <f t="shared" si="24"/>
        <v>1256819</v>
      </c>
      <c r="D67" s="151">
        <f t="shared" si="24"/>
        <v>242547</v>
      </c>
      <c r="E67" s="151">
        <f t="shared" si="24"/>
        <v>1103761</v>
      </c>
      <c r="F67" s="151">
        <f t="shared" si="24"/>
        <v>281102</v>
      </c>
      <c r="G67" s="151">
        <f t="shared" si="24"/>
        <v>1414676.1798128239</v>
      </c>
      <c r="H67" s="151">
        <f>G67+F67</f>
        <v>1695778.1798128239</v>
      </c>
      <c r="I67" s="103"/>
      <c r="J67" s="103"/>
      <c r="K67" s="103"/>
      <c r="L67" s="103"/>
      <c r="M67" s="118"/>
      <c r="N67" s="118"/>
      <c r="O67" s="118"/>
      <c r="P67" s="118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</row>
    <row r="68" spans="1:41" s="103" customFormat="1" x14ac:dyDescent="0.7">
      <c r="A68" s="121"/>
      <c r="C68" s="126"/>
      <c r="D68" s="121"/>
      <c r="E68" s="118"/>
      <c r="F68" s="118"/>
      <c r="G68" s="118"/>
      <c r="H68" s="120"/>
      <c r="M68" s="118"/>
      <c r="N68" s="120"/>
      <c r="O68" s="118"/>
      <c r="P68" s="118"/>
    </row>
    <row r="69" spans="1:41" ht="26.25" thickBot="1" x14ac:dyDescent="0.75">
      <c r="A69" s="247" t="s">
        <v>63</v>
      </c>
      <c r="B69" s="248" t="s">
        <v>62</v>
      </c>
      <c r="C69" s="248" t="s">
        <v>40</v>
      </c>
      <c r="D69" s="248" t="s">
        <v>55</v>
      </c>
      <c r="E69" s="248" t="s">
        <v>39</v>
      </c>
      <c r="F69" s="248" t="s">
        <v>54</v>
      </c>
      <c r="G69" s="248" t="s">
        <v>61</v>
      </c>
      <c r="H69" s="248" t="s">
        <v>38</v>
      </c>
      <c r="I69" s="103"/>
      <c r="J69" s="103"/>
      <c r="K69" s="103"/>
      <c r="L69" s="103"/>
      <c r="M69" s="118"/>
      <c r="N69" s="120"/>
      <c r="O69" s="118"/>
      <c r="P69" s="118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</row>
    <row r="70" spans="1:41" ht="26.25" thickBot="1" x14ac:dyDescent="0.75">
      <c r="A70" s="246" t="s">
        <v>60</v>
      </c>
      <c r="B70" s="149">
        <f t="shared" ref="B70:F71" si="25">B65*1000000/B58</f>
        <v>2981509.1673465245</v>
      </c>
      <c r="C70" s="149">
        <f t="shared" si="25"/>
        <v>2883693.0677497247</v>
      </c>
      <c r="D70" s="149">
        <f t="shared" si="25"/>
        <v>2798646.6375220912</v>
      </c>
      <c r="E70" s="149">
        <f t="shared" si="25"/>
        <v>2959436.2333215838</v>
      </c>
      <c r="F70" s="149">
        <f t="shared" si="25"/>
        <v>3715893.9028591113</v>
      </c>
      <c r="G70" s="149">
        <f>B128</f>
        <v>6000000</v>
      </c>
      <c r="H70" s="150"/>
      <c r="I70" s="103"/>
      <c r="J70" s="103"/>
      <c r="K70" s="103"/>
      <c r="L70" s="103"/>
      <c r="M70" s="118"/>
      <c r="N70" s="120"/>
      <c r="O70" s="118"/>
      <c r="P70" s="118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</row>
    <row r="71" spans="1:41" ht="26.25" thickBot="1" x14ac:dyDescent="0.75">
      <c r="A71" s="246" t="s">
        <v>59</v>
      </c>
      <c r="B71" s="151">
        <f t="shared" si="25"/>
        <v>7246.1105869972826</v>
      </c>
      <c r="C71" s="151">
        <f t="shared" si="25"/>
        <v>6996.8630184733356</v>
      </c>
      <c r="D71" s="151">
        <f t="shared" si="25"/>
        <v>8056.8927789934351</v>
      </c>
      <c r="E71" s="151">
        <f t="shared" si="25"/>
        <v>16364.626482636741</v>
      </c>
      <c r="F71" s="151">
        <f t="shared" si="25"/>
        <v>29917.485265225932</v>
      </c>
      <c r="G71" s="151">
        <f>F71</f>
        <v>29917.485265225932</v>
      </c>
      <c r="H71" s="152"/>
      <c r="I71" s="103"/>
      <c r="J71" s="103"/>
      <c r="K71" s="103"/>
      <c r="L71" s="103"/>
      <c r="M71" s="118"/>
      <c r="N71" s="118"/>
      <c r="O71" s="118"/>
      <c r="P71" s="118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</row>
    <row r="72" spans="1:41" s="103" customFormat="1" x14ac:dyDescent="0.7">
      <c r="M72" s="120"/>
      <c r="N72" s="120"/>
      <c r="O72" s="118"/>
      <c r="P72" s="118"/>
    </row>
    <row r="73" spans="1:41" s="103" customFormat="1" x14ac:dyDescent="0.7">
      <c r="A73" s="101"/>
      <c r="B73" s="127"/>
      <c r="C73" s="102"/>
      <c r="D73" s="127"/>
      <c r="E73" s="128"/>
      <c r="F73" s="128"/>
      <c r="M73" s="118"/>
      <c r="N73" s="118"/>
      <c r="O73" s="118"/>
      <c r="P73" s="118"/>
    </row>
    <row r="74" spans="1:41" x14ac:dyDescent="0.7">
      <c r="A74" s="247" t="s">
        <v>57</v>
      </c>
      <c r="B74" s="248" t="s">
        <v>40</v>
      </c>
      <c r="C74" s="248" t="s">
        <v>55</v>
      </c>
      <c r="D74" s="248" t="s">
        <v>39</v>
      </c>
      <c r="E74" s="248" t="s">
        <v>54</v>
      </c>
      <c r="F74" s="248" t="s">
        <v>53</v>
      </c>
      <c r="G74" s="253" t="s">
        <v>38</v>
      </c>
      <c r="H74" s="103"/>
      <c r="I74" s="103"/>
      <c r="J74" s="103"/>
      <c r="K74" s="103"/>
      <c r="L74" s="103"/>
      <c r="M74" s="118"/>
      <c r="N74" s="118"/>
      <c r="O74" s="118"/>
      <c r="P74" s="118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</row>
    <row r="75" spans="1:41" x14ac:dyDescent="0.7">
      <c r="A75" s="249" t="s">
        <v>52</v>
      </c>
      <c r="B75" s="143">
        <v>81045</v>
      </c>
      <c r="C75" s="147">
        <v>27729</v>
      </c>
      <c r="D75" s="148">
        <v>97848</v>
      </c>
      <c r="E75" s="147">
        <v>33046</v>
      </c>
      <c r="F75" s="147">
        <f>G75-E75</f>
        <v>82615</v>
      </c>
      <c r="G75" s="258">
        <f>E75*3.5</f>
        <v>115661</v>
      </c>
      <c r="H75" s="120"/>
      <c r="I75" s="118"/>
      <c r="J75" s="118"/>
      <c r="K75" s="118"/>
      <c r="L75" s="120"/>
      <c r="M75" s="120"/>
      <c r="N75" s="120"/>
      <c r="O75" s="118"/>
      <c r="P75" s="118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</row>
    <row r="76" spans="1:41" x14ac:dyDescent="0.7">
      <c r="A76" s="249" t="s">
        <v>51</v>
      </c>
      <c r="B76" s="143">
        <v>12224</v>
      </c>
      <c r="C76" s="147">
        <v>1918</v>
      </c>
      <c r="D76" s="148">
        <v>9055</v>
      </c>
      <c r="E76" s="147">
        <v>2600</v>
      </c>
      <c r="F76" s="147">
        <f t="shared" ref="F76:F78" si="26">G76-E76</f>
        <v>8840.0000000000018</v>
      </c>
      <c r="G76" s="258">
        <f>E76*4.4</f>
        <v>11440.000000000002</v>
      </c>
      <c r="H76" s="121"/>
      <c r="I76" s="118"/>
      <c r="J76" s="118"/>
      <c r="K76" s="118"/>
      <c r="L76" s="118"/>
      <c r="M76" s="118"/>
      <c r="N76" s="118"/>
      <c r="O76" s="118"/>
      <c r="P76" s="118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</row>
    <row r="77" spans="1:41" x14ac:dyDescent="0.7">
      <c r="A77" s="249" t="s">
        <v>50</v>
      </c>
      <c r="B77" s="143">
        <v>49072</v>
      </c>
      <c r="C77" s="147">
        <v>8877</v>
      </c>
      <c r="D77" s="148">
        <v>45934</v>
      </c>
      <c r="E77" s="147">
        <v>8402</v>
      </c>
      <c r="F77" s="147">
        <f t="shared" si="26"/>
        <v>34448.199999999997</v>
      </c>
      <c r="G77" s="258">
        <f>E77*5.1</f>
        <v>42850.2</v>
      </c>
      <c r="H77" s="103"/>
      <c r="I77" s="103"/>
      <c r="J77" s="103"/>
      <c r="K77" s="103"/>
      <c r="L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</row>
    <row r="78" spans="1:41" x14ac:dyDescent="0.7">
      <c r="A78" s="249" t="s">
        <v>49</v>
      </c>
      <c r="B78" s="143">
        <v>42792</v>
      </c>
      <c r="C78" s="147">
        <v>12182</v>
      </c>
      <c r="D78" s="148">
        <v>58024</v>
      </c>
      <c r="E78" s="147">
        <v>17402</v>
      </c>
      <c r="F78" s="147">
        <f t="shared" si="26"/>
        <v>64387.400000000009</v>
      </c>
      <c r="G78" s="258">
        <f>E78*4.7</f>
        <v>81789.400000000009</v>
      </c>
      <c r="H78" s="103"/>
      <c r="I78" s="103"/>
      <c r="J78" s="103"/>
      <c r="K78" s="103"/>
      <c r="L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</row>
    <row r="79" spans="1:41" x14ac:dyDescent="0.7">
      <c r="A79" s="249" t="s">
        <v>48</v>
      </c>
      <c r="B79" s="146">
        <v>0</v>
      </c>
      <c r="C79" s="147">
        <v>0</v>
      </c>
      <c r="D79" s="148">
        <v>0</v>
      </c>
      <c r="E79" s="147">
        <v>0</v>
      </c>
      <c r="F79" s="147">
        <f t="shared" ref="F79:F83" si="27">E79*3</f>
        <v>0</v>
      </c>
      <c r="G79" s="258">
        <f t="shared" ref="G79:G83" si="28">F79+E79</f>
        <v>0</v>
      </c>
      <c r="H79" s="103"/>
      <c r="I79" s="103"/>
      <c r="J79" s="103"/>
      <c r="K79" s="103"/>
      <c r="L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</row>
    <row r="80" spans="1:41" x14ac:dyDescent="0.7">
      <c r="A80" s="249" t="s">
        <v>47</v>
      </c>
      <c r="B80" s="146">
        <v>0</v>
      </c>
      <c r="C80" s="147">
        <v>0</v>
      </c>
      <c r="D80" s="148">
        <v>0</v>
      </c>
      <c r="E80" s="147">
        <v>0</v>
      </c>
      <c r="F80" s="147">
        <f t="shared" si="27"/>
        <v>0</v>
      </c>
      <c r="G80" s="258">
        <f t="shared" si="28"/>
        <v>0</v>
      </c>
      <c r="H80" s="103"/>
      <c r="I80" s="103"/>
      <c r="J80" s="103"/>
      <c r="K80" s="103"/>
      <c r="L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</row>
    <row r="81" spans="1:41" x14ac:dyDescent="0.7">
      <c r="A81" s="249" t="s">
        <v>46</v>
      </c>
      <c r="B81" s="146">
        <v>0</v>
      </c>
      <c r="C81" s="147">
        <v>10206</v>
      </c>
      <c r="D81" s="148">
        <v>0</v>
      </c>
      <c r="E81" s="147">
        <v>0</v>
      </c>
      <c r="F81" s="147">
        <f t="shared" si="27"/>
        <v>0</v>
      </c>
      <c r="G81" s="258">
        <f t="shared" si="28"/>
        <v>0</v>
      </c>
      <c r="H81" s="103"/>
      <c r="I81" s="103"/>
      <c r="J81" s="103"/>
      <c r="K81" s="103"/>
      <c r="L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</row>
    <row r="82" spans="1:41" x14ac:dyDescent="0.7">
      <c r="A82" s="249" t="s">
        <v>45</v>
      </c>
      <c r="B82" s="146">
        <v>0</v>
      </c>
      <c r="C82" s="147">
        <v>0</v>
      </c>
      <c r="D82" s="148">
        <v>0</v>
      </c>
      <c r="E82" s="147">
        <v>0</v>
      </c>
      <c r="F82" s="147">
        <f t="shared" si="27"/>
        <v>0</v>
      </c>
      <c r="G82" s="258">
        <f t="shared" si="28"/>
        <v>0</v>
      </c>
      <c r="H82" s="103"/>
      <c r="I82" s="103"/>
      <c r="J82" s="103"/>
      <c r="K82" s="103"/>
      <c r="L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</row>
    <row r="83" spans="1:41" x14ac:dyDescent="0.7">
      <c r="A83" s="249" t="s">
        <v>44</v>
      </c>
      <c r="B83" s="146">
        <v>0</v>
      </c>
      <c r="C83" s="147">
        <v>0</v>
      </c>
      <c r="D83" s="148">
        <v>0</v>
      </c>
      <c r="E83" s="147">
        <v>0</v>
      </c>
      <c r="F83" s="147">
        <f t="shared" si="27"/>
        <v>0</v>
      </c>
      <c r="G83" s="258">
        <f t="shared" si="28"/>
        <v>0</v>
      </c>
      <c r="H83" s="103"/>
      <c r="I83" s="103"/>
      <c r="J83" s="103"/>
      <c r="K83" s="103"/>
      <c r="L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</row>
    <row r="84" spans="1:41" x14ac:dyDescent="0.7">
      <c r="A84" s="249" t="s">
        <v>43</v>
      </c>
      <c r="B84" s="143">
        <v>34863</v>
      </c>
      <c r="C84" s="147">
        <v>851</v>
      </c>
      <c r="D84" s="148">
        <v>38284</v>
      </c>
      <c r="E84" s="147">
        <v>14117</v>
      </c>
      <c r="F84" s="147">
        <f>G84-E84</f>
        <v>42351</v>
      </c>
      <c r="G84" s="258">
        <f>E84*4</f>
        <v>56468</v>
      </c>
      <c r="H84" s="103"/>
      <c r="I84" s="103"/>
      <c r="J84" s="103"/>
      <c r="K84" s="103"/>
      <c r="L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</row>
    <row r="85" spans="1:41" x14ac:dyDescent="0.7">
      <c r="A85" s="254" t="s">
        <v>42</v>
      </c>
      <c r="B85" s="259">
        <v>219996</v>
      </c>
      <c r="C85" s="260">
        <v>61036</v>
      </c>
      <c r="D85" s="261">
        <v>249145</v>
      </c>
      <c r="E85" s="260">
        <v>75567</v>
      </c>
      <c r="F85" s="260">
        <f>SUM(F75:F84)</f>
        <v>232641.6</v>
      </c>
      <c r="G85" s="262">
        <f>F85+E85</f>
        <v>308208.59999999998</v>
      </c>
      <c r="H85" s="103"/>
      <c r="I85" s="103"/>
      <c r="J85" s="103"/>
      <c r="K85" s="103"/>
      <c r="L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</row>
    <row r="86" spans="1:41" s="103" customFormat="1" x14ac:dyDescent="0.7"/>
    <row r="87" spans="1:41" x14ac:dyDescent="0.7">
      <c r="A87" s="247" t="s">
        <v>56</v>
      </c>
      <c r="B87" s="248" t="s">
        <v>40</v>
      </c>
      <c r="C87" s="248" t="s">
        <v>55</v>
      </c>
      <c r="D87" s="248" t="s">
        <v>39</v>
      </c>
      <c r="E87" s="248" t="s">
        <v>54</v>
      </c>
      <c r="F87" s="248" t="s">
        <v>53</v>
      </c>
      <c r="G87" s="253" t="s">
        <v>38</v>
      </c>
      <c r="H87" s="103"/>
      <c r="I87" s="103"/>
      <c r="J87" s="103"/>
      <c r="K87" s="103"/>
      <c r="L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</row>
    <row r="88" spans="1:41" x14ac:dyDescent="0.7">
      <c r="A88" s="249" t="s">
        <v>52</v>
      </c>
      <c r="B88" s="143">
        <v>15986</v>
      </c>
      <c r="C88" s="144">
        <v>4607</v>
      </c>
      <c r="D88" s="143">
        <v>19117</v>
      </c>
      <c r="E88" s="143">
        <v>4698</v>
      </c>
      <c r="F88" s="145">
        <f>G88-E88</f>
        <v>14796.609507271543</v>
      </c>
      <c r="G88" s="258">
        <f>E88*D88/C88</f>
        <v>19494.609507271543</v>
      </c>
      <c r="H88" s="103"/>
      <c r="I88" s="103"/>
      <c r="J88" s="103"/>
      <c r="K88" s="103"/>
      <c r="L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</row>
    <row r="89" spans="1:41" x14ac:dyDescent="0.7">
      <c r="A89" s="249" t="s">
        <v>51</v>
      </c>
      <c r="B89" s="146">
        <v>838</v>
      </c>
      <c r="C89" s="144">
        <v>110</v>
      </c>
      <c r="D89" s="146">
        <v>381</v>
      </c>
      <c r="E89" s="146">
        <v>100</v>
      </c>
      <c r="F89" s="145">
        <f>G89-E89</f>
        <v>246.36363636363637</v>
      </c>
      <c r="G89" s="258">
        <f>E89*D89/C89</f>
        <v>346.36363636363637</v>
      </c>
      <c r="H89" s="103"/>
      <c r="I89" s="103"/>
      <c r="J89" s="103"/>
      <c r="K89" s="103"/>
      <c r="L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</row>
    <row r="90" spans="1:41" x14ac:dyDescent="0.7">
      <c r="A90" s="249" t="s">
        <v>50</v>
      </c>
      <c r="B90" s="146">
        <v>0</v>
      </c>
      <c r="C90" s="144">
        <v>0</v>
      </c>
      <c r="D90" s="146">
        <v>0</v>
      </c>
      <c r="E90" s="146">
        <v>0</v>
      </c>
      <c r="F90" s="144">
        <v>0</v>
      </c>
      <c r="G90" s="258">
        <v>0</v>
      </c>
      <c r="H90" s="103"/>
      <c r="I90" s="103"/>
      <c r="J90" s="107"/>
      <c r="K90" s="106"/>
      <c r="L90" s="103"/>
      <c r="N90" s="106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</row>
    <row r="91" spans="1:41" x14ac:dyDescent="0.7">
      <c r="A91" s="249" t="s">
        <v>49</v>
      </c>
      <c r="B91" s="146">
        <v>0</v>
      </c>
      <c r="C91" s="144">
        <v>0</v>
      </c>
      <c r="D91" s="146">
        <v>0</v>
      </c>
      <c r="E91" s="146">
        <v>0</v>
      </c>
      <c r="F91" s="144">
        <v>0</v>
      </c>
      <c r="G91" s="258">
        <v>0</v>
      </c>
      <c r="H91" s="103"/>
      <c r="I91" s="103"/>
      <c r="J91" s="107"/>
      <c r="K91" s="106"/>
      <c r="L91" s="103"/>
      <c r="N91" s="106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</row>
    <row r="92" spans="1:41" x14ac:dyDescent="0.7">
      <c r="A92" s="249" t="s">
        <v>48</v>
      </c>
      <c r="B92" s="146">
        <v>0</v>
      </c>
      <c r="C92" s="144">
        <v>0</v>
      </c>
      <c r="D92" s="146">
        <v>0</v>
      </c>
      <c r="E92" s="146">
        <v>0</v>
      </c>
      <c r="F92" s="144">
        <v>0</v>
      </c>
      <c r="G92" s="258">
        <v>0</v>
      </c>
      <c r="H92" s="103"/>
      <c r="I92" s="103"/>
      <c r="J92" s="107"/>
      <c r="K92" s="106"/>
      <c r="L92" s="103"/>
      <c r="N92" s="106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</row>
    <row r="93" spans="1:41" x14ac:dyDescent="0.7">
      <c r="A93" s="249" t="s">
        <v>47</v>
      </c>
      <c r="B93" s="146">
        <v>0</v>
      </c>
      <c r="C93" s="144">
        <v>0</v>
      </c>
      <c r="D93" s="146">
        <v>0</v>
      </c>
      <c r="E93" s="146">
        <v>0</v>
      </c>
      <c r="F93" s="144">
        <v>0</v>
      </c>
      <c r="G93" s="258">
        <v>0</v>
      </c>
      <c r="H93" s="103"/>
      <c r="I93" s="103"/>
      <c r="J93" s="107"/>
      <c r="K93" s="106"/>
      <c r="L93" s="103"/>
      <c r="N93" s="106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</row>
    <row r="94" spans="1:41" x14ac:dyDescent="0.7">
      <c r="A94" s="249" t="s">
        <v>118</v>
      </c>
      <c r="B94" s="146">
        <v>0</v>
      </c>
      <c r="C94" s="144">
        <v>0</v>
      </c>
      <c r="D94" s="146">
        <v>0</v>
      </c>
      <c r="E94" s="146">
        <v>0</v>
      </c>
      <c r="F94" s="144">
        <v>0</v>
      </c>
      <c r="G94" s="258">
        <v>0</v>
      </c>
      <c r="H94" s="103"/>
      <c r="I94" s="103"/>
      <c r="J94" s="106"/>
      <c r="K94" s="106"/>
      <c r="L94" s="103"/>
      <c r="N94" s="106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</row>
    <row r="95" spans="1:41" x14ac:dyDescent="0.7">
      <c r="A95" s="249" t="s">
        <v>45</v>
      </c>
      <c r="B95" s="146">
        <v>0</v>
      </c>
      <c r="C95" s="144">
        <v>0</v>
      </c>
      <c r="D95" s="146">
        <v>0</v>
      </c>
      <c r="E95" s="146">
        <v>0</v>
      </c>
      <c r="F95" s="144">
        <v>0</v>
      </c>
      <c r="G95" s="258">
        <v>0</v>
      </c>
      <c r="H95" s="103"/>
      <c r="I95" s="103"/>
      <c r="J95" s="106"/>
      <c r="K95" s="106"/>
      <c r="L95" s="103"/>
      <c r="N95" s="106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</row>
    <row r="96" spans="1:41" x14ac:dyDescent="0.7">
      <c r="A96" s="249" t="s">
        <v>44</v>
      </c>
      <c r="B96" s="146">
        <v>0</v>
      </c>
      <c r="C96" s="144">
        <v>0</v>
      </c>
      <c r="D96" s="146">
        <v>0</v>
      </c>
      <c r="E96" s="146">
        <v>0</v>
      </c>
      <c r="F96" s="144">
        <v>0</v>
      </c>
      <c r="G96" s="258">
        <v>0</v>
      </c>
      <c r="H96" s="103"/>
      <c r="I96" s="103"/>
      <c r="J96" s="106"/>
      <c r="K96" s="106"/>
      <c r="L96" s="103"/>
      <c r="N96" s="106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</row>
    <row r="97" spans="1:41" x14ac:dyDescent="0.7">
      <c r="A97" s="249" t="s">
        <v>43</v>
      </c>
      <c r="B97" s="143">
        <v>5406</v>
      </c>
      <c r="C97" s="144">
        <v>598</v>
      </c>
      <c r="D97" s="143">
        <v>11368</v>
      </c>
      <c r="E97" s="146">
        <v>556</v>
      </c>
      <c r="F97" s="145">
        <f>G97-E97</f>
        <v>10013.578595317726</v>
      </c>
      <c r="G97" s="258">
        <f>E97*D97/C97</f>
        <v>10569.578595317726</v>
      </c>
      <c r="H97" s="103"/>
      <c r="I97" s="103"/>
      <c r="J97" s="106"/>
      <c r="K97" s="106"/>
      <c r="L97" s="103"/>
      <c r="N97" s="106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</row>
    <row r="98" spans="1:41" x14ac:dyDescent="0.7">
      <c r="A98" s="254" t="s">
        <v>42</v>
      </c>
      <c r="B98" s="259">
        <f>SUM(B88:B97)</f>
        <v>22230</v>
      </c>
      <c r="C98" s="259">
        <f t="shared" ref="C98:F98" si="29">SUM(C88:C97)</f>
        <v>5315</v>
      </c>
      <c r="D98" s="259">
        <f t="shared" si="29"/>
        <v>30866</v>
      </c>
      <c r="E98" s="259">
        <f t="shared" si="29"/>
        <v>5354</v>
      </c>
      <c r="F98" s="259">
        <f t="shared" si="29"/>
        <v>25056.551738952905</v>
      </c>
      <c r="G98" s="262">
        <f>F98+E98</f>
        <v>30410.551738952905</v>
      </c>
      <c r="H98" s="103"/>
      <c r="I98" s="103"/>
      <c r="J98" s="106"/>
      <c r="K98" s="106"/>
      <c r="L98" s="103"/>
      <c r="N98" s="106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</row>
    <row r="99" spans="1:41" s="103" customFormat="1" x14ac:dyDescent="0.7">
      <c r="A99" s="129"/>
      <c r="B99" s="125"/>
      <c r="C99" s="125"/>
      <c r="D99" s="125"/>
      <c r="E99" s="125"/>
      <c r="F99" s="130"/>
      <c r="J99" s="107"/>
      <c r="K99" s="106"/>
      <c r="N99" s="106"/>
    </row>
    <row r="100" spans="1:41" ht="26.25" thickBot="1" x14ac:dyDescent="0.75">
      <c r="A100" s="247" t="s">
        <v>41</v>
      </c>
      <c r="B100" s="248" t="s">
        <v>106</v>
      </c>
      <c r="C100" s="248" t="s">
        <v>97</v>
      </c>
      <c r="D100" s="248" t="s">
        <v>96</v>
      </c>
      <c r="E100" s="248" t="s">
        <v>62</v>
      </c>
      <c r="F100" s="265" t="s">
        <v>107</v>
      </c>
      <c r="G100" s="265" t="s">
        <v>108</v>
      </c>
      <c r="H100" s="265" t="s">
        <v>109</v>
      </c>
      <c r="I100" s="265" t="s">
        <v>40</v>
      </c>
      <c r="J100" s="265" t="s">
        <v>55</v>
      </c>
      <c r="K100" s="265" t="s">
        <v>95</v>
      </c>
      <c r="L100" s="265" t="s">
        <v>94</v>
      </c>
      <c r="M100" s="265" t="s">
        <v>39</v>
      </c>
      <c r="N100" s="265" t="s">
        <v>54</v>
      </c>
      <c r="O100" s="266" t="s">
        <v>119</v>
      </c>
      <c r="P100" s="267" t="s">
        <v>38</v>
      </c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</row>
    <row r="101" spans="1:41" ht="26.25" thickBot="1" x14ac:dyDescent="0.75">
      <c r="A101" s="246" t="s">
        <v>37</v>
      </c>
      <c r="B101" s="139">
        <v>1363939</v>
      </c>
      <c r="C101" s="139">
        <v>1167681</v>
      </c>
      <c r="D101" s="139">
        <v>1095198</v>
      </c>
      <c r="E101" s="139">
        <v>1295278</v>
      </c>
      <c r="F101" s="139">
        <v>314550</v>
      </c>
      <c r="G101" s="139">
        <v>842420</v>
      </c>
      <c r="H101" s="140">
        <v>1085584</v>
      </c>
      <c r="I101" s="141">
        <v>1702466</v>
      </c>
      <c r="J101" s="141">
        <v>363702</v>
      </c>
      <c r="K101" s="139">
        <v>1064175</v>
      </c>
      <c r="L101" s="139">
        <v>1764410</v>
      </c>
      <c r="M101" s="141">
        <v>2371265</v>
      </c>
      <c r="N101" s="141">
        <v>99446</v>
      </c>
      <c r="O101" s="139">
        <f>K29</f>
        <v>2817005.7522826246</v>
      </c>
      <c r="P101" s="263">
        <f>O101+N101</f>
        <v>2916451.7522826246</v>
      </c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</row>
    <row r="102" spans="1:41" ht="26.25" thickBot="1" x14ac:dyDescent="0.75">
      <c r="A102" s="246" t="s">
        <v>36</v>
      </c>
      <c r="B102" s="139">
        <v>-1232858</v>
      </c>
      <c r="C102" s="139">
        <v>-1144410</v>
      </c>
      <c r="D102" s="139">
        <v>-1038990</v>
      </c>
      <c r="E102" s="139">
        <v>-1110510</v>
      </c>
      <c r="F102" s="139">
        <v>-284371</v>
      </c>
      <c r="G102" s="139">
        <v>-811561</v>
      </c>
      <c r="H102" s="140">
        <v>-996646</v>
      </c>
      <c r="I102" s="139">
        <v>-1441959</v>
      </c>
      <c r="J102" s="139">
        <v>-278589</v>
      </c>
      <c r="K102" s="139">
        <v>-908290</v>
      </c>
      <c r="L102" s="139">
        <v>-1455606</v>
      </c>
      <c r="M102" s="139">
        <v>-1897241</v>
      </c>
      <c r="N102" s="139">
        <v>-68816</v>
      </c>
      <c r="O102" s="139">
        <f>-E55</f>
        <v>-1678232.829812824</v>
      </c>
      <c r="P102" s="263">
        <f>O102+N102</f>
        <v>-1747048.829812824</v>
      </c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</row>
    <row r="103" spans="1:41" ht="26.25" thickBot="1" x14ac:dyDescent="0.75">
      <c r="A103" s="246" t="s">
        <v>35</v>
      </c>
      <c r="B103" s="139">
        <f t="shared" ref="B103:N103" si="30">SUM(B101:B102)</f>
        <v>131081</v>
      </c>
      <c r="C103" s="139">
        <f t="shared" si="30"/>
        <v>23271</v>
      </c>
      <c r="D103" s="139">
        <f t="shared" si="30"/>
        <v>56208</v>
      </c>
      <c r="E103" s="139">
        <f t="shared" si="30"/>
        <v>184768</v>
      </c>
      <c r="F103" s="139">
        <f t="shared" si="30"/>
        <v>30179</v>
      </c>
      <c r="G103" s="139">
        <f t="shared" si="30"/>
        <v>30859</v>
      </c>
      <c r="H103" s="139">
        <f t="shared" si="30"/>
        <v>88938</v>
      </c>
      <c r="I103" s="139">
        <f t="shared" si="30"/>
        <v>260507</v>
      </c>
      <c r="J103" s="139">
        <f t="shared" si="30"/>
        <v>85113</v>
      </c>
      <c r="K103" s="139">
        <f t="shared" si="30"/>
        <v>155885</v>
      </c>
      <c r="L103" s="139">
        <f t="shared" si="30"/>
        <v>308804</v>
      </c>
      <c r="M103" s="139">
        <f t="shared" si="30"/>
        <v>474024</v>
      </c>
      <c r="N103" s="139">
        <f t="shared" si="30"/>
        <v>30630</v>
      </c>
      <c r="O103" s="139">
        <f>SUM(O101:O102)</f>
        <v>1138772.9224698006</v>
      </c>
      <c r="P103" s="263">
        <f>O103+N103</f>
        <v>1169402.9224698006</v>
      </c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</row>
    <row r="104" spans="1:41" ht="26.25" thickBot="1" x14ac:dyDescent="0.75">
      <c r="A104" s="246" t="s">
        <v>34</v>
      </c>
      <c r="B104" s="139">
        <v>-17045</v>
      </c>
      <c r="C104" s="139">
        <v>-21930</v>
      </c>
      <c r="D104" s="139">
        <v>-25444</v>
      </c>
      <c r="E104" s="139">
        <v>-25201</v>
      </c>
      <c r="F104" s="139">
        <v>-4585</v>
      </c>
      <c r="G104" s="139">
        <v>-8281</v>
      </c>
      <c r="H104" s="140">
        <v>-12722</v>
      </c>
      <c r="I104" s="139">
        <v>-23897</v>
      </c>
      <c r="J104" s="139">
        <v>-5762</v>
      </c>
      <c r="K104" s="139">
        <v>-12952</v>
      </c>
      <c r="L104" s="139">
        <v>-20929</v>
      </c>
      <c r="M104" s="139">
        <v>-30866</v>
      </c>
      <c r="N104" s="139">
        <v>-6059</v>
      </c>
      <c r="O104" s="139">
        <f>-G98</f>
        <v>-30410.551738952905</v>
      </c>
      <c r="P104" s="263">
        <f>O104+N104</f>
        <v>-36469.551738952905</v>
      </c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</row>
    <row r="105" spans="1:41" ht="26.25" thickBot="1" x14ac:dyDescent="0.75">
      <c r="A105" s="246" t="s">
        <v>33</v>
      </c>
      <c r="B105" s="139">
        <v>1423</v>
      </c>
      <c r="C105" s="139">
        <v>2563</v>
      </c>
      <c r="D105" s="139">
        <v>4163</v>
      </c>
      <c r="E105" s="139">
        <v>1500</v>
      </c>
      <c r="F105" s="139">
        <v>235</v>
      </c>
      <c r="G105" s="139">
        <v>859</v>
      </c>
      <c r="H105" s="140">
        <v>2007</v>
      </c>
      <c r="I105" s="139">
        <v>4068</v>
      </c>
      <c r="J105" s="139">
        <v>814</v>
      </c>
      <c r="K105" s="139">
        <v>3818</v>
      </c>
      <c r="L105" s="139">
        <v>6555</v>
      </c>
      <c r="M105" s="139">
        <v>13742</v>
      </c>
      <c r="N105" s="139">
        <v>358</v>
      </c>
      <c r="O105" s="139">
        <f>P105-N105</f>
        <v>3710</v>
      </c>
      <c r="P105" s="263">
        <f>I105</f>
        <v>4068</v>
      </c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</row>
    <row r="106" spans="1:41" ht="26.25" thickBot="1" x14ac:dyDescent="0.75">
      <c r="A106" s="246" t="s">
        <v>32</v>
      </c>
      <c r="B106" s="139">
        <v>-15622</v>
      </c>
      <c r="C106" s="139">
        <v>-19367</v>
      </c>
      <c r="D106" s="139">
        <v>0</v>
      </c>
      <c r="E106" s="139">
        <v>0</v>
      </c>
      <c r="F106" s="139">
        <v>0</v>
      </c>
      <c r="G106" s="139">
        <v>0</v>
      </c>
      <c r="H106" s="140">
        <v>0</v>
      </c>
      <c r="I106" s="139">
        <v>0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263">
        <v>0</v>
      </c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</row>
    <row r="107" spans="1:41" ht="26.25" thickBot="1" x14ac:dyDescent="0.75">
      <c r="A107" s="246" t="s">
        <v>31</v>
      </c>
      <c r="B107" s="139">
        <v>115459</v>
      </c>
      <c r="C107" s="139">
        <v>3904</v>
      </c>
      <c r="D107" s="139">
        <v>34927</v>
      </c>
      <c r="E107" s="139">
        <v>161067</v>
      </c>
      <c r="F107" s="139">
        <f t="shared" ref="F107:N107" si="31">SUM(F103:F106)</f>
        <v>25829</v>
      </c>
      <c r="G107" s="139">
        <f t="shared" si="31"/>
        <v>23437</v>
      </c>
      <c r="H107" s="139">
        <f t="shared" si="31"/>
        <v>78223</v>
      </c>
      <c r="I107" s="139">
        <f t="shared" si="31"/>
        <v>240678</v>
      </c>
      <c r="J107" s="139">
        <f t="shared" si="31"/>
        <v>80165</v>
      </c>
      <c r="K107" s="139">
        <f t="shared" si="31"/>
        <v>146751</v>
      </c>
      <c r="L107" s="139">
        <f t="shared" si="31"/>
        <v>294430</v>
      </c>
      <c r="M107" s="139">
        <f t="shared" si="31"/>
        <v>456900</v>
      </c>
      <c r="N107" s="139">
        <f t="shared" si="31"/>
        <v>24929</v>
      </c>
      <c r="O107" s="139">
        <f>SUM(O103:O106)</f>
        <v>1112072.3707308476</v>
      </c>
      <c r="P107" s="263">
        <f>SUM(P103:P106)</f>
        <v>1137001.3707308476</v>
      </c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</row>
    <row r="108" spans="1:41" ht="26.25" thickBot="1" x14ac:dyDescent="0.75">
      <c r="A108" s="246" t="s">
        <v>30</v>
      </c>
      <c r="B108" s="139">
        <v>-33397</v>
      </c>
      <c r="C108" s="139">
        <v>-72569</v>
      </c>
      <c r="D108" s="139">
        <v>-60197</v>
      </c>
      <c r="E108" s="139">
        <v>-38818</v>
      </c>
      <c r="F108" s="139">
        <v>-2258</v>
      </c>
      <c r="G108" s="139">
        <v>-3099</v>
      </c>
      <c r="H108" s="140">
        <v>-3410</v>
      </c>
      <c r="I108" s="139">
        <v>-4500</v>
      </c>
      <c r="J108" s="139">
        <v>-769</v>
      </c>
      <c r="K108" s="139">
        <v>-2279</v>
      </c>
      <c r="L108" s="139">
        <v>-3026</v>
      </c>
      <c r="M108" s="139">
        <v>-20113</v>
      </c>
      <c r="N108" s="139">
        <v>-30872</v>
      </c>
      <c r="O108" s="139">
        <f>N108*1</f>
        <v>-30872</v>
      </c>
      <c r="P108" s="263">
        <f>O108+N108</f>
        <v>-61744</v>
      </c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</row>
    <row r="109" spans="1:41" ht="26.25" thickBot="1" x14ac:dyDescent="0.75">
      <c r="A109" s="246" t="s">
        <v>29</v>
      </c>
      <c r="B109" s="139">
        <v>-327</v>
      </c>
      <c r="C109" s="139">
        <v>20989</v>
      </c>
      <c r="D109" s="139">
        <v>4545</v>
      </c>
      <c r="E109" s="139">
        <v>9419</v>
      </c>
      <c r="F109" s="139">
        <v>0</v>
      </c>
      <c r="G109" s="139">
        <v>7662</v>
      </c>
      <c r="H109" s="140">
        <v>9015</v>
      </c>
      <c r="I109" s="139">
        <v>9886</v>
      </c>
      <c r="J109" s="139">
        <v>924</v>
      </c>
      <c r="K109" s="139">
        <v>2566</v>
      </c>
      <c r="L109" s="139">
        <v>12031</v>
      </c>
      <c r="M109" s="139">
        <v>25174</v>
      </c>
      <c r="N109" s="139">
        <v>20231</v>
      </c>
      <c r="O109" s="139">
        <f>M109</f>
        <v>25174</v>
      </c>
      <c r="P109" s="263">
        <f>O109+N109</f>
        <v>45405</v>
      </c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</row>
    <row r="110" spans="1:41" ht="26.25" thickBot="1" x14ac:dyDescent="0.75">
      <c r="A110" s="246" t="s">
        <v>28</v>
      </c>
      <c r="B110" s="139">
        <v>0</v>
      </c>
      <c r="C110" s="139">
        <v>0</v>
      </c>
      <c r="D110" s="139">
        <v>8458</v>
      </c>
      <c r="E110" s="139">
        <v>17307</v>
      </c>
      <c r="F110" s="139">
        <v>53250</v>
      </c>
      <c r="G110" s="139">
        <v>48212</v>
      </c>
      <c r="H110" s="140">
        <v>50939</v>
      </c>
      <c r="I110" s="139">
        <v>52484</v>
      </c>
      <c r="J110" s="139">
        <v>24</v>
      </c>
      <c r="K110" s="139">
        <v>570</v>
      </c>
      <c r="L110" s="139">
        <v>689</v>
      </c>
      <c r="M110" s="139">
        <v>5442</v>
      </c>
      <c r="N110" s="139">
        <v>40</v>
      </c>
      <c r="O110" s="139">
        <f>I110</f>
        <v>52484</v>
      </c>
      <c r="P110" s="263">
        <f>O110+N110</f>
        <v>52524</v>
      </c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</row>
    <row r="111" spans="1:41" ht="26.25" thickBot="1" x14ac:dyDescent="0.75">
      <c r="A111" s="246" t="s">
        <v>27</v>
      </c>
      <c r="B111" s="139">
        <v>81735</v>
      </c>
      <c r="C111" s="139">
        <v>-47676</v>
      </c>
      <c r="D111" s="139">
        <v>-12267</v>
      </c>
      <c r="E111" s="139">
        <v>148975</v>
      </c>
      <c r="F111" s="139">
        <v>76821</v>
      </c>
      <c r="G111" s="139">
        <v>76212</v>
      </c>
      <c r="H111" s="140">
        <v>134767</v>
      </c>
      <c r="I111" s="139">
        <v>298548</v>
      </c>
      <c r="J111" s="139">
        <v>80344</v>
      </c>
      <c r="K111" s="139">
        <v>147608</v>
      </c>
      <c r="L111" s="139">
        <v>304124</v>
      </c>
      <c r="M111" s="139">
        <v>467403</v>
      </c>
      <c r="N111" s="139">
        <v>14328</v>
      </c>
      <c r="O111" s="139">
        <f>SUM(O107:O110)</f>
        <v>1158858.3707308476</v>
      </c>
      <c r="P111" s="263">
        <f>O111+N111</f>
        <v>1173186.3707308476</v>
      </c>
      <c r="Q111" s="103"/>
      <c r="R111" s="103"/>
      <c r="S111" s="103"/>
      <c r="T111" s="103"/>
      <c r="U111" s="103"/>
      <c r="V111" s="118"/>
      <c r="W111" s="123"/>
      <c r="X111" s="123"/>
      <c r="Y111" s="123"/>
      <c r="Z111" s="118"/>
      <c r="AA111" s="118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</row>
    <row r="112" spans="1:41" ht="26.25" thickBot="1" x14ac:dyDescent="0.75">
      <c r="A112" s="246" t="s">
        <v>26</v>
      </c>
      <c r="B112" s="139">
        <v>-16813</v>
      </c>
      <c r="C112" s="139">
        <v>0</v>
      </c>
      <c r="D112" s="139">
        <v>0</v>
      </c>
      <c r="E112" s="139">
        <v>-20134</v>
      </c>
      <c r="F112" s="139">
        <v>-17285</v>
      </c>
      <c r="G112" s="139">
        <v>-15424</v>
      </c>
      <c r="H112" s="140">
        <v>-28294</v>
      </c>
      <c r="I112" s="139">
        <v>-50262</v>
      </c>
      <c r="J112" s="139">
        <v>-17869</v>
      </c>
      <c r="K112" s="139">
        <v>-32043</v>
      </c>
      <c r="L112" s="139">
        <v>-64893</v>
      </c>
      <c r="M112" s="139">
        <v>-64583</v>
      </c>
      <c r="N112" s="139">
        <v>0</v>
      </c>
      <c r="O112" s="139">
        <f>-O111*0.14</f>
        <v>-162240.17190231869</v>
      </c>
      <c r="P112" s="263">
        <f>O112</f>
        <v>-162240.17190231869</v>
      </c>
      <c r="Q112" s="103"/>
      <c r="R112" s="103"/>
      <c r="S112" s="103"/>
      <c r="T112" s="103"/>
      <c r="U112" s="103"/>
      <c r="V112" s="118"/>
      <c r="W112" s="131"/>
      <c r="X112" s="131"/>
      <c r="Y112" s="131"/>
      <c r="Z112" s="131"/>
      <c r="AA112" s="131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</row>
    <row r="113" spans="1:41" ht="26.25" thickBot="1" x14ac:dyDescent="0.75">
      <c r="A113" s="246" t="s">
        <v>25</v>
      </c>
      <c r="B113" s="139">
        <v>64922</v>
      </c>
      <c r="C113" s="139">
        <v>-47676</v>
      </c>
      <c r="D113" s="139">
        <v>-12267</v>
      </c>
      <c r="E113" s="139">
        <v>128841</v>
      </c>
      <c r="F113" s="139">
        <v>59536</v>
      </c>
      <c r="G113" s="139">
        <v>60788</v>
      </c>
      <c r="H113" s="139">
        <v>106473</v>
      </c>
      <c r="I113" s="139">
        <v>248286</v>
      </c>
      <c r="J113" s="139">
        <v>62475</v>
      </c>
      <c r="K113" s="139">
        <v>115565</v>
      </c>
      <c r="L113" s="139">
        <v>239231</v>
      </c>
      <c r="M113" s="139">
        <v>402820</v>
      </c>
      <c r="N113" s="139">
        <v>14328</v>
      </c>
      <c r="O113" s="139">
        <f>SUM(O111:O112)</f>
        <v>996618.19882852887</v>
      </c>
      <c r="P113" s="263">
        <f>O113+N113</f>
        <v>1010946.1988285289</v>
      </c>
      <c r="Q113" s="103"/>
      <c r="R113" s="103"/>
      <c r="S113" s="103"/>
      <c r="T113" s="103"/>
      <c r="U113" s="103"/>
      <c r="V113" s="131"/>
      <c r="W113" s="131"/>
      <c r="X113" s="131"/>
      <c r="Y113" s="131"/>
      <c r="Z113" s="131"/>
      <c r="AA113" s="131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</row>
    <row r="114" spans="1:41" ht="26.25" thickBot="1" x14ac:dyDescent="0.75">
      <c r="A114" s="246" t="s">
        <v>24</v>
      </c>
      <c r="B114" s="139">
        <v>0</v>
      </c>
      <c r="C114" s="139">
        <v>0</v>
      </c>
      <c r="D114" s="139">
        <v>0</v>
      </c>
      <c r="E114" s="139">
        <v>0</v>
      </c>
      <c r="F114" s="139">
        <v>0</v>
      </c>
      <c r="G114" s="139">
        <v>0</v>
      </c>
      <c r="H114" s="139">
        <v>0</v>
      </c>
      <c r="I114" s="139">
        <v>0</v>
      </c>
      <c r="J114" s="139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0</v>
      </c>
      <c r="P114" s="263">
        <v>0</v>
      </c>
      <c r="Q114" s="103"/>
      <c r="R114" s="138"/>
      <c r="S114" s="103"/>
      <c r="T114" s="103"/>
      <c r="U114" s="103"/>
      <c r="V114" s="131"/>
      <c r="W114" s="131"/>
      <c r="X114" s="131"/>
      <c r="Y114" s="131"/>
      <c r="Z114" s="131"/>
      <c r="AA114" s="131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</row>
    <row r="115" spans="1:41" ht="26.25" thickBot="1" x14ac:dyDescent="0.75">
      <c r="A115" s="246" t="s">
        <v>23</v>
      </c>
      <c r="B115" s="139">
        <v>64922</v>
      </c>
      <c r="C115" s="139">
        <v>-47676</v>
      </c>
      <c r="D115" s="139">
        <v>-12267</v>
      </c>
      <c r="E115" s="139">
        <v>128841</v>
      </c>
      <c r="F115" s="139">
        <v>59536</v>
      </c>
      <c r="G115" s="139">
        <v>60788</v>
      </c>
      <c r="H115" s="139">
        <v>106473</v>
      </c>
      <c r="I115" s="139">
        <v>248286</v>
      </c>
      <c r="J115" s="139">
        <v>62475</v>
      </c>
      <c r="K115" s="139">
        <v>115565</v>
      </c>
      <c r="L115" s="139">
        <v>239231</v>
      </c>
      <c r="M115" s="139">
        <v>402820</v>
      </c>
      <c r="N115" s="139">
        <v>14328</v>
      </c>
      <c r="O115" s="139">
        <f>SUM(O113:O114)</f>
        <v>996618.19882852887</v>
      </c>
      <c r="P115" s="263">
        <f>O115+N115</f>
        <v>1010946.1988285289</v>
      </c>
      <c r="Q115" s="103"/>
      <c r="R115" s="103"/>
      <c r="S115" s="103"/>
      <c r="T115" s="103"/>
      <c r="U115" s="103"/>
      <c r="V115" s="131"/>
      <c r="W115" s="131"/>
      <c r="X115" s="131"/>
      <c r="Y115" s="131"/>
      <c r="Z115" s="131"/>
      <c r="AA115" s="131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</row>
    <row r="116" spans="1:41" ht="26.25" thickBot="1" x14ac:dyDescent="0.75">
      <c r="A116" s="246" t="s">
        <v>22</v>
      </c>
      <c r="B116" s="139">
        <v>393</v>
      </c>
      <c r="C116" s="139">
        <v>-289</v>
      </c>
      <c r="D116" s="139">
        <v>-37</v>
      </c>
      <c r="E116" s="139">
        <v>390</v>
      </c>
      <c r="F116" s="139">
        <v>180</v>
      </c>
      <c r="G116" s="139">
        <v>184</v>
      </c>
      <c r="H116" s="139">
        <v>322</v>
      </c>
      <c r="I116" s="139">
        <v>752</v>
      </c>
      <c r="J116" s="139">
        <v>189.20580503700833</v>
      </c>
      <c r="K116" s="139">
        <v>350</v>
      </c>
      <c r="L116" s="139">
        <v>725</v>
      </c>
      <c r="M116" s="139">
        <v>1219.9420949981222</v>
      </c>
      <c r="N116" s="139">
        <v>43.392409356866828</v>
      </c>
      <c r="O116" s="139">
        <f>O115*1000/O117</f>
        <v>3018.2624829753508</v>
      </c>
      <c r="P116" s="263">
        <f>O116+N116</f>
        <v>3061.6548923322175</v>
      </c>
      <c r="Q116" s="103"/>
      <c r="R116" s="103"/>
      <c r="S116" s="103"/>
      <c r="T116" s="103"/>
      <c r="U116" s="103"/>
      <c r="V116" s="118"/>
      <c r="W116" s="131"/>
      <c r="X116" s="131"/>
      <c r="Y116" s="131"/>
      <c r="Z116" s="131"/>
      <c r="AA116" s="131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</row>
    <row r="117" spans="1:41" ht="26.25" thickBot="1" x14ac:dyDescent="0.75">
      <c r="A117" s="246" t="s">
        <v>21</v>
      </c>
      <c r="B117" s="142">
        <v>165098</v>
      </c>
      <c r="C117" s="142">
        <v>165098</v>
      </c>
      <c r="D117" s="142">
        <v>330196</v>
      </c>
      <c r="E117" s="142">
        <v>330196</v>
      </c>
      <c r="F117" s="142">
        <v>330196</v>
      </c>
      <c r="G117" s="142">
        <v>330196</v>
      </c>
      <c r="H117" s="142">
        <v>330196</v>
      </c>
      <c r="I117" s="142">
        <v>330196</v>
      </c>
      <c r="J117" s="142">
        <v>330196</v>
      </c>
      <c r="K117" s="142">
        <v>330196</v>
      </c>
      <c r="L117" s="142">
        <v>330196</v>
      </c>
      <c r="M117" s="142">
        <v>330196</v>
      </c>
      <c r="N117" s="142">
        <v>330196</v>
      </c>
      <c r="O117" s="142">
        <v>330196</v>
      </c>
      <c r="P117" s="264">
        <f>O117</f>
        <v>330196</v>
      </c>
      <c r="Q117" s="103"/>
      <c r="R117" s="103"/>
      <c r="S117" s="103"/>
      <c r="T117" s="103"/>
      <c r="U117" s="103"/>
      <c r="V117" s="118"/>
      <c r="W117" s="131"/>
      <c r="X117" s="131"/>
      <c r="Y117" s="131"/>
      <c r="Z117" s="131"/>
      <c r="AA117" s="131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</row>
    <row r="118" spans="1:41" s="103" customFormat="1" x14ac:dyDescent="0.7">
      <c r="A118" s="101"/>
      <c r="B118" s="102"/>
      <c r="C118" s="102"/>
      <c r="V118" s="131"/>
      <c r="W118" s="131"/>
      <c r="X118" s="131"/>
      <c r="Y118" s="131"/>
      <c r="Z118" s="131"/>
      <c r="AA118" s="131"/>
    </row>
    <row r="119" spans="1:41" ht="26.25" thickBot="1" x14ac:dyDescent="0.75">
      <c r="A119" s="101"/>
      <c r="B119" s="102"/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</row>
    <row r="120" spans="1:41" ht="96.75" customHeight="1" x14ac:dyDescent="0.7">
      <c r="A120" s="611" t="s">
        <v>20</v>
      </c>
      <c r="B120" s="102"/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</row>
    <row r="121" spans="1:41" ht="25.5" customHeight="1" x14ac:dyDescent="0.7">
      <c r="A121" s="612"/>
      <c r="B121" s="102"/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</row>
    <row r="122" spans="1:41" ht="26.25" customHeight="1" thickBot="1" x14ac:dyDescent="0.75">
      <c r="A122" s="613"/>
      <c r="B122" s="102"/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</row>
    <row r="123" spans="1:41" ht="26.25" thickBot="1" x14ac:dyDescent="0.75">
      <c r="A123" s="38"/>
      <c r="B123" s="38"/>
      <c r="C123" s="38" t="s">
        <v>19</v>
      </c>
      <c r="D123" s="38" t="s">
        <v>2514</v>
      </c>
      <c r="E123" s="39" t="s">
        <v>18</v>
      </c>
      <c r="F123" s="39" t="s">
        <v>214</v>
      </c>
      <c r="G123" s="39" t="s">
        <v>17</v>
      </c>
      <c r="H123" s="39" t="s">
        <v>2506</v>
      </c>
      <c r="I123" s="39" t="s">
        <v>2508</v>
      </c>
      <c r="J123" s="39" t="s">
        <v>2507</v>
      </c>
      <c r="K123" s="103"/>
      <c r="L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</row>
    <row r="124" spans="1:41" ht="30" customHeight="1" thickTop="1" thickBot="1" x14ac:dyDescent="0.75">
      <c r="A124" s="40" t="s">
        <v>15</v>
      </c>
      <c r="B124" s="41">
        <v>38000</v>
      </c>
      <c r="C124" s="42">
        <f>AVERAGE(I4,B4:E4)</f>
        <v>38776.6</v>
      </c>
      <c r="D124" s="42">
        <f>I4</f>
        <v>44697</v>
      </c>
      <c r="E124" s="43"/>
      <c r="F124" s="43">
        <f>I4*J4/F4</f>
        <v>33139.234399375971</v>
      </c>
      <c r="G124" s="43">
        <v>39000</v>
      </c>
      <c r="H124" s="44">
        <f>AVERAGE(C124:G124)</f>
        <v>38903.208599843994</v>
      </c>
      <c r="I124" s="44">
        <f>MAX(B4:J4)</f>
        <v>54213</v>
      </c>
      <c r="J124" s="44">
        <f>MIN(I4,B4:E4)</f>
        <v>30045</v>
      </c>
      <c r="K124" s="103"/>
      <c r="L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</row>
    <row r="125" spans="1:41" ht="27" thickTop="1" thickBot="1" x14ac:dyDescent="0.75">
      <c r="A125" s="45" t="s">
        <v>16</v>
      </c>
      <c r="B125" s="46">
        <f>پنل!B1</f>
        <v>40500000</v>
      </c>
      <c r="C125" s="47"/>
      <c r="D125" s="48"/>
      <c r="E125" s="48">
        <v>29821918</v>
      </c>
      <c r="F125" s="49">
        <f>J32</f>
        <v>30242857.142857142</v>
      </c>
      <c r="G125" s="49">
        <v>40500000</v>
      </c>
      <c r="H125" s="50"/>
      <c r="I125" s="50"/>
      <c r="J125" s="50"/>
      <c r="K125" s="103"/>
      <c r="L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</row>
    <row r="126" spans="1:41" s="99" customFormat="1" ht="26.25" thickBot="1" x14ac:dyDescent="0.75">
      <c r="A126" s="51" t="s">
        <v>14</v>
      </c>
      <c r="B126" s="52">
        <v>8</v>
      </c>
      <c r="C126" s="299">
        <f>AVERAGE(B62:E62)</f>
        <v>8.0162316776338542</v>
      </c>
      <c r="D126" s="53"/>
      <c r="E126" s="53"/>
      <c r="F126" s="54">
        <f>F62</f>
        <v>9.5443187795896893</v>
      </c>
      <c r="G126" s="55"/>
      <c r="H126" s="55"/>
      <c r="I126" s="55"/>
      <c r="J126" s="55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</row>
    <row r="127" spans="1:41" s="99" customFormat="1" ht="27" thickTop="1" thickBot="1" x14ac:dyDescent="0.75">
      <c r="A127" s="56" t="s">
        <v>13</v>
      </c>
      <c r="B127" s="57">
        <f>B126*B124</f>
        <v>304000</v>
      </c>
      <c r="C127" s="58"/>
      <c r="D127" s="59"/>
      <c r="E127" s="59"/>
      <c r="F127" s="60"/>
      <c r="G127" s="60"/>
      <c r="H127" s="60"/>
      <c r="I127" s="60"/>
      <c r="J127" s="60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</row>
    <row r="128" spans="1:41" ht="25.5" customHeight="1" thickTop="1" thickBot="1" x14ac:dyDescent="0.75">
      <c r="A128" s="61" t="s">
        <v>12</v>
      </c>
      <c r="B128" s="57">
        <f>پنل!B2</f>
        <v>6000000</v>
      </c>
      <c r="C128" s="62">
        <f>AVERAGE(B70:E70)</f>
        <v>2905821.2764849812</v>
      </c>
      <c r="D128" s="63"/>
      <c r="E128" s="63">
        <v>3715894</v>
      </c>
      <c r="F128" s="64">
        <f>F70</f>
        <v>3715893.9028591113</v>
      </c>
      <c r="G128" s="65"/>
      <c r="H128" s="65"/>
      <c r="I128" s="65"/>
      <c r="J128" s="65"/>
      <c r="K128" s="103"/>
      <c r="L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</row>
    <row r="129" spans="1:41" ht="25.5" customHeight="1" thickTop="1" thickBot="1" x14ac:dyDescent="0.75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</row>
    <row r="130" spans="1:41" ht="25.5" customHeight="1" thickTop="1" thickBot="1" x14ac:dyDescent="0.75">
      <c r="A130" s="66" t="s">
        <v>11</v>
      </c>
      <c r="B130" s="67">
        <f>P116</f>
        <v>3061.6548923322175</v>
      </c>
      <c r="C130" s="100"/>
      <c r="D130" s="100"/>
      <c r="E130" s="100"/>
      <c r="F130" s="100"/>
      <c r="G130" s="100"/>
      <c r="H130" s="100"/>
      <c r="I130" s="68">
        <f>MAX(M116,I116,E116,B116)</f>
        <v>1219.9420949981222</v>
      </c>
      <c r="J130" s="68">
        <f>MIN(B116,E116,I116,M116)</f>
        <v>390</v>
      </c>
      <c r="K130" s="103"/>
      <c r="L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</row>
    <row r="131" spans="1:41" ht="26.25" customHeight="1" thickTop="1" thickBot="1" x14ac:dyDescent="0.75">
      <c r="A131" s="101"/>
      <c r="B131" s="102"/>
      <c r="C131" s="102"/>
      <c r="D131" s="103"/>
      <c r="E131" s="103"/>
      <c r="F131" s="103"/>
      <c r="G131" s="103"/>
      <c r="H131" s="103"/>
      <c r="I131" s="103"/>
      <c r="J131" s="103"/>
      <c r="K131" s="104"/>
      <c r="L131" s="104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</row>
    <row r="132" spans="1:41" x14ac:dyDescent="0.7">
      <c r="A132" s="69" t="s">
        <v>10</v>
      </c>
      <c r="B132" s="70">
        <v>0.7</v>
      </c>
      <c r="C132" s="105"/>
      <c r="D132" s="103"/>
      <c r="E132" s="103"/>
      <c r="F132" s="103"/>
      <c r="G132" s="103"/>
      <c r="H132" s="103"/>
      <c r="I132" s="103"/>
      <c r="J132" s="107"/>
      <c r="K132" s="108"/>
      <c r="L132" s="108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</row>
    <row r="133" spans="1:41" ht="26.25" thickBot="1" x14ac:dyDescent="0.75">
      <c r="A133" s="71" t="s">
        <v>9</v>
      </c>
      <c r="B133" s="72">
        <f>B130*B132</f>
        <v>2143.1584246325519</v>
      </c>
      <c r="C133" s="105"/>
      <c r="D133" s="103"/>
      <c r="E133" s="103"/>
      <c r="F133" s="103"/>
      <c r="G133" s="103"/>
      <c r="H133" s="103"/>
      <c r="I133" s="109"/>
      <c r="J133" s="108"/>
      <c r="K133" s="108"/>
      <c r="L133" s="108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</row>
    <row r="134" spans="1:41" ht="26.25" thickBot="1" x14ac:dyDescent="0.75">
      <c r="A134" s="101"/>
      <c r="B134" s="105"/>
      <c r="C134" s="105"/>
      <c r="D134" s="103"/>
      <c r="E134" s="103"/>
      <c r="F134" s="103"/>
      <c r="G134" s="103"/>
      <c r="H134" s="103"/>
      <c r="I134" s="109"/>
      <c r="J134" s="108"/>
      <c r="K134" s="108"/>
      <c r="L134" s="108"/>
      <c r="M134" s="108"/>
      <c r="N134" s="108"/>
      <c r="O134" s="108"/>
      <c r="P134" s="108"/>
      <c r="Q134" s="108"/>
      <c r="R134" s="108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</row>
    <row r="135" spans="1:41" ht="41.25" customHeight="1" thickTop="1" x14ac:dyDescent="0.7">
      <c r="A135" s="172" t="s">
        <v>2510</v>
      </c>
      <c r="B135" s="173" t="s">
        <v>2513</v>
      </c>
      <c r="C135" s="105"/>
      <c r="D135" s="614" t="s">
        <v>2516</v>
      </c>
      <c r="E135" s="617" t="s">
        <v>16</v>
      </c>
      <c r="F135" s="618"/>
      <c r="G135" s="618"/>
      <c r="H135" s="618"/>
      <c r="I135" s="618"/>
      <c r="J135" s="618"/>
      <c r="K135" s="618"/>
      <c r="L135" s="618"/>
      <c r="M135" s="618"/>
      <c r="N135" s="618"/>
      <c r="O135" s="618"/>
      <c r="P135" s="618"/>
      <c r="Q135" s="618"/>
      <c r="R135" s="619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</row>
    <row r="136" spans="1:41" ht="26.25" thickBot="1" x14ac:dyDescent="0.75">
      <c r="A136" s="174" t="s">
        <v>2511</v>
      </c>
      <c r="B136" s="175" t="s">
        <v>2512</v>
      </c>
      <c r="C136" s="103"/>
      <c r="D136" s="615"/>
      <c r="E136" s="620"/>
      <c r="F136" s="621"/>
      <c r="G136" s="621"/>
      <c r="H136" s="621"/>
      <c r="I136" s="621"/>
      <c r="J136" s="621"/>
      <c r="K136" s="621"/>
      <c r="L136" s="621"/>
      <c r="M136" s="621"/>
      <c r="N136" s="621"/>
      <c r="O136" s="621"/>
      <c r="P136" s="621"/>
      <c r="Q136" s="621"/>
      <c r="R136" s="622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</row>
    <row r="137" spans="1:41" ht="30" thickTop="1" thickBot="1" x14ac:dyDescent="0.8">
      <c r="A137" s="103"/>
      <c r="B137" s="103"/>
      <c r="C137" s="103"/>
      <c r="D137" s="615"/>
      <c r="E137" s="326">
        <f>B130</f>
        <v>3061.6548923322175</v>
      </c>
      <c r="F137" s="327">
        <v>28000000</v>
      </c>
      <c r="G137" s="327">
        <v>29000000</v>
      </c>
      <c r="H137" s="327">
        <v>30000000</v>
      </c>
      <c r="I137" s="327">
        <v>31000000</v>
      </c>
      <c r="J137" s="327">
        <v>32000000</v>
      </c>
      <c r="K137" s="327">
        <v>33000000</v>
      </c>
      <c r="L137" s="327">
        <v>34000000</v>
      </c>
      <c r="M137" s="327">
        <v>35000000</v>
      </c>
      <c r="N137" s="327">
        <v>36000000</v>
      </c>
      <c r="O137" s="327">
        <v>37000000</v>
      </c>
      <c r="P137" s="327">
        <v>38000000</v>
      </c>
      <c r="Q137" s="327">
        <v>39000000</v>
      </c>
      <c r="R137" s="328">
        <v>40000000</v>
      </c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</row>
    <row r="138" spans="1:41" ht="28.5" x14ac:dyDescent="0.75">
      <c r="A138" s="74" t="s">
        <v>6</v>
      </c>
      <c r="B138" s="75">
        <v>10</v>
      </c>
      <c r="C138" s="103"/>
      <c r="D138" s="615"/>
      <c r="E138" s="329">
        <v>35000</v>
      </c>
      <c r="F138" s="577">
        <f t="dataTable" ref="F138:R148" dt2D="1" dtr="1" r1="B125" r2="B124"/>
        <v>812.3477064213738</v>
      </c>
      <c r="G138" s="578">
        <v>980.37815062415461</v>
      </c>
      <c r="H138" s="578">
        <v>1148.4085948269362</v>
      </c>
      <c r="I138" s="578">
        <v>1316.4390390297174</v>
      </c>
      <c r="J138" s="578">
        <v>1484.4694832324988</v>
      </c>
      <c r="K138" s="578">
        <v>1652.4999274352801</v>
      </c>
      <c r="L138" s="578">
        <v>1820.5303716380618</v>
      </c>
      <c r="M138" s="578">
        <v>1988.5608158408445</v>
      </c>
      <c r="N138" s="578">
        <v>2156.591260043625</v>
      </c>
      <c r="O138" s="578">
        <v>2324.6217042464064</v>
      </c>
      <c r="P138" s="578">
        <v>2492.6521484491877</v>
      </c>
      <c r="Q138" s="578">
        <v>2660.6825926519709</v>
      </c>
      <c r="R138" s="579">
        <v>2828.7130368547491</v>
      </c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</row>
    <row r="139" spans="1:41" ht="27" customHeight="1" thickBot="1" x14ac:dyDescent="0.8">
      <c r="A139" s="71" t="s">
        <v>4</v>
      </c>
      <c r="B139" s="73">
        <v>18</v>
      </c>
      <c r="C139" s="112"/>
      <c r="D139" s="615"/>
      <c r="E139" s="329">
        <v>37000</v>
      </c>
      <c r="F139" s="580">
        <v>802.22944635027602</v>
      </c>
      <c r="G139" s="581">
        <v>979.01210513880233</v>
      </c>
      <c r="H139" s="581">
        <v>1155.7947639273298</v>
      </c>
      <c r="I139" s="581">
        <v>1332.5774227158549</v>
      </c>
      <c r="J139" s="581">
        <v>1509.3600815043824</v>
      </c>
      <c r="K139" s="581">
        <v>1686.1427402929094</v>
      </c>
      <c r="L139" s="581">
        <v>1862.9253990814357</v>
      </c>
      <c r="M139" s="581">
        <v>2039.7080578699633</v>
      </c>
      <c r="N139" s="581">
        <v>2216.4907166584899</v>
      </c>
      <c r="O139" s="581">
        <v>2393.273375447016</v>
      </c>
      <c r="P139" s="581">
        <v>2570.0560342355438</v>
      </c>
      <c r="Q139" s="581">
        <v>2746.8386930240717</v>
      </c>
      <c r="R139" s="582">
        <v>2923.6213518125965</v>
      </c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</row>
    <row r="140" spans="1:41" ht="28.5" x14ac:dyDescent="0.75">
      <c r="A140" s="101"/>
      <c r="B140" s="102"/>
      <c r="C140" s="105"/>
      <c r="D140" s="615"/>
      <c r="E140" s="329">
        <v>39000</v>
      </c>
      <c r="F140" s="580">
        <v>792.11118627917585</v>
      </c>
      <c r="G140" s="581">
        <v>977.64605965344833</v>
      </c>
      <c r="H140" s="581">
        <v>1163.180933027721</v>
      </c>
      <c r="I140" s="581">
        <v>1348.7158064019925</v>
      </c>
      <c r="J140" s="581">
        <v>1534.2506797762649</v>
      </c>
      <c r="K140" s="581">
        <v>1719.7855531505377</v>
      </c>
      <c r="L140" s="581">
        <v>1905.320426524808</v>
      </c>
      <c r="M140" s="581">
        <v>2090.8552998990813</v>
      </c>
      <c r="N140" s="581">
        <v>2276.390173273353</v>
      </c>
      <c r="O140" s="581">
        <v>2461.9250466476255</v>
      </c>
      <c r="P140" s="581">
        <v>2647.4599200218991</v>
      </c>
      <c r="Q140" s="581">
        <v>2832.9947933961703</v>
      </c>
      <c r="R140" s="582">
        <v>3018.5296667704406</v>
      </c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</row>
    <row r="141" spans="1:41" ht="28.5" x14ac:dyDescent="0.75">
      <c r="A141" s="101"/>
      <c r="B141" s="102"/>
      <c r="C141" s="112"/>
      <c r="D141" s="615"/>
      <c r="E141" s="329">
        <v>41000</v>
      </c>
      <c r="F141" s="580">
        <v>781.99292620807819</v>
      </c>
      <c r="G141" s="581">
        <v>976.28001416809559</v>
      </c>
      <c r="H141" s="581">
        <v>1170.5671021281141</v>
      </c>
      <c r="I141" s="581">
        <v>1364.8541900881305</v>
      </c>
      <c r="J141" s="581">
        <v>1559.1412780481494</v>
      </c>
      <c r="K141" s="581">
        <v>1753.4283660081655</v>
      </c>
      <c r="L141" s="581">
        <v>1947.7154539681844</v>
      </c>
      <c r="M141" s="581">
        <v>2142.0025419282015</v>
      </c>
      <c r="N141" s="581">
        <v>2336.2896298882165</v>
      </c>
      <c r="O141" s="581">
        <v>2530.5767178482342</v>
      </c>
      <c r="P141" s="581">
        <v>2724.8638058082538</v>
      </c>
      <c r="Q141" s="581">
        <v>2919.1508937682711</v>
      </c>
      <c r="R141" s="582">
        <v>3113.4379817282884</v>
      </c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</row>
    <row r="142" spans="1:41" ht="29.25" thickBot="1" x14ac:dyDescent="0.8">
      <c r="A142" s="103"/>
      <c r="B142" s="103"/>
      <c r="C142" s="103"/>
      <c r="D142" s="615"/>
      <c r="E142" s="329">
        <v>43000</v>
      </c>
      <c r="F142" s="580">
        <v>771.87466613697973</v>
      </c>
      <c r="G142" s="581">
        <v>974.91396868274194</v>
      </c>
      <c r="H142" s="581">
        <v>1177.9532712285045</v>
      </c>
      <c r="I142" s="581">
        <v>1380.9925737742678</v>
      </c>
      <c r="J142" s="581">
        <v>1584.0318763200305</v>
      </c>
      <c r="K142" s="581">
        <v>1787.0711788657941</v>
      </c>
      <c r="L142" s="581">
        <v>1990.1104814115563</v>
      </c>
      <c r="M142" s="581">
        <v>2193.1497839573199</v>
      </c>
      <c r="N142" s="581">
        <v>2396.1890865030805</v>
      </c>
      <c r="O142" s="581">
        <v>2599.2283890488429</v>
      </c>
      <c r="P142" s="581">
        <v>2802.2676915946081</v>
      </c>
      <c r="Q142" s="581">
        <v>3005.3069941403714</v>
      </c>
      <c r="R142" s="582">
        <v>3208.3462966861325</v>
      </c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</row>
    <row r="143" spans="1:41" ht="30" thickTop="1" thickBot="1" x14ac:dyDescent="0.8">
      <c r="A143" s="110" t="s">
        <v>1</v>
      </c>
      <c r="B143" s="111">
        <f>VLOOKUP(H1,'دیده بان بازار'!A:W,11,0)</f>
        <v>14062</v>
      </c>
      <c r="C143" s="105"/>
      <c r="D143" s="615"/>
      <c r="E143" s="329">
        <v>45000</v>
      </c>
      <c r="F143" s="580">
        <v>761.75640606588217</v>
      </c>
      <c r="G143" s="581">
        <v>973.54792319739033</v>
      </c>
      <c r="H143" s="581">
        <v>1185.3394403288976</v>
      </c>
      <c r="I143" s="581">
        <v>1397.1309574604061</v>
      </c>
      <c r="J143" s="581">
        <v>1608.9224745919132</v>
      </c>
      <c r="K143" s="581">
        <v>1820.7139917234231</v>
      </c>
      <c r="L143" s="581">
        <v>2032.5055088549302</v>
      </c>
      <c r="M143" s="581">
        <v>2244.2970259864383</v>
      </c>
      <c r="N143" s="581">
        <v>2456.0885431179454</v>
      </c>
      <c r="O143" s="581">
        <v>2667.8800602494557</v>
      </c>
      <c r="P143" s="581">
        <v>2879.6715773809633</v>
      </c>
      <c r="Q143" s="581">
        <v>3091.4630945124723</v>
      </c>
      <c r="R143" s="582">
        <v>3303.2546116439798</v>
      </c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</row>
    <row r="144" spans="1:41" ht="29.25" thickTop="1" x14ac:dyDescent="0.75">
      <c r="A144" s="69">
        <v>5</v>
      </c>
      <c r="B144" s="76">
        <f>$B$143/A144</f>
        <v>2812.4</v>
      </c>
      <c r="C144" s="102"/>
      <c r="D144" s="615"/>
      <c r="E144" s="329">
        <v>47000</v>
      </c>
      <c r="F144" s="580">
        <v>751.6381459947844</v>
      </c>
      <c r="G144" s="581">
        <v>972.18187771203759</v>
      </c>
      <c r="H144" s="581">
        <v>1192.7256094292909</v>
      </c>
      <c r="I144" s="581">
        <v>1413.2693411465441</v>
      </c>
      <c r="J144" s="581">
        <v>1633.8130728637977</v>
      </c>
      <c r="K144" s="581">
        <v>1854.3568045810507</v>
      </c>
      <c r="L144" s="581">
        <v>2074.9005362983039</v>
      </c>
      <c r="M144" s="581">
        <v>2295.4442680155585</v>
      </c>
      <c r="N144" s="581">
        <v>2515.9879997328107</v>
      </c>
      <c r="O144" s="581">
        <v>2736.5317314500653</v>
      </c>
      <c r="P144" s="581">
        <v>2957.0754631673199</v>
      </c>
      <c r="Q144" s="581">
        <v>3177.6191948845726</v>
      </c>
      <c r="R144" s="582">
        <v>3398.1629266018263</v>
      </c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</row>
    <row r="145" spans="1:60" ht="28.5" x14ac:dyDescent="0.75">
      <c r="A145" s="77">
        <v>6</v>
      </c>
      <c r="B145" s="78">
        <f>$B$143/A145</f>
        <v>2343.6666666666665</v>
      </c>
      <c r="C145" s="102"/>
      <c r="D145" s="615"/>
      <c r="E145" s="329">
        <v>49000</v>
      </c>
      <c r="F145" s="580">
        <v>741.51988592368468</v>
      </c>
      <c r="G145" s="581">
        <v>970.81583222668394</v>
      </c>
      <c r="H145" s="581">
        <v>1200.111778529681</v>
      </c>
      <c r="I145" s="581">
        <v>1429.4077248326814</v>
      </c>
      <c r="J145" s="581">
        <v>1658.7036711356802</v>
      </c>
      <c r="K145" s="581">
        <v>1887.9996174386797</v>
      </c>
      <c r="L145" s="581">
        <v>2117.2955637416771</v>
      </c>
      <c r="M145" s="581">
        <v>2346.5915100446769</v>
      </c>
      <c r="N145" s="581">
        <v>2575.8874563476738</v>
      </c>
      <c r="O145" s="581">
        <v>2805.1834026506735</v>
      </c>
      <c r="P145" s="581">
        <v>3034.4793489536733</v>
      </c>
      <c r="Q145" s="581">
        <v>3263.7752952566716</v>
      </c>
      <c r="R145" s="582">
        <v>3493.0712415596709</v>
      </c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</row>
    <row r="146" spans="1:60" ht="29.25" thickBot="1" x14ac:dyDescent="0.8">
      <c r="A146" s="71">
        <v>7</v>
      </c>
      <c r="B146" s="79">
        <f>$B$143/A146</f>
        <v>2008.8571428571429</v>
      </c>
      <c r="C146" s="102"/>
      <c r="D146" s="615"/>
      <c r="E146" s="329">
        <v>51000</v>
      </c>
      <c r="F146" s="583">
        <v>731.40162585258759</v>
      </c>
      <c r="G146" s="584">
        <v>969.44978674133176</v>
      </c>
      <c r="H146" s="584">
        <v>1207.4979476300762</v>
      </c>
      <c r="I146" s="584">
        <v>1445.546108518819</v>
      </c>
      <c r="J146" s="581">
        <v>1683.5942694075623</v>
      </c>
      <c r="K146" s="581">
        <v>1921.6424302963067</v>
      </c>
      <c r="L146" s="581">
        <v>2159.6905911850517</v>
      </c>
      <c r="M146" s="581">
        <v>2397.7387520737948</v>
      </c>
      <c r="N146" s="581">
        <v>2635.7869129625378</v>
      </c>
      <c r="O146" s="581">
        <v>2873.835073851285</v>
      </c>
      <c r="P146" s="581">
        <v>3111.8832347400275</v>
      </c>
      <c r="Q146" s="581">
        <v>3349.9313956287733</v>
      </c>
      <c r="R146" s="582">
        <v>3587.9795565175159</v>
      </c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</row>
    <row r="147" spans="1:60" ht="28.5" x14ac:dyDescent="0.75">
      <c r="A147" s="103"/>
      <c r="B147" s="103"/>
      <c r="C147" s="102"/>
      <c r="D147" s="615"/>
      <c r="E147" s="329">
        <v>53000</v>
      </c>
      <c r="F147" s="580">
        <v>721.28336578148799</v>
      </c>
      <c r="G147" s="581">
        <v>968.08374125597697</v>
      </c>
      <c r="H147" s="581">
        <v>1214.8841167304663</v>
      </c>
      <c r="I147" s="581">
        <v>1461.6844922049565</v>
      </c>
      <c r="J147" s="581">
        <v>1708.484867679445</v>
      </c>
      <c r="K147" s="581">
        <v>1955.285243153935</v>
      </c>
      <c r="L147" s="581">
        <v>2202.0856186284241</v>
      </c>
      <c r="M147" s="581">
        <v>2448.8859941029145</v>
      </c>
      <c r="N147" s="581">
        <v>2695.6863695774027</v>
      </c>
      <c r="O147" s="581">
        <v>2942.4867450518936</v>
      </c>
      <c r="P147" s="581">
        <v>3189.2871205263828</v>
      </c>
      <c r="Q147" s="581">
        <v>3436.0874960008723</v>
      </c>
      <c r="R147" s="582">
        <v>3682.8878714753623</v>
      </c>
      <c r="S147" s="81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</row>
    <row r="148" spans="1:60" s="103" customFormat="1" ht="29.25" thickBot="1" x14ac:dyDescent="0.8">
      <c r="A148" s="101"/>
      <c r="B148" s="102"/>
      <c r="C148" s="102"/>
      <c r="D148" s="616"/>
      <c r="E148" s="330">
        <v>55000</v>
      </c>
      <c r="F148" s="585">
        <v>711.16510571038839</v>
      </c>
      <c r="G148" s="586">
        <v>966.71769577062366</v>
      </c>
      <c r="H148" s="586">
        <v>1222.2702858308589</v>
      </c>
      <c r="I148" s="586">
        <v>1477.8228758910941</v>
      </c>
      <c r="J148" s="586">
        <v>1733.3754659513272</v>
      </c>
      <c r="K148" s="586">
        <v>1988.9280560115637</v>
      </c>
      <c r="L148" s="586">
        <v>2244.4806460717973</v>
      </c>
      <c r="M148" s="586">
        <v>2500.0332361320329</v>
      </c>
      <c r="N148" s="586">
        <v>2755.5858261922676</v>
      </c>
      <c r="O148" s="586">
        <v>3011.1384162525028</v>
      </c>
      <c r="P148" s="586">
        <v>3266.691006312737</v>
      </c>
      <c r="Q148" s="586">
        <v>3522.2435963729745</v>
      </c>
      <c r="R148" s="587">
        <v>3777.7961864332069</v>
      </c>
    </row>
    <row r="149" spans="1:60" ht="27" thickTop="1" thickBot="1" x14ac:dyDescent="0.75">
      <c r="A149" s="319">
        <v>0.2</v>
      </c>
      <c r="B149" s="320" t="s">
        <v>2519</v>
      </c>
      <c r="C149" s="102"/>
      <c r="D149" s="103"/>
      <c r="E149" s="103"/>
      <c r="F149" s="103"/>
      <c r="G149" s="103"/>
      <c r="H149" s="103"/>
      <c r="I149" s="103"/>
      <c r="J149" s="103"/>
      <c r="K149" s="103"/>
      <c r="L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</row>
    <row r="150" spans="1:60" ht="26.25" thickTop="1" x14ac:dyDescent="0.7">
      <c r="A150" s="321" t="s">
        <v>8</v>
      </c>
      <c r="B150" s="322" t="s">
        <v>7</v>
      </c>
      <c r="C150" s="102"/>
      <c r="D150" s="103"/>
      <c r="E150" s="103"/>
      <c r="F150" s="103"/>
      <c r="G150" s="103"/>
      <c r="H150" s="103"/>
      <c r="I150" s="103"/>
      <c r="J150" s="103"/>
      <c r="K150" s="103"/>
      <c r="L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  <c r="BD150" s="103"/>
      <c r="BE150" s="103"/>
      <c r="BF150" s="103"/>
      <c r="BG150" s="103"/>
      <c r="BH150" s="103"/>
    </row>
    <row r="151" spans="1:60" ht="26.25" thickBot="1" x14ac:dyDescent="0.75">
      <c r="A151" s="324">
        <f>A149/12</f>
        <v>1.6666666666666666E-2</v>
      </c>
      <c r="B151" s="323">
        <v>5</v>
      </c>
      <c r="C151" s="102"/>
      <c r="D151" s="103"/>
      <c r="E151" s="103"/>
      <c r="F151" s="103"/>
      <c r="G151" s="103"/>
      <c r="H151" s="103"/>
      <c r="I151" s="103"/>
      <c r="J151" s="103"/>
      <c r="K151" s="103"/>
      <c r="L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  <c r="BD151" s="103"/>
      <c r="BE151" s="103"/>
      <c r="BF151" s="103"/>
      <c r="BG151" s="103"/>
      <c r="BH151" s="103"/>
    </row>
    <row r="152" spans="1:60" ht="26.25" thickTop="1" x14ac:dyDescent="0.7">
      <c r="A152" s="176" t="s">
        <v>5</v>
      </c>
      <c r="B152" s="177">
        <f>B130*B151</f>
        <v>15308.274461661087</v>
      </c>
      <c r="C152" s="102"/>
      <c r="D152" s="103"/>
      <c r="E152" s="103"/>
      <c r="F152" s="103"/>
      <c r="G152" s="103"/>
      <c r="H152" s="103"/>
      <c r="I152" s="103"/>
      <c r="J152" s="103"/>
      <c r="K152" s="103"/>
      <c r="L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  <c r="BD152" s="103"/>
      <c r="BE152" s="103"/>
      <c r="BF152" s="103"/>
      <c r="BG152" s="103"/>
      <c r="BH152" s="103"/>
    </row>
    <row r="153" spans="1:60" ht="22.5" customHeight="1" x14ac:dyDescent="0.7">
      <c r="A153" s="176" t="s">
        <v>3</v>
      </c>
      <c r="B153" s="177">
        <f>B152/(1+A151)^B138</f>
        <v>12975.986762065815</v>
      </c>
      <c r="C153" s="102"/>
      <c r="D153" s="103"/>
      <c r="E153" s="103"/>
      <c r="F153" s="103"/>
      <c r="G153" s="103"/>
      <c r="H153" s="103"/>
      <c r="I153" s="103"/>
      <c r="J153" s="103"/>
      <c r="K153" s="103"/>
      <c r="L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  <c r="BD153" s="103"/>
      <c r="BE153" s="103"/>
      <c r="BF153" s="103"/>
      <c r="BG153" s="103"/>
      <c r="BH153" s="103"/>
    </row>
    <row r="154" spans="1:60" ht="26.25" thickBot="1" x14ac:dyDescent="0.75">
      <c r="A154" s="178" t="s">
        <v>2</v>
      </c>
      <c r="B154" s="179">
        <f>B133/(1+A151)^B139</f>
        <v>1591.6213365490278</v>
      </c>
      <c r="C154" s="102"/>
      <c r="D154" s="103"/>
      <c r="E154" s="103"/>
      <c r="F154" s="103"/>
      <c r="G154" s="103"/>
      <c r="H154" s="103"/>
      <c r="I154" s="103"/>
      <c r="J154" s="103"/>
      <c r="K154" s="103"/>
      <c r="L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  <c r="BD154" s="103"/>
      <c r="BE154" s="103"/>
      <c r="BF154" s="103"/>
      <c r="BG154" s="103"/>
      <c r="BH154" s="103"/>
    </row>
    <row r="155" spans="1:60" ht="27" thickTop="1" thickBot="1" x14ac:dyDescent="0.75">
      <c r="A155" s="180" t="s">
        <v>0</v>
      </c>
      <c r="B155" s="181">
        <f>B154+B153</f>
        <v>14567.608098614843</v>
      </c>
      <c r="C155" s="102"/>
      <c r="D155" s="103"/>
      <c r="E155" s="103"/>
      <c r="F155" s="103"/>
      <c r="G155" s="103"/>
      <c r="H155" s="103"/>
      <c r="I155" s="103"/>
      <c r="J155" s="103"/>
      <c r="K155" s="103"/>
      <c r="L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  <c r="BD155" s="103"/>
      <c r="BE155" s="103"/>
      <c r="BF155" s="103"/>
      <c r="BG155" s="103"/>
      <c r="BH155" s="103"/>
    </row>
    <row r="156" spans="1:60" s="103" customFormat="1" ht="26.25" thickTop="1" x14ac:dyDescent="0.7">
      <c r="A156" s="101"/>
      <c r="B156" s="102"/>
      <c r="C156" s="102"/>
      <c r="F156" s="80"/>
      <c r="G156" s="81"/>
      <c r="H156" s="81"/>
      <c r="I156" s="81"/>
      <c r="J156" s="81"/>
      <c r="N156" s="81"/>
      <c r="O156" s="81"/>
      <c r="P156" s="81"/>
      <c r="Q156" s="81"/>
      <c r="R156" s="81"/>
      <c r="S156" s="81"/>
    </row>
    <row r="157" spans="1:60" s="103" customFormat="1" x14ac:dyDescent="0.7">
      <c r="A157" s="101"/>
      <c r="B157" s="102"/>
      <c r="C157" s="102"/>
    </row>
    <row r="158" spans="1:60" s="103" customFormat="1" x14ac:dyDescent="0.7">
      <c r="A158" s="101"/>
      <c r="B158" s="102"/>
      <c r="C158" s="102"/>
    </row>
    <row r="159" spans="1:60" s="103" customFormat="1" x14ac:dyDescent="0.7">
      <c r="A159" s="101"/>
      <c r="B159" s="102"/>
      <c r="C159" s="102"/>
    </row>
    <row r="160" spans="1:60" s="103" customFormat="1" x14ac:dyDescent="0.7">
      <c r="A160" s="101"/>
      <c r="B160" s="102"/>
      <c r="C160" s="102"/>
    </row>
    <row r="161" spans="1:19" s="103" customFormat="1" x14ac:dyDescent="0.7">
      <c r="A161" s="101"/>
      <c r="B161" s="102"/>
      <c r="C161" s="102"/>
    </row>
    <row r="162" spans="1:19" s="103" customFormat="1" x14ac:dyDescent="0.7">
      <c r="A162" s="101"/>
      <c r="B162" s="102"/>
      <c r="C162" s="102"/>
    </row>
    <row r="163" spans="1:19" s="103" customFormat="1" x14ac:dyDescent="0.7">
      <c r="A163" s="101"/>
      <c r="B163" s="102"/>
      <c r="C163" s="102"/>
    </row>
    <row r="164" spans="1:19" s="103" customFormat="1" x14ac:dyDescent="0.7">
      <c r="A164" s="101"/>
      <c r="B164" s="102"/>
      <c r="C164" s="102"/>
    </row>
    <row r="165" spans="1:19" s="103" customFormat="1" x14ac:dyDescent="0.7">
      <c r="A165" s="101"/>
      <c r="B165" s="102"/>
      <c r="C165" s="102"/>
    </row>
    <row r="169" spans="1:19" x14ac:dyDescent="0.7">
      <c r="F169" s="82"/>
      <c r="G169" s="83"/>
      <c r="H169" s="83"/>
      <c r="I169" s="83"/>
      <c r="J169" s="83"/>
      <c r="N169" s="83"/>
      <c r="O169" s="83"/>
      <c r="P169" s="83"/>
      <c r="Q169" s="83"/>
      <c r="R169" s="83"/>
      <c r="S169" s="83"/>
    </row>
    <row r="170" spans="1:19" x14ac:dyDescent="0.7">
      <c r="F170" s="82"/>
      <c r="G170" s="83"/>
      <c r="H170" s="83"/>
      <c r="I170" s="83"/>
      <c r="J170" s="83"/>
      <c r="N170" s="83"/>
      <c r="O170" s="83"/>
      <c r="P170" s="83"/>
      <c r="Q170" s="83"/>
      <c r="R170" s="83"/>
      <c r="S170" s="83"/>
    </row>
    <row r="171" spans="1:19" x14ac:dyDescent="0.7">
      <c r="F171" s="82"/>
      <c r="G171" s="83"/>
      <c r="H171" s="83"/>
      <c r="I171" s="83"/>
      <c r="J171" s="83"/>
      <c r="N171" s="83"/>
      <c r="O171" s="83"/>
      <c r="P171" s="83"/>
      <c r="Q171" s="83"/>
      <c r="R171" s="83"/>
      <c r="S171" s="83"/>
    </row>
    <row r="172" spans="1:19" x14ac:dyDescent="0.7">
      <c r="F172" s="82"/>
      <c r="G172" s="83"/>
      <c r="H172" s="83"/>
      <c r="I172" s="83"/>
      <c r="J172" s="83"/>
      <c r="N172" s="83"/>
      <c r="O172" s="83"/>
      <c r="P172" s="83"/>
      <c r="Q172" s="83"/>
      <c r="R172" s="83"/>
      <c r="S172" s="83"/>
    </row>
    <row r="173" spans="1:19" x14ac:dyDescent="0.7">
      <c r="E173" s="114"/>
      <c r="F173" s="114"/>
      <c r="G173" s="84"/>
      <c r="H173" s="85"/>
      <c r="I173" s="83"/>
      <c r="J173" s="83"/>
      <c r="N173" s="83"/>
      <c r="O173" s="83"/>
      <c r="P173" s="83"/>
      <c r="Q173" s="83"/>
      <c r="R173" s="83"/>
      <c r="S173" s="83"/>
    </row>
    <row r="174" spans="1:19" x14ac:dyDescent="0.7">
      <c r="E174" s="114"/>
      <c r="F174" s="114"/>
      <c r="G174" s="84"/>
      <c r="H174" s="85"/>
      <c r="I174" s="83"/>
      <c r="J174" s="83"/>
      <c r="N174" s="83"/>
      <c r="O174" s="83"/>
      <c r="P174" s="83"/>
      <c r="Q174" s="83"/>
      <c r="R174" s="83"/>
      <c r="S174" s="83"/>
    </row>
    <row r="175" spans="1:19" x14ac:dyDescent="0.7">
      <c r="E175" s="114"/>
      <c r="F175" s="114"/>
      <c r="G175" s="84"/>
      <c r="H175" s="85"/>
      <c r="I175" s="83"/>
      <c r="J175" s="83"/>
      <c r="N175" s="83"/>
      <c r="O175" s="83"/>
      <c r="P175" s="83"/>
      <c r="Q175" s="83"/>
      <c r="R175" s="83"/>
      <c r="S175" s="83"/>
    </row>
    <row r="176" spans="1:19" x14ac:dyDescent="0.7">
      <c r="E176" s="114"/>
      <c r="F176" s="114"/>
      <c r="G176" s="84"/>
      <c r="H176" s="85"/>
      <c r="I176" s="83"/>
      <c r="J176" s="83"/>
      <c r="N176" s="83"/>
      <c r="O176" s="83"/>
      <c r="P176" s="83"/>
      <c r="Q176" s="83"/>
      <c r="R176" s="83"/>
      <c r="S176" s="83"/>
    </row>
    <row r="177" spans="5:19" x14ac:dyDescent="0.7">
      <c r="E177" s="114"/>
      <c r="F177" s="114"/>
      <c r="G177" s="84"/>
      <c r="H177" s="85"/>
      <c r="I177" s="83"/>
      <c r="J177" s="83"/>
      <c r="N177" s="83"/>
      <c r="O177" s="83"/>
      <c r="P177" s="83"/>
      <c r="Q177" s="83"/>
      <c r="R177" s="83"/>
      <c r="S177" s="83"/>
    </row>
    <row r="178" spans="5:19" x14ac:dyDescent="0.7">
      <c r="E178" s="114"/>
      <c r="F178" s="114"/>
      <c r="G178" s="84"/>
      <c r="H178" s="84"/>
      <c r="I178" s="83"/>
      <c r="J178" s="83"/>
      <c r="N178" s="83"/>
      <c r="O178" s="83"/>
      <c r="P178" s="83"/>
      <c r="Q178" s="83"/>
      <c r="R178" s="83"/>
      <c r="S178" s="83"/>
    </row>
    <row r="179" spans="5:19" x14ac:dyDescent="0.7">
      <c r="E179" s="114"/>
      <c r="F179" s="114"/>
      <c r="G179" s="84"/>
      <c r="H179" s="85"/>
      <c r="I179" s="83"/>
      <c r="J179" s="83"/>
      <c r="N179" s="83"/>
      <c r="O179" s="83"/>
      <c r="P179" s="83"/>
      <c r="Q179" s="83"/>
      <c r="R179" s="83"/>
      <c r="S179" s="83"/>
    </row>
    <row r="180" spans="5:19" x14ac:dyDescent="0.7">
      <c r="E180" s="114"/>
      <c r="F180" s="114"/>
      <c r="G180" s="84"/>
      <c r="H180" s="85"/>
      <c r="I180" s="83"/>
      <c r="J180" s="83"/>
      <c r="N180" s="83"/>
      <c r="O180" s="83"/>
      <c r="P180" s="83"/>
      <c r="Q180" s="83"/>
      <c r="R180" s="83"/>
      <c r="S180" s="83"/>
    </row>
    <row r="181" spans="5:19" x14ac:dyDescent="0.7">
      <c r="E181" s="115"/>
      <c r="F181" s="115"/>
    </row>
    <row r="182" spans="5:19" x14ac:dyDescent="0.7">
      <c r="E182" s="114"/>
      <c r="F182" s="114"/>
      <c r="G182" s="115"/>
    </row>
    <row r="183" spans="5:19" x14ac:dyDescent="0.7">
      <c r="E183" s="115"/>
      <c r="F183" s="114"/>
    </row>
    <row r="184" spans="5:19" x14ac:dyDescent="0.7">
      <c r="E184" s="115"/>
      <c r="F184" s="115"/>
    </row>
    <row r="185" spans="5:19" x14ac:dyDescent="0.7">
      <c r="E185" s="114"/>
      <c r="F185" s="114"/>
      <c r="G185" s="115"/>
    </row>
    <row r="186" spans="5:19" x14ac:dyDescent="0.7">
      <c r="E186" s="114"/>
      <c r="F186" s="114"/>
    </row>
    <row r="187" spans="5:19" x14ac:dyDescent="0.7">
      <c r="E187" s="115"/>
      <c r="F187" s="115"/>
    </row>
    <row r="188" spans="5:19" x14ac:dyDescent="0.7">
      <c r="E188" s="114"/>
      <c r="F188" s="114"/>
      <c r="G188" s="115"/>
    </row>
  </sheetData>
  <mergeCells count="4">
    <mergeCell ref="F1:G1"/>
    <mergeCell ref="A120:A122"/>
    <mergeCell ref="D135:D148"/>
    <mergeCell ref="E135:R136"/>
  </mergeCells>
  <conditionalFormatting sqref="K134:R134 K133:L133 F148:I148">
    <cfRule type="colorScale" priority="5">
      <colorScale>
        <cfvo type="num" val="$B$146"/>
        <cfvo type="num" val="$B$145"/>
        <cfvo type="num" val="$B$144"/>
        <color rgb="FFF8696B"/>
        <color rgb="FFFFEB84"/>
        <color rgb="FF63BE7B"/>
      </colorScale>
    </cfRule>
  </conditionalFormatting>
  <conditionalFormatting sqref="F138:R148">
    <cfRule type="colorScale" priority="1">
      <colorScale>
        <cfvo type="num" val="$B$146"/>
        <cfvo type="num" val="$B$145"/>
        <cfvo type="num" val="$B$144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2"/>
  <sheetViews>
    <sheetView rightToLeft="1" topLeftCell="A111" zoomScale="40" zoomScaleNormal="40" workbookViewId="0">
      <selection activeCell="A125" sqref="A125:A127"/>
    </sheetView>
  </sheetViews>
  <sheetFormatPr defaultRowHeight="25.5" x14ac:dyDescent="0.7"/>
  <cols>
    <col min="1" max="1" width="57" style="87" bestFit="1" customWidth="1"/>
    <col min="2" max="2" width="21.7109375" style="87" bestFit="1" customWidth="1"/>
    <col min="3" max="3" width="16.5703125" style="87" bestFit="1" customWidth="1"/>
    <col min="4" max="4" width="32.140625" style="87" bestFit="1" customWidth="1"/>
    <col min="5" max="5" width="27.85546875" style="87" bestFit="1" customWidth="1"/>
    <col min="6" max="6" width="17.5703125" style="87" bestFit="1" customWidth="1"/>
    <col min="7" max="7" width="25.5703125" style="87" bestFit="1" customWidth="1"/>
    <col min="8" max="8" width="25.140625" style="87" bestFit="1" customWidth="1"/>
    <col min="9" max="9" width="24" style="87" bestFit="1" customWidth="1"/>
    <col min="10" max="10" width="25.5703125" style="87" bestFit="1" customWidth="1"/>
    <col min="11" max="12" width="17.28515625" style="87" bestFit="1" customWidth="1"/>
    <col min="13" max="13" width="20.140625" style="87" bestFit="1" customWidth="1"/>
    <col min="14" max="14" width="18" style="87" bestFit="1" customWidth="1"/>
    <col min="15" max="15" width="25.5703125" style="87" bestFit="1" customWidth="1"/>
    <col min="16" max="16" width="16" style="87" customWidth="1"/>
    <col min="17" max="18" width="15.140625" style="87" bestFit="1" customWidth="1"/>
    <col min="19" max="19" width="36.5703125" style="89" bestFit="1" customWidth="1"/>
    <col min="20" max="20" width="17.28515625" style="89" bestFit="1" customWidth="1"/>
    <col min="21" max="21" width="16.5703125" style="89" bestFit="1" customWidth="1"/>
    <col min="22" max="22" width="16.28515625" style="89" bestFit="1" customWidth="1"/>
    <col min="23" max="23" width="13.7109375" style="89" bestFit="1" customWidth="1"/>
    <col min="24" max="25" width="13.42578125" style="89" bestFit="1" customWidth="1"/>
    <col min="26" max="26" width="11.28515625" style="89" bestFit="1" customWidth="1"/>
    <col min="27" max="27" width="9.28515625" style="89" bestFit="1" customWidth="1"/>
    <col min="28" max="28" width="12.28515625" style="89" bestFit="1" customWidth="1"/>
    <col min="29" max="29" width="13.7109375" style="89" bestFit="1" customWidth="1"/>
    <col min="30" max="30" width="11.5703125" style="87" bestFit="1" customWidth="1"/>
    <col min="31" max="31" width="9.42578125" style="87" bestFit="1" customWidth="1"/>
    <col min="32" max="32" width="12.28515625" style="87" bestFit="1" customWidth="1"/>
    <col min="33" max="33" width="21.140625" style="87" bestFit="1" customWidth="1"/>
    <col min="34" max="34" width="14.7109375" style="87" bestFit="1" customWidth="1"/>
    <col min="35" max="35" width="9.140625" style="87"/>
    <col min="36" max="36" width="30" style="87" bestFit="1" customWidth="1"/>
    <col min="37" max="37" width="9.140625" style="87"/>
    <col min="38" max="38" width="14.85546875" style="87" customWidth="1"/>
    <col min="39" max="39" width="9.42578125" style="87" bestFit="1" customWidth="1"/>
    <col min="40" max="40" width="13.140625" style="87" customWidth="1"/>
    <col min="41" max="41" width="9.7109375" style="87" bestFit="1" customWidth="1"/>
    <col min="42" max="46" width="9.42578125" style="87" bestFit="1" customWidth="1"/>
    <col min="47" max="47" width="12.28515625" style="87" customWidth="1"/>
    <col min="48" max="48" width="9.7109375" style="87" bestFit="1" customWidth="1"/>
    <col min="49" max="50" width="9.42578125" style="87" bestFit="1" customWidth="1"/>
    <col min="51" max="51" width="12.28515625" style="87" customWidth="1"/>
    <col min="52" max="52" width="9.7109375" style="87" bestFit="1" customWidth="1"/>
    <col min="53" max="54" width="9.42578125" style="87" bestFit="1" customWidth="1"/>
    <col min="55" max="55" width="12.85546875" style="87" customWidth="1"/>
    <col min="56" max="56" width="11.42578125" style="87" customWidth="1"/>
    <col min="57" max="57" width="23.42578125" style="87" customWidth="1"/>
    <col min="58" max="16384" width="9.140625" style="87"/>
  </cols>
  <sheetData>
    <row r="1" spans="1:57" ht="45.75" thickTop="1" thickBot="1" x14ac:dyDescent="1.2">
      <c r="G1" s="623" t="str">
        <f>VLOOKUP(I1,'دیده بان بازار'!A:Y,2,0)</f>
        <v>قنداصفهان‌</v>
      </c>
      <c r="H1" s="624"/>
      <c r="I1" s="331" t="s">
        <v>1523</v>
      </c>
    </row>
    <row r="2" spans="1:57" ht="27" thickTop="1" thickBot="1" x14ac:dyDescent="0.75"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</row>
    <row r="3" spans="1:57" ht="30" customHeight="1" x14ac:dyDescent="0.7">
      <c r="A3" s="90" t="s">
        <v>102</v>
      </c>
      <c r="B3" s="91" t="s">
        <v>106</v>
      </c>
      <c r="C3" s="91" t="s">
        <v>97</v>
      </c>
      <c r="D3" s="91" t="s">
        <v>96</v>
      </c>
      <c r="E3" s="92" t="s">
        <v>62</v>
      </c>
      <c r="F3" s="92" t="s">
        <v>107</v>
      </c>
      <c r="G3" s="92" t="s">
        <v>108</v>
      </c>
      <c r="H3" s="92" t="s">
        <v>109</v>
      </c>
      <c r="I3" s="92" t="s">
        <v>40</v>
      </c>
      <c r="J3" s="92" t="s">
        <v>55</v>
      </c>
      <c r="K3" s="92" t="s">
        <v>95</v>
      </c>
      <c r="L3" s="92" t="s">
        <v>94</v>
      </c>
      <c r="M3" s="92" t="s">
        <v>39</v>
      </c>
      <c r="N3" s="92" t="s">
        <v>54</v>
      </c>
      <c r="O3" s="92" t="s">
        <v>93</v>
      </c>
      <c r="P3" s="93" t="s">
        <v>38</v>
      </c>
      <c r="S3" s="90" t="s">
        <v>101</v>
      </c>
      <c r="T3" s="91" t="s">
        <v>106</v>
      </c>
      <c r="U3" s="91" t="s">
        <v>97</v>
      </c>
      <c r="V3" s="91" t="s">
        <v>96</v>
      </c>
      <c r="W3" s="92" t="s">
        <v>62</v>
      </c>
      <c r="X3" s="92" t="s">
        <v>107</v>
      </c>
      <c r="Y3" s="92" t="s">
        <v>108</v>
      </c>
      <c r="Z3" s="92" t="s">
        <v>109</v>
      </c>
      <c r="AA3" s="92" t="s">
        <v>40</v>
      </c>
      <c r="AB3" s="92" t="s">
        <v>55</v>
      </c>
      <c r="AC3" s="92" t="s">
        <v>95</v>
      </c>
      <c r="AD3" s="92" t="s">
        <v>94</v>
      </c>
      <c r="AE3" s="92" t="s">
        <v>39</v>
      </c>
      <c r="AF3" s="92" t="s">
        <v>54</v>
      </c>
      <c r="AG3" s="92" t="s">
        <v>93</v>
      </c>
      <c r="AH3" s="93" t="s">
        <v>38</v>
      </c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89"/>
    </row>
    <row r="4" spans="1:57" x14ac:dyDescent="0.7">
      <c r="A4" s="184" t="s">
        <v>92</v>
      </c>
      <c r="B4" s="185">
        <v>36292</v>
      </c>
      <c r="C4" s="186">
        <v>54996</v>
      </c>
      <c r="D4" s="185">
        <v>66119</v>
      </c>
      <c r="E4" s="185">
        <v>62841</v>
      </c>
      <c r="F4" s="185">
        <v>16642</v>
      </c>
      <c r="G4" s="185">
        <v>20720</v>
      </c>
      <c r="H4" s="185">
        <v>57104</v>
      </c>
      <c r="I4" s="185">
        <v>77841</v>
      </c>
      <c r="J4" s="185">
        <v>12179</v>
      </c>
      <c r="K4" s="185">
        <v>20720</v>
      </c>
      <c r="L4" s="185">
        <v>55506</v>
      </c>
      <c r="M4" s="185">
        <v>71275</v>
      </c>
      <c r="N4" s="185">
        <v>8267</v>
      </c>
      <c r="O4" s="185">
        <f>P4-N4</f>
        <v>61733</v>
      </c>
      <c r="P4" s="187">
        <f>B130</f>
        <v>70000</v>
      </c>
      <c r="S4" s="94" t="s">
        <v>92</v>
      </c>
      <c r="T4" s="156">
        <f>B4/B4</f>
        <v>1</v>
      </c>
      <c r="U4" s="156">
        <f t="shared" ref="U4:AF4" si="0">C4/C4</f>
        <v>1</v>
      </c>
      <c r="V4" s="156">
        <f t="shared" si="0"/>
        <v>1</v>
      </c>
      <c r="W4" s="156">
        <f t="shared" si="0"/>
        <v>1</v>
      </c>
      <c r="X4" s="156">
        <f t="shared" si="0"/>
        <v>1</v>
      </c>
      <c r="Y4" s="156">
        <f t="shared" si="0"/>
        <v>1</v>
      </c>
      <c r="Z4" s="156">
        <f t="shared" si="0"/>
        <v>1</v>
      </c>
      <c r="AA4" s="156">
        <f t="shared" si="0"/>
        <v>1</v>
      </c>
      <c r="AB4" s="156">
        <f t="shared" si="0"/>
        <v>1</v>
      </c>
      <c r="AC4" s="156">
        <f t="shared" si="0"/>
        <v>1</v>
      </c>
      <c r="AD4" s="156">
        <f t="shared" si="0"/>
        <v>1</v>
      </c>
      <c r="AE4" s="156">
        <f t="shared" si="0"/>
        <v>1</v>
      </c>
      <c r="AF4" s="156">
        <f t="shared" si="0"/>
        <v>1</v>
      </c>
      <c r="AG4" s="156"/>
      <c r="AH4" s="229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89"/>
    </row>
    <row r="5" spans="1:57" x14ac:dyDescent="0.7">
      <c r="A5" s="184" t="s">
        <v>89</v>
      </c>
      <c r="B5" s="185">
        <v>17413</v>
      </c>
      <c r="C5" s="186">
        <v>28375</v>
      </c>
      <c r="D5" s="185">
        <v>38019</v>
      </c>
      <c r="E5" s="185">
        <v>36544</v>
      </c>
      <c r="F5" s="185">
        <v>10062</v>
      </c>
      <c r="G5" s="185">
        <v>15696</v>
      </c>
      <c r="H5" s="185">
        <v>31818</v>
      </c>
      <c r="I5" s="185">
        <v>41785</v>
      </c>
      <c r="J5" s="185">
        <v>8107</v>
      </c>
      <c r="K5" s="185">
        <v>15696</v>
      </c>
      <c r="L5" s="185">
        <v>35496</v>
      </c>
      <c r="M5" s="185">
        <v>43335</v>
      </c>
      <c r="N5" s="185">
        <v>5200</v>
      </c>
      <c r="O5" s="185">
        <f t="shared" ref="O5:O8" si="1">P5-N5</f>
        <v>33266.000476031484</v>
      </c>
      <c r="P5" s="187">
        <f>P4*AH5</f>
        <v>38466.000476031484</v>
      </c>
      <c r="S5" s="94" t="s">
        <v>89</v>
      </c>
      <c r="T5" s="156">
        <f>B5/B4</f>
        <v>0.47980271134134245</v>
      </c>
      <c r="U5" s="156">
        <f t="shared" ref="U5:AF5" si="2">C5/C4</f>
        <v>0.51594661429922173</v>
      </c>
      <c r="V5" s="156">
        <f t="shared" si="2"/>
        <v>0.57500869644126495</v>
      </c>
      <c r="W5" s="156">
        <f t="shared" si="2"/>
        <v>0.58153116595853027</v>
      </c>
      <c r="X5" s="156">
        <f t="shared" si="2"/>
        <v>0.6046148299483235</v>
      </c>
      <c r="Y5" s="156">
        <f t="shared" si="2"/>
        <v>0.75752895752895755</v>
      </c>
      <c r="Z5" s="156">
        <f t="shared" si="2"/>
        <v>0.55719389184645562</v>
      </c>
      <c r="AA5" s="156">
        <f t="shared" si="2"/>
        <v>0.5367993730810241</v>
      </c>
      <c r="AB5" s="156">
        <f t="shared" si="2"/>
        <v>0.66565399458083585</v>
      </c>
      <c r="AC5" s="156">
        <f t="shared" si="2"/>
        <v>0.75752895752895755</v>
      </c>
      <c r="AD5" s="156">
        <f t="shared" si="2"/>
        <v>0.63949843260188088</v>
      </c>
      <c r="AE5" s="156">
        <f t="shared" si="2"/>
        <v>0.60799719396702911</v>
      </c>
      <c r="AF5" s="156">
        <f t="shared" si="2"/>
        <v>0.62900689488327088</v>
      </c>
      <c r="AG5" s="156"/>
      <c r="AH5" s="229">
        <f>AVERAGE(AE5,AA5,T5:W5)</f>
        <v>0.54951429251473549</v>
      </c>
      <c r="AJ5" s="188"/>
      <c r="AK5" s="188"/>
      <c r="AL5" s="189"/>
      <c r="AM5" s="189"/>
      <c r="AN5" s="189"/>
      <c r="AO5" s="189"/>
      <c r="AP5" s="190"/>
      <c r="AQ5" s="190"/>
      <c r="AR5" s="190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89"/>
    </row>
    <row r="6" spans="1:57" ht="26.25" thickBot="1" x14ac:dyDescent="0.75">
      <c r="A6" s="184" t="s">
        <v>86</v>
      </c>
      <c r="B6" s="185">
        <v>8855</v>
      </c>
      <c r="C6" s="186">
        <v>11653</v>
      </c>
      <c r="D6" s="185">
        <v>15845</v>
      </c>
      <c r="E6" s="185">
        <v>13868</v>
      </c>
      <c r="F6" s="185">
        <v>3822</v>
      </c>
      <c r="G6" s="185">
        <v>5501</v>
      </c>
      <c r="H6" s="185">
        <v>12445</v>
      </c>
      <c r="I6" s="185">
        <v>16566</v>
      </c>
      <c r="J6" s="185">
        <v>1620</v>
      </c>
      <c r="K6" s="185">
        <v>5501</v>
      </c>
      <c r="L6" s="185">
        <v>8096</v>
      </c>
      <c r="M6" s="185">
        <v>10836</v>
      </c>
      <c r="N6" s="185">
        <v>2242</v>
      </c>
      <c r="O6" s="185">
        <f t="shared" si="1"/>
        <v>12703.679337792184</v>
      </c>
      <c r="P6" s="187">
        <f>P4*AH6</f>
        <v>14945.679337792184</v>
      </c>
      <c r="S6" s="97" t="s">
        <v>86</v>
      </c>
      <c r="T6" s="158">
        <f>B6/B4</f>
        <v>0.24399316653808001</v>
      </c>
      <c r="U6" s="158">
        <f t="shared" ref="U6:AF6" si="3">C6/C4</f>
        <v>0.21188813731907774</v>
      </c>
      <c r="V6" s="158">
        <f t="shared" si="3"/>
        <v>0.2396436727718205</v>
      </c>
      <c r="W6" s="158">
        <f t="shared" si="3"/>
        <v>0.22068394837765154</v>
      </c>
      <c r="X6" s="158">
        <f t="shared" si="3"/>
        <v>0.22965989664703762</v>
      </c>
      <c r="Y6" s="158">
        <f t="shared" si="3"/>
        <v>0.26549227799227798</v>
      </c>
      <c r="Z6" s="158">
        <f t="shared" si="3"/>
        <v>0.21793569627346596</v>
      </c>
      <c r="AA6" s="158">
        <f t="shared" si="3"/>
        <v>0.21281843758430646</v>
      </c>
      <c r="AB6" s="158">
        <f t="shared" si="3"/>
        <v>0.13301584694966745</v>
      </c>
      <c r="AC6" s="158">
        <f t="shared" si="3"/>
        <v>0.26549227799227798</v>
      </c>
      <c r="AD6" s="158">
        <f t="shared" si="3"/>
        <v>0.1458581054300436</v>
      </c>
      <c r="AE6" s="158">
        <f t="shared" si="3"/>
        <v>0.15203086636267976</v>
      </c>
      <c r="AF6" s="158">
        <f t="shared" si="3"/>
        <v>0.27119874198621025</v>
      </c>
      <c r="AG6" s="158"/>
      <c r="AH6" s="229">
        <f>AVERAGE(AE6,AA6,T6:W6)</f>
        <v>0.21350970482560264</v>
      </c>
      <c r="AJ6" s="188"/>
      <c r="AK6" s="188"/>
      <c r="AL6" s="189"/>
      <c r="AM6" s="189"/>
      <c r="AN6" s="189"/>
      <c r="AO6" s="189"/>
      <c r="AP6" s="190"/>
      <c r="AQ6" s="190"/>
      <c r="AR6" s="190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89"/>
    </row>
    <row r="7" spans="1:57" ht="26.25" thickBot="1" x14ac:dyDescent="0.75">
      <c r="A7" s="184" t="s">
        <v>103</v>
      </c>
      <c r="B7" s="185">
        <v>40382</v>
      </c>
      <c r="C7" s="186">
        <v>39472</v>
      </c>
      <c r="D7" s="185">
        <v>27696</v>
      </c>
      <c r="E7" s="185">
        <v>27945</v>
      </c>
      <c r="F7" s="185">
        <v>2505</v>
      </c>
      <c r="G7" s="185"/>
      <c r="H7" s="185">
        <v>41574</v>
      </c>
      <c r="I7" s="185">
        <v>46964</v>
      </c>
      <c r="J7" s="185">
        <v>0</v>
      </c>
      <c r="K7" s="185">
        <v>0</v>
      </c>
      <c r="L7" s="185"/>
      <c r="M7" s="185">
        <v>0</v>
      </c>
      <c r="N7" s="185">
        <v>0</v>
      </c>
      <c r="O7" s="185">
        <f t="shared" si="1"/>
        <v>36491.800000000003</v>
      </c>
      <c r="P7" s="187">
        <f>AVERAGE(I7,B7:E7)</f>
        <v>36491.800000000003</v>
      </c>
      <c r="S7" s="191"/>
      <c r="T7" s="192"/>
      <c r="U7" s="192"/>
      <c r="V7" s="192"/>
      <c r="X7" s="191"/>
      <c r="Y7" s="193"/>
      <c r="Z7" s="191"/>
      <c r="AJ7" s="188"/>
      <c r="AK7" s="188"/>
      <c r="AL7" s="190"/>
      <c r="AM7" s="189"/>
      <c r="AN7" s="189"/>
      <c r="AO7" s="189"/>
      <c r="AP7" s="190"/>
      <c r="AQ7" s="190"/>
      <c r="AR7" s="190"/>
      <c r="AS7" s="190"/>
      <c r="AT7" s="189"/>
      <c r="AU7" s="189"/>
      <c r="AV7" s="189"/>
      <c r="AW7" s="190"/>
      <c r="AX7" s="190"/>
      <c r="AY7" s="189"/>
      <c r="AZ7" s="190"/>
      <c r="BA7" s="190"/>
      <c r="BB7" s="189"/>
      <c r="BC7" s="189"/>
      <c r="BD7" s="189"/>
      <c r="BE7" s="89"/>
    </row>
    <row r="8" spans="1:57" x14ac:dyDescent="0.7">
      <c r="A8" s="184" t="s">
        <v>104</v>
      </c>
      <c r="B8" s="185">
        <v>52842</v>
      </c>
      <c r="C8" s="185">
        <v>30286</v>
      </c>
      <c r="D8" s="185">
        <v>22239</v>
      </c>
      <c r="E8" s="185">
        <v>49681</v>
      </c>
      <c r="F8" s="185">
        <v>21230</v>
      </c>
      <c r="G8" s="185">
        <v>23398</v>
      </c>
      <c r="H8" s="185">
        <v>26461</v>
      </c>
      <c r="I8" s="185">
        <v>29032</v>
      </c>
      <c r="J8" s="185">
        <v>13803</v>
      </c>
      <c r="K8" s="185">
        <v>23398</v>
      </c>
      <c r="L8" s="185">
        <v>23398</v>
      </c>
      <c r="M8" s="185">
        <v>33379</v>
      </c>
      <c r="N8" s="185">
        <v>32964</v>
      </c>
      <c r="O8" s="185">
        <f t="shared" si="1"/>
        <v>3852</v>
      </c>
      <c r="P8" s="187">
        <f>AVERAGE(I8,B8:E8)</f>
        <v>36816</v>
      </c>
      <c r="S8" s="191"/>
      <c r="T8" s="192"/>
      <c r="U8" s="192"/>
      <c r="V8" s="192"/>
      <c r="W8" s="93" t="s">
        <v>112</v>
      </c>
      <c r="X8" s="93" t="s">
        <v>113</v>
      </c>
      <c r="Y8" s="193"/>
      <c r="Z8" s="191"/>
      <c r="AJ8" s="188"/>
      <c r="AK8" s="188"/>
      <c r="AL8" s="189"/>
      <c r="AM8" s="190"/>
      <c r="AN8" s="189"/>
      <c r="AO8" s="189"/>
      <c r="AP8" s="190"/>
      <c r="AQ8" s="190"/>
      <c r="AR8" s="190"/>
      <c r="AS8" s="189"/>
      <c r="AT8" s="190"/>
      <c r="AU8" s="189"/>
      <c r="AV8" s="189"/>
      <c r="AW8" s="189"/>
      <c r="AX8" s="190"/>
      <c r="AY8" s="189"/>
      <c r="AZ8" s="189"/>
      <c r="BA8" s="189"/>
      <c r="BB8" s="189"/>
      <c r="BC8" s="189"/>
      <c r="BD8" s="189"/>
      <c r="BE8" s="89"/>
    </row>
    <row r="9" spans="1:57" ht="26.25" thickBot="1" x14ac:dyDescent="0.75">
      <c r="A9" s="194" t="s">
        <v>110</v>
      </c>
      <c r="B9" s="195"/>
      <c r="C9" s="195"/>
      <c r="D9" s="195"/>
      <c r="E9" s="195"/>
      <c r="F9" s="195"/>
      <c r="G9" s="196">
        <v>563</v>
      </c>
      <c r="H9" s="196">
        <v>563</v>
      </c>
      <c r="I9" s="196">
        <v>563</v>
      </c>
      <c r="J9" s="195"/>
      <c r="K9" s="196">
        <v>563</v>
      </c>
      <c r="L9" s="196">
        <v>563</v>
      </c>
      <c r="M9" s="195"/>
      <c r="N9" s="195"/>
      <c r="O9" s="195"/>
      <c r="P9" s="197"/>
      <c r="S9" s="191"/>
      <c r="T9" s="192"/>
      <c r="U9" s="192"/>
      <c r="V9" s="192"/>
      <c r="X9" s="191"/>
      <c r="Y9" s="193"/>
      <c r="Z9" s="191"/>
      <c r="AJ9" s="188"/>
      <c r="AK9" s="188"/>
      <c r="AL9" s="190"/>
      <c r="AM9" s="190"/>
      <c r="AN9" s="189"/>
      <c r="AO9" s="190"/>
      <c r="AP9" s="190"/>
      <c r="AQ9" s="190"/>
      <c r="AR9" s="190"/>
      <c r="AS9" s="190"/>
      <c r="AT9" s="190"/>
      <c r="AU9" s="189"/>
      <c r="AV9" s="190"/>
      <c r="AW9" s="190"/>
      <c r="AX9" s="190"/>
      <c r="AY9" s="190"/>
      <c r="AZ9" s="190"/>
      <c r="BA9" s="190"/>
      <c r="BB9" s="190"/>
      <c r="BC9" s="189"/>
      <c r="BD9" s="190"/>
      <c r="BE9" s="89"/>
    </row>
    <row r="10" spans="1:57" x14ac:dyDescent="0.7">
      <c r="S10" s="191"/>
      <c r="T10" s="192"/>
      <c r="U10" s="192"/>
      <c r="V10" s="192"/>
      <c r="X10" s="191"/>
      <c r="Y10" s="198"/>
      <c r="Z10" s="191"/>
      <c r="AJ10" s="188"/>
      <c r="AK10" s="188"/>
      <c r="AL10" s="189"/>
      <c r="AM10" s="189"/>
      <c r="AN10" s="189"/>
      <c r="AO10" s="189"/>
      <c r="AP10" s="190"/>
      <c r="AQ10" s="190"/>
      <c r="AR10" s="190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89"/>
    </row>
    <row r="11" spans="1:57" ht="26.25" thickBot="1" x14ac:dyDescent="0.75">
      <c r="S11" s="192"/>
      <c r="T11" s="192"/>
      <c r="U11" s="192"/>
      <c r="V11" s="192"/>
      <c r="X11" s="191"/>
      <c r="Y11" s="193"/>
      <c r="Z11" s="191"/>
      <c r="AJ11" s="188"/>
      <c r="AK11" s="188"/>
      <c r="AL11" s="188"/>
      <c r="AM11" s="188"/>
      <c r="AN11" s="188"/>
      <c r="AO11" s="189"/>
      <c r="AP11" s="188"/>
      <c r="AQ11" s="188"/>
      <c r="AR11" s="190"/>
      <c r="AS11" s="188"/>
      <c r="AT11" s="188"/>
      <c r="AU11" s="188"/>
      <c r="AV11" s="189"/>
      <c r="AW11" s="188"/>
      <c r="AX11" s="188"/>
      <c r="AY11" s="188"/>
      <c r="AZ11" s="189"/>
      <c r="BA11" s="188"/>
      <c r="BB11" s="188"/>
      <c r="BC11" s="188"/>
      <c r="BD11" s="189"/>
      <c r="BE11" s="89"/>
    </row>
    <row r="12" spans="1:57" x14ac:dyDescent="0.7">
      <c r="A12" s="90" t="s">
        <v>105</v>
      </c>
      <c r="B12" s="91" t="s">
        <v>106</v>
      </c>
      <c r="C12" s="91" t="s">
        <v>97</v>
      </c>
      <c r="D12" s="91" t="s">
        <v>96</v>
      </c>
      <c r="E12" s="92" t="s">
        <v>62</v>
      </c>
      <c r="F12" s="92" t="s">
        <v>107</v>
      </c>
      <c r="G12" s="92" t="s">
        <v>108</v>
      </c>
      <c r="H12" s="92" t="s">
        <v>109</v>
      </c>
      <c r="I12" s="92" t="s">
        <v>40</v>
      </c>
      <c r="J12" s="92" t="s">
        <v>55</v>
      </c>
      <c r="K12" s="92" t="s">
        <v>95</v>
      </c>
      <c r="L12" s="92" t="s">
        <v>94</v>
      </c>
      <c r="M12" s="92" t="s">
        <v>39</v>
      </c>
      <c r="N12" s="92" t="s">
        <v>54</v>
      </c>
      <c r="O12" s="92" t="s">
        <v>93</v>
      </c>
      <c r="P12" s="93" t="s">
        <v>38</v>
      </c>
      <c r="S12" s="90" t="s">
        <v>215</v>
      </c>
      <c r="T12" s="91" t="s">
        <v>106</v>
      </c>
      <c r="U12" s="91" t="s">
        <v>97</v>
      </c>
      <c r="V12" s="91" t="s">
        <v>96</v>
      </c>
      <c r="W12" s="92" t="s">
        <v>62</v>
      </c>
      <c r="X12" s="92" t="s">
        <v>107</v>
      </c>
      <c r="Y12" s="92" t="s">
        <v>108</v>
      </c>
      <c r="Z12" s="92" t="s">
        <v>109</v>
      </c>
      <c r="AA12" s="92" t="s">
        <v>40</v>
      </c>
      <c r="AB12" s="92" t="s">
        <v>55</v>
      </c>
      <c r="AC12" s="92" t="s">
        <v>95</v>
      </c>
      <c r="AD12" s="92" t="s">
        <v>94</v>
      </c>
      <c r="AE12" s="92" t="s">
        <v>39</v>
      </c>
      <c r="AF12" s="92" t="s">
        <v>54</v>
      </c>
      <c r="AG12" s="92" t="s">
        <v>93</v>
      </c>
      <c r="AH12" s="93" t="s">
        <v>38</v>
      </c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</row>
    <row r="13" spans="1:57" x14ac:dyDescent="0.7">
      <c r="A13" s="184" t="s">
        <v>92</v>
      </c>
      <c r="B13" s="186">
        <v>38648</v>
      </c>
      <c r="C13" s="186">
        <v>65358</v>
      </c>
      <c r="D13" s="185">
        <v>64571</v>
      </c>
      <c r="E13" s="185">
        <v>56077</v>
      </c>
      <c r="F13" s="185">
        <v>29387</v>
      </c>
      <c r="G13" s="185">
        <v>41435</v>
      </c>
      <c r="H13" s="185">
        <v>35658</v>
      </c>
      <c r="I13" s="185">
        <v>68451</v>
      </c>
      <c r="J13" s="185">
        <v>21581</v>
      </c>
      <c r="K13" s="185">
        <v>41435</v>
      </c>
      <c r="L13" s="185">
        <v>59652</v>
      </c>
      <c r="M13" s="185">
        <v>71791</v>
      </c>
      <c r="N13" s="185">
        <v>10001</v>
      </c>
      <c r="O13" s="185">
        <f>P13-N13</f>
        <v>60102.735027412171</v>
      </c>
      <c r="P13" s="187">
        <f>P4*AH13</f>
        <v>70103.735027412171</v>
      </c>
      <c r="S13" s="94" t="s">
        <v>92</v>
      </c>
      <c r="T13" s="283">
        <f>B13/B4</f>
        <v>1.0649178882398325</v>
      </c>
      <c r="U13" s="283">
        <f t="shared" ref="U13:AF13" si="4">C13/C4</f>
        <v>1.1884137028147501</v>
      </c>
      <c r="V13" s="283">
        <f t="shared" si="4"/>
        <v>0.97658766769007399</v>
      </c>
      <c r="W13" s="283">
        <f t="shared" si="4"/>
        <v>0.89236326602059168</v>
      </c>
      <c r="X13" s="283">
        <f t="shared" si="4"/>
        <v>1.7658334334815526</v>
      </c>
      <c r="Y13" s="283">
        <f t="shared" si="4"/>
        <v>1.9997586872586872</v>
      </c>
      <c r="Z13" s="283">
        <f t="shared" si="4"/>
        <v>0.62443961894087985</v>
      </c>
      <c r="AA13" s="283">
        <f t="shared" si="4"/>
        <v>0.87936948394804793</v>
      </c>
      <c r="AB13" s="283">
        <f t="shared" si="4"/>
        <v>1.77198456359307</v>
      </c>
      <c r="AC13" s="283">
        <f t="shared" si="4"/>
        <v>1.9997586872586872</v>
      </c>
      <c r="AD13" s="283">
        <f t="shared" si="4"/>
        <v>1.0746946276078262</v>
      </c>
      <c r="AE13" s="283">
        <f t="shared" si="4"/>
        <v>1.0072395650648895</v>
      </c>
      <c r="AF13" s="283">
        <f t="shared" si="4"/>
        <v>1.2097496068706908</v>
      </c>
      <c r="AG13" s="207"/>
      <c r="AH13" s="285">
        <f>AVERAGE(AE13,AA13,T13:W13)</f>
        <v>1.001481928963031</v>
      </c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</row>
    <row r="14" spans="1:57" x14ac:dyDescent="0.7">
      <c r="A14" s="184" t="s">
        <v>89</v>
      </c>
      <c r="B14" s="186">
        <v>22374</v>
      </c>
      <c r="C14" s="186">
        <v>23532</v>
      </c>
      <c r="D14" s="185">
        <v>38553</v>
      </c>
      <c r="E14" s="185">
        <v>38845</v>
      </c>
      <c r="F14" s="185">
        <v>7978</v>
      </c>
      <c r="G14" s="185">
        <v>18934</v>
      </c>
      <c r="H14" s="185">
        <v>25217</v>
      </c>
      <c r="I14" s="185">
        <v>39343</v>
      </c>
      <c r="J14" s="185">
        <v>11436</v>
      </c>
      <c r="K14" s="185">
        <v>18934</v>
      </c>
      <c r="L14" s="185">
        <v>31991</v>
      </c>
      <c r="M14" s="185">
        <v>44037</v>
      </c>
      <c r="N14" s="185">
        <v>5597</v>
      </c>
      <c r="O14" s="185">
        <f t="shared" ref="O14:O17" si="5">P14-N14</f>
        <v>33824.187073238114</v>
      </c>
      <c r="P14" s="187">
        <f t="shared" ref="P14:P15" si="6">P5*AH14</f>
        <v>39421.187073238114</v>
      </c>
      <c r="S14" s="94" t="s">
        <v>89</v>
      </c>
      <c r="T14" s="283">
        <f>B14/B5</f>
        <v>1.2849020846493999</v>
      </c>
      <c r="U14" s="283">
        <f t="shared" ref="U14:AF14" si="7">C14/C5</f>
        <v>0.82932158590308369</v>
      </c>
      <c r="V14" s="283">
        <f t="shared" si="7"/>
        <v>1.0140456087745602</v>
      </c>
      <c r="W14" s="283">
        <f t="shared" si="7"/>
        <v>1.0629651926444834</v>
      </c>
      <c r="X14" s="283">
        <f t="shared" si="7"/>
        <v>0.79288411846551377</v>
      </c>
      <c r="Y14" s="283">
        <f t="shared" si="7"/>
        <v>1.2062945973496433</v>
      </c>
      <c r="Z14" s="283">
        <f t="shared" si="7"/>
        <v>0.79253881450751151</v>
      </c>
      <c r="AA14" s="283">
        <f t="shared" si="7"/>
        <v>0.94155797535000596</v>
      </c>
      <c r="AB14" s="283">
        <f t="shared" si="7"/>
        <v>1.410632786480819</v>
      </c>
      <c r="AC14" s="283">
        <f t="shared" si="7"/>
        <v>1.2062945973496433</v>
      </c>
      <c r="AD14" s="283">
        <f t="shared" si="7"/>
        <v>0.90125647960333555</v>
      </c>
      <c r="AE14" s="283">
        <f t="shared" si="7"/>
        <v>1.0161993769470405</v>
      </c>
      <c r="AF14" s="283">
        <f t="shared" si="7"/>
        <v>1.0763461538461538</v>
      </c>
      <c r="AG14" s="207"/>
      <c r="AH14" s="285">
        <f t="shared" ref="AH14:AH15" si="8">AVERAGE(AE14,AA14,T14:W14)</f>
        <v>1.0248319707114291</v>
      </c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</row>
    <row r="15" spans="1:57" ht="26.25" thickBot="1" x14ac:dyDescent="0.75">
      <c r="A15" s="184" t="s">
        <v>86</v>
      </c>
      <c r="B15" s="186">
        <v>10798</v>
      </c>
      <c r="C15" s="186">
        <v>12091</v>
      </c>
      <c r="D15" s="185">
        <v>13858</v>
      </c>
      <c r="E15" s="185">
        <v>14707</v>
      </c>
      <c r="F15" s="185">
        <v>3237</v>
      </c>
      <c r="G15" s="185">
        <v>5959</v>
      </c>
      <c r="H15" s="185">
        <v>11771</v>
      </c>
      <c r="I15" s="185">
        <v>17011</v>
      </c>
      <c r="J15" s="185">
        <v>1624</v>
      </c>
      <c r="K15" s="185">
        <v>5959</v>
      </c>
      <c r="L15" s="185">
        <v>8706</v>
      </c>
      <c r="M15" s="185">
        <v>10792</v>
      </c>
      <c r="N15" s="185">
        <v>1212</v>
      </c>
      <c r="O15" s="185">
        <f t="shared" si="5"/>
        <v>14269.006933731458</v>
      </c>
      <c r="P15" s="187">
        <f t="shared" si="6"/>
        <v>15481.006933731458</v>
      </c>
      <c r="S15" s="97" t="s">
        <v>86</v>
      </c>
      <c r="T15" s="286">
        <f>B15/B6</f>
        <v>1.219424054206663</v>
      </c>
      <c r="U15" s="286">
        <f t="shared" ref="U15:AF15" si="9">C15/C6</f>
        <v>1.037586887496782</v>
      </c>
      <c r="V15" s="286">
        <f t="shared" si="9"/>
        <v>0.87459766487851054</v>
      </c>
      <c r="W15" s="286">
        <f t="shared" si="9"/>
        <v>1.0604989904816844</v>
      </c>
      <c r="X15" s="286">
        <f t="shared" si="9"/>
        <v>0.84693877551020413</v>
      </c>
      <c r="Y15" s="286">
        <f t="shared" si="9"/>
        <v>1.0832575895291765</v>
      </c>
      <c r="Z15" s="286">
        <f t="shared" si="9"/>
        <v>0.94584170349537966</v>
      </c>
      <c r="AA15" s="286">
        <f t="shared" si="9"/>
        <v>1.0268622479777858</v>
      </c>
      <c r="AB15" s="286">
        <f t="shared" si="9"/>
        <v>1.0024691358024691</v>
      </c>
      <c r="AC15" s="286">
        <f t="shared" si="9"/>
        <v>1.0832575895291765</v>
      </c>
      <c r="AD15" s="286">
        <f t="shared" si="9"/>
        <v>1.0753458498023716</v>
      </c>
      <c r="AE15" s="286">
        <f t="shared" si="9"/>
        <v>0.99593946105574016</v>
      </c>
      <c r="AF15" s="286">
        <f t="shared" si="9"/>
        <v>0.54058876003568246</v>
      </c>
      <c r="AG15" s="195"/>
      <c r="AH15" s="287">
        <f t="shared" si="8"/>
        <v>1.0358182176828608</v>
      </c>
      <c r="AJ15" s="89"/>
      <c r="AK15" s="89"/>
      <c r="AL15" s="96"/>
      <c r="AM15" s="96"/>
      <c r="AN15" s="96"/>
      <c r="AO15" s="96"/>
      <c r="AP15" s="95"/>
      <c r="AQ15" s="95"/>
      <c r="AR15" s="96"/>
      <c r="AS15" s="96"/>
      <c r="AT15" s="96"/>
      <c r="AU15" s="96"/>
      <c r="AV15" s="96"/>
      <c r="AW15" s="95"/>
      <c r="AX15" s="96"/>
      <c r="AY15" s="96"/>
      <c r="AZ15" s="96"/>
      <c r="BA15" s="96"/>
      <c r="BB15" s="96"/>
      <c r="BC15" s="96"/>
      <c r="BD15" s="96"/>
      <c r="BE15" s="89"/>
    </row>
    <row r="16" spans="1:57" x14ac:dyDescent="0.7">
      <c r="A16" s="184" t="s">
        <v>103</v>
      </c>
      <c r="B16" s="185">
        <v>41431</v>
      </c>
      <c r="C16" s="186">
        <v>38190</v>
      </c>
      <c r="D16" s="185">
        <v>22726</v>
      </c>
      <c r="E16" s="185">
        <v>32150</v>
      </c>
      <c r="F16" s="185">
        <v>6547</v>
      </c>
      <c r="G16" s="185">
        <v>2811</v>
      </c>
      <c r="H16" s="185">
        <v>44899</v>
      </c>
      <c r="I16" s="185">
        <v>47734</v>
      </c>
      <c r="J16" s="185">
        <v>2651</v>
      </c>
      <c r="K16" s="185">
        <v>2811</v>
      </c>
      <c r="L16" s="185">
        <v>2811</v>
      </c>
      <c r="M16" s="185">
        <v>3365</v>
      </c>
      <c r="N16" s="185">
        <v>0.73</v>
      </c>
      <c r="O16" s="185">
        <f t="shared" si="5"/>
        <v>30931.936666666668</v>
      </c>
      <c r="P16" s="187">
        <f>AVERAGE(M16,I16,B16:E16)</f>
        <v>30932.666666666668</v>
      </c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J16" s="89"/>
      <c r="AK16" s="89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6"/>
      <c r="AZ16" s="95"/>
      <c r="BA16" s="95"/>
      <c r="BB16" s="95"/>
      <c r="BC16" s="96"/>
      <c r="BD16" s="95"/>
      <c r="BE16" s="89"/>
    </row>
    <row r="17" spans="1:57" x14ac:dyDescent="0.7">
      <c r="A17" s="184" t="s">
        <v>104</v>
      </c>
      <c r="B17" s="185">
        <v>52842</v>
      </c>
      <c r="C17" s="185">
        <v>30286</v>
      </c>
      <c r="D17" s="185">
        <v>22239</v>
      </c>
      <c r="E17" s="185">
        <v>49681</v>
      </c>
      <c r="F17" s="185">
        <v>21230</v>
      </c>
      <c r="G17" s="185">
        <v>23318</v>
      </c>
      <c r="H17" s="185">
        <v>26461</v>
      </c>
      <c r="I17" s="185">
        <v>29032</v>
      </c>
      <c r="J17" s="185">
        <v>13803</v>
      </c>
      <c r="K17" s="185">
        <v>23318</v>
      </c>
      <c r="L17" s="185">
        <v>0</v>
      </c>
      <c r="M17" s="185">
        <v>0</v>
      </c>
      <c r="N17" s="185"/>
      <c r="O17" s="185">
        <f t="shared" si="5"/>
        <v>30680</v>
      </c>
      <c r="P17" s="187">
        <f>AVERAGE(M17,I17,B17:E17)</f>
        <v>30680</v>
      </c>
      <c r="S17" s="200"/>
      <c r="T17" s="200"/>
      <c r="U17" s="200"/>
      <c r="V17" s="200"/>
      <c r="W17" s="199"/>
      <c r="X17" s="199"/>
      <c r="Y17" s="200"/>
      <c r="Z17" s="199"/>
      <c r="AJ17" s="89"/>
      <c r="AK17" s="89"/>
      <c r="AL17" s="96"/>
      <c r="AM17" s="96"/>
      <c r="AN17" s="96"/>
      <c r="AO17" s="96"/>
      <c r="AP17" s="95"/>
      <c r="AQ17" s="95"/>
      <c r="AR17" s="95"/>
      <c r="AS17" s="96"/>
      <c r="AT17" s="96"/>
      <c r="AU17" s="96"/>
      <c r="AV17" s="96"/>
      <c r="AW17" s="95"/>
      <c r="AX17" s="96"/>
      <c r="AY17" s="96"/>
      <c r="AZ17" s="96"/>
      <c r="BA17" s="96"/>
      <c r="BB17" s="96"/>
      <c r="BC17" s="96"/>
      <c r="BD17" s="96"/>
      <c r="BE17" s="89"/>
    </row>
    <row r="18" spans="1:57" ht="26.25" thickBot="1" x14ac:dyDescent="0.75">
      <c r="A18" s="194" t="s">
        <v>110</v>
      </c>
      <c r="B18" s="195"/>
      <c r="C18" s="195"/>
      <c r="D18" s="195"/>
      <c r="E18" s="195"/>
      <c r="F18" s="195"/>
      <c r="G18" s="201">
        <v>6724</v>
      </c>
      <c r="H18" s="201">
        <f>395+G18</f>
        <v>7119</v>
      </c>
      <c r="I18" s="201">
        <v>1038</v>
      </c>
      <c r="J18" s="195"/>
      <c r="K18" s="201">
        <v>6724</v>
      </c>
      <c r="L18" s="201">
        <v>6724</v>
      </c>
      <c r="M18" s="201">
        <v>6724</v>
      </c>
      <c r="N18" s="195"/>
      <c r="O18" s="195"/>
      <c r="P18" s="295">
        <f>SUM(P13:P17)</f>
        <v>186618.59570104841</v>
      </c>
      <c r="S18" s="192"/>
      <c r="T18" s="192"/>
      <c r="U18" s="200"/>
      <c r="V18" s="200"/>
      <c r="W18" s="199"/>
      <c r="X18" s="199"/>
      <c r="Y18" s="200"/>
      <c r="Z18" s="199"/>
      <c r="AJ18" s="89"/>
      <c r="AK18" s="89"/>
      <c r="AL18" s="95"/>
      <c r="AM18" s="96"/>
      <c r="AN18" s="96"/>
      <c r="AO18" s="96"/>
      <c r="AP18" s="95"/>
      <c r="AQ18" s="95"/>
      <c r="AR18" s="95"/>
      <c r="AS18" s="95"/>
      <c r="AT18" s="96"/>
      <c r="AU18" s="96"/>
      <c r="AV18" s="96"/>
      <c r="AW18" s="95"/>
      <c r="AX18" s="95"/>
      <c r="AY18" s="96"/>
      <c r="AZ18" s="96"/>
      <c r="BA18" s="95"/>
      <c r="BB18" s="96"/>
      <c r="BC18" s="96"/>
      <c r="BD18" s="96"/>
      <c r="BE18" s="89"/>
    </row>
    <row r="19" spans="1:57" x14ac:dyDescent="0.7">
      <c r="S19" s="191"/>
      <c r="T19" s="192"/>
      <c r="U19" s="192"/>
      <c r="V19" s="192"/>
      <c r="X19" s="191"/>
      <c r="Y19" s="198"/>
      <c r="Z19" s="191"/>
      <c r="AJ19" s="89"/>
      <c r="AK19" s="89"/>
      <c r="AL19" s="96"/>
      <c r="AM19" s="96"/>
      <c r="AN19" s="96"/>
      <c r="AO19" s="96"/>
      <c r="AP19" s="95"/>
      <c r="AQ19" s="95"/>
      <c r="AR19" s="95"/>
      <c r="AS19" s="96"/>
      <c r="AT19" s="96"/>
      <c r="AU19" s="96"/>
      <c r="AV19" s="96"/>
      <c r="AW19" s="95"/>
      <c r="AX19" s="95"/>
      <c r="AY19" s="95"/>
      <c r="AZ19" s="95"/>
      <c r="BA19" s="96"/>
      <c r="BB19" s="96"/>
      <c r="BC19" s="96"/>
      <c r="BD19" s="96"/>
      <c r="BE19" s="89"/>
    </row>
    <row r="20" spans="1:57" ht="26.25" thickBot="1" x14ac:dyDescent="0.75">
      <c r="S20" s="191"/>
      <c r="T20" s="192"/>
      <c r="U20" s="192"/>
      <c r="V20" s="192"/>
      <c r="W20" s="199"/>
      <c r="X20" s="199"/>
      <c r="Y20" s="198"/>
      <c r="Z20" s="199"/>
      <c r="AJ20" s="89"/>
      <c r="AK20" s="89"/>
      <c r="AL20" s="96"/>
      <c r="AM20" s="96"/>
      <c r="AN20" s="96"/>
      <c r="AO20" s="96"/>
      <c r="AP20" s="95"/>
      <c r="AQ20" s="95"/>
      <c r="AR20" s="95"/>
      <c r="AS20" s="96"/>
      <c r="AT20" s="96"/>
      <c r="AU20" s="96"/>
      <c r="AV20" s="96"/>
      <c r="AW20" s="95"/>
      <c r="AX20" s="96"/>
      <c r="AY20" s="96"/>
      <c r="AZ20" s="96"/>
      <c r="BA20" s="96"/>
      <c r="BB20" s="96"/>
      <c r="BC20" s="96"/>
      <c r="BD20" s="96"/>
      <c r="BE20" s="89"/>
    </row>
    <row r="21" spans="1:57" x14ac:dyDescent="0.7">
      <c r="A21" s="90" t="s">
        <v>99</v>
      </c>
      <c r="B21" s="91" t="s">
        <v>106</v>
      </c>
      <c r="C21" s="91" t="s">
        <v>97</v>
      </c>
      <c r="D21" s="91" t="s">
        <v>96</v>
      </c>
      <c r="E21" s="92" t="s">
        <v>62</v>
      </c>
      <c r="F21" s="92" t="s">
        <v>107</v>
      </c>
      <c r="G21" s="92" t="s">
        <v>108</v>
      </c>
      <c r="H21" s="92" t="s">
        <v>109</v>
      </c>
      <c r="I21" s="92" t="s">
        <v>40</v>
      </c>
      <c r="J21" s="92" t="s">
        <v>55</v>
      </c>
      <c r="K21" s="92" t="s">
        <v>95</v>
      </c>
      <c r="L21" s="92" t="s">
        <v>94</v>
      </c>
      <c r="M21" s="92" t="s">
        <v>39</v>
      </c>
      <c r="N21" s="92" t="s">
        <v>54</v>
      </c>
      <c r="O21" s="92" t="s">
        <v>93</v>
      </c>
      <c r="P21" s="93" t="s">
        <v>38</v>
      </c>
      <c r="S21" s="191"/>
      <c r="T21" s="192"/>
      <c r="U21" s="192"/>
      <c r="V21" s="192"/>
      <c r="X21" s="191"/>
      <c r="Y21" s="198"/>
      <c r="Z21" s="191"/>
      <c r="AJ21" s="89"/>
      <c r="AK21" s="89"/>
      <c r="AL21" s="95"/>
      <c r="AM21" s="96"/>
      <c r="AN21" s="96"/>
      <c r="AO21" s="96"/>
      <c r="AP21" s="95"/>
      <c r="AQ21" s="95"/>
      <c r="AR21" s="95"/>
      <c r="AS21" s="95"/>
      <c r="AT21" s="96"/>
      <c r="AU21" s="96"/>
      <c r="AV21" s="96"/>
      <c r="AW21" s="95"/>
      <c r="AX21" s="95"/>
      <c r="AY21" s="95"/>
      <c r="AZ21" s="95"/>
      <c r="BA21" s="95"/>
      <c r="BB21" s="96"/>
      <c r="BC21" s="96"/>
      <c r="BD21" s="96"/>
      <c r="BE21" s="89"/>
    </row>
    <row r="22" spans="1:57" x14ac:dyDescent="0.7">
      <c r="A22" s="184" t="s">
        <v>92</v>
      </c>
      <c r="B22" s="186">
        <v>681812</v>
      </c>
      <c r="C22" s="186">
        <v>1254395</v>
      </c>
      <c r="D22" s="185">
        <v>1413236</v>
      </c>
      <c r="E22" s="185">
        <v>1384557</v>
      </c>
      <c r="F22" s="185">
        <v>745665</v>
      </c>
      <c r="G22" s="185">
        <v>1151119</v>
      </c>
      <c r="H22" s="185">
        <v>909722</v>
      </c>
      <c r="I22" s="185">
        <v>1771224</v>
      </c>
      <c r="J22" s="185">
        <v>579571</v>
      </c>
      <c r="K22" s="185">
        <v>1151119</v>
      </c>
      <c r="L22" s="185">
        <v>1718733</v>
      </c>
      <c r="M22" s="185">
        <v>2178955</v>
      </c>
      <c r="N22" s="185">
        <v>298792</v>
      </c>
      <c r="O22" s="185">
        <f t="shared" ref="O22:O27" si="10">O13*O32/1000000</f>
        <v>2434160.7686101929</v>
      </c>
      <c r="P22" s="187"/>
      <c r="S22" s="191"/>
      <c r="T22" s="192"/>
      <c r="U22" s="192"/>
      <c r="V22" s="192"/>
      <c r="X22" s="191"/>
      <c r="Y22" s="193"/>
      <c r="Z22" s="191"/>
      <c r="AJ22" s="89"/>
      <c r="AK22" s="89"/>
      <c r="AL22" s="96"/>
      <c r="AM22" s="96"/>
      <c r="AN22" s="96"/>
      <c r="AO22" s="96"/>
      <c r="AP22" s="95"/>
      <c r="AQ22" s="95"/>
      <c r="AR22" s="95"/>
      <c r="AS22" s="96"/>
      <c r="AT22" s="96"/>
      <c r="AU22" s="96"/>
      <c r="AV22" s="96"/>
      <c r="AW22" s="95"/>
      <c r="AX22" s="96"/>
      <c r="AY22" s="96"/>
      <c r="AZ22" s="96"/>
      <c r="BA22" s="96"/>
      <c r="BB22" s="96"/>
      <c r="BC22" s="96"/>
      <c r="BD22" s="96"/>
      <c r="BE22" s="89"/>
    </row>
    <row r="23" spans="1:57" x14ac:dyDescent="0.7">
      <c r="A23" s="184" t="s">
        <v>89</v>
      </c>
      <c r="B23" s="186">
        <v>117559</v>
      </c>
      <c r="C23" s="186">
        <v>153797</v>
      </c>
      <c r="D23" s="185">
        <v>215737</v>
      </c>
      <c r="E23" s="185">
        <v>207839</v>
      </c>
      <c r="F23" s="185">
        <v>52115</v>
      </c>
      <c r="G23" s="185">
        <v>154105</v>
      </c>
      <c r="H23" s="185">
        <v>174112</v>
      </c>
      <c r="I23" s="185">
        <v>294216</v>
      </c>
      <c r="J23" s="185">
        <v>101819</v>
      </c>
      <c r="K23" s="185">
        <v>154105</v>
      </c>
      <c r="L23" s="185">
        <v>313675</v>
      </c>
      <c r="M23" s="185">
        <v>432673</v>
      </c>
      <c r="N23" s="185">
        <v>72994</v>
      </c>
      <c r="O23" s="185">
        <f t="shared" si="10"/>
        <v>597982.82302839216</v>
      </c>
      <c r="P23" s="187"/>
      <c r="S23" s="191"/>
      <c r="T23" s="192"/>
      <c r="U23" s="192"/>
      <c r="V23" s="192"/>
      <c r="X23" s="191"/>
      <c r="Y23" s="198"/>
      <c r="Z23" s="191"/>
      <c r="AJ23" s="89"/>
      <c r="AK23" s="89"/>
      <c r="AL23" s="89"/>
      <c r="AM23" s="89"/>
      <c r="AN23" s="89"/>
      <c r="AO23" s="96"/>
      <c r="AP23" s="89"/>
      <c r="AQ23" s="89"/>
      <c r="AR23" s="96"/>
      <c r="AS23" s="89"/>
      <c r="AT23" s="89"/>
      <c r="AU23" s="89"/>
      <c r="AV23" s="96"/>
      <c r="AW23" s="89"/>
      <c r="AX23" s="89"/>
      <c r="AY23" s="89"/>
      <c r="AZ23" s="96"/>
      <c r="BA23" s="89"/>
      <c r="BB23" s="89"/>
      <c r="BC23" s="89"/>
      <c r="BD23" s="96"/>
      <c r="BE23" s="89"/>
    </row>
    <row r="24" spans="1:57" x14ac:dyDescent="0.7">
      <c r="A24" s="184" t="s">
        <v>86</v>
      </c>
      <c r="B24" s="186">
        <v>59679</v>
      </c>
      <c r="C24" s="186">
        <v>59187</v>
      </c>
      <c r="D24" s="185">
        <v>50185</v>
      </c>
      <c r="E24" s="185">
        <v>43977</v>
      </c>
      <c r="F24" s="185">
        <v>10084</v>
      </c>
      <c r="G24" s="185">
        <v>20763</v>
      </c>
      <c r="H24" s="185">
        <v>37744</v>
      </c>
      <c r="I24" s="185">
        <v>54172</v>
      </c>
      <c r="J24" s="185">
        <v>5655</v>
      </c>
      <c r="K24" s="185">
        <v>20763</v>
      </c>
      <c r="L24" s="185">
        <v>33055</v>
      </c>
      <c r="M24" s="185">
        <v>58555</v>
      </c>
      <c r="N24" s="185">
        <v>21666</v>
      </c>
      <c r="O24" s="185">
        <f t="shared" si="10"/>
        <v>345779.58853796119</v>
      </c>
      <c r="P24" s="187"/>
      <c r="S24" s="192"/>
      <c r="T24" s="192"/>
      <c r="U24" s="192"/>
      <c r="V24" s="192"/>
      <c r="X24" s="191"/>
      <c r="Y24" s="198"/>
      <c r="Z24" s="191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</row>
    <row r="25" spans="1:57" x14ac:dyDescent="0.7">
      <c r="A25" s="184" t="s">
        <v>103</v>
      </c>
      <c r="B25" s="186">
        <v>729672</v>
      </c>
      <c r="C25" s="186">
        <v>711069</v>
      </c>
      <c r="D25" s="185">
        <v>495493</v>
      </c>
      <c r="E25" s="185">
        <v>795666</v>
      </c>
      <c r="F25" s="185">
        <v>167948</v>
      </c>
      <c r="G25" s="185">
        <v>76516</v>
      </c>
      <c r="H25" s="185">
        <v>1154106</v>
      </c>
      <c r="I25" s="185">
        <v>1227609</v>
      </c>
      <c r="J25" s="185">
        <v>72155</v>
      </c>
      <c r="K25" s="185">
        <v>76516</v>
      </c>
      <c r="L25" s="185">
        <v>76523</v>
      </c>
      <c r="M25" s="185">
        <v>92880</v>
      </c>
      <c r="N25" s="185">
        <v>24</v>
      </c>
      <c r="O25" s="185">
        <f t="shared" si="10"/>
        <v>1378557.7974912315</v>
      </c>
      <c r="P25" s="187"/>
      <c r="S25" s="192"/>
      <c r="T25" s="192"/>
      <c r="U25" s="192"/>
      <c r="V25" s="192"/>
      <c r="W25" s="199"/>
      <c r="X25" s="199"/>
      <c r="Y25" s="193"/>
      <c r="Z25" s="199"/>
    </row>
    <row r="26" spans="1:57" x14ac:dyDescent="0.7">
      <c r="A26" s="184" t="s">
        <v>104</v>
      </c>
      <c r="B26" s="186">
        <v>53794</v>
      </c>
      <c r="C26" s="186">
        <v>32761</v>
      </c>
      <c r="D26" s="185">
        <v>22597</v>
      </c>
      <c r="E26" s="185">
        <v>52048</v>
      </c>
      <c r="F26" s="185">
        <v>22380</v>
      </c>
      <c r="G26" s="185">
        <v>27278</v>
      </c>
      <c r="H26" s="185">
        <v>27971</v>
      </c>
      <c r="I26" s="185">
        <v>30279</v>
      </c>
      <c r="J26" s="185">
        <v>16280</v>
      </c>
      <c r="K26" s="185">
        <v>27278</v>
      </c>
      <c r="L26" s="185">
        <v>27281</v>
      </c>
      <c r="M26" s="185">
        <v>39756</v>
      </c>
      <c r="N26" s="185">
        <v>33475</v>
      </c>
      <c r="O26" s="185">
        <f t="shared" si="10"/>
        <v>52321.324132444104</v>
      </c>
      <c r="P26" s="187"/>
      <c r="S26" s="192"/>
      <c r="T26" s="192"/>
      <c r="U26" s="192"/>
      <c r="V26" s="192"/>
      <c r="W26" s="199"/>
      <c r="X26" s="199"/>
      <c r="Y26" s="193"/>
      <c r="Z26" s="191"/>
    </row>
    <row r="27" spans="1:57" x14ac:dyDescent="0.7">
      <c r="A27" s="184" t="s">
        <v>110</v>
      </c>
      <c r="B27" s="207"/>
      <c r="C27" s="207"/>
      <c r="D27" s="207"/>
      <c r="E27" s="207"/>
      <c r="F27" s="207"/>
      <c r="G27" s="293">
        <v>149486</v>
      </c>
      <c r="H27" s="207">
        <v>7703</v>
      </c>
      <c r="I27" s="293">
        <v>21649</v>
      </c>
      <c r="J27" s="207"/>
      <c r="K27" s="293">
        <v>149486</v>
      </c>
      <c r="L27" s="293">
        <v>149486</v>
      </c>
      <c r="M27" s="293">
        <v>149486</v>
      </c>
      <c r="N27" s="207">
        <v>0</v>
      </c>
      <c r="O27" s="185">
        <f t="shared" si="10"/>
        <v>0</v>
      </c>
      <c r="P27" s="215"/>
      <c r="U27" s="192"/>
      <c r="V27" s="192"/>
      <c r="W27" s="191"/>
      <c r="X27" s="191"/>
      <c r="Y27" s="199"/>
      <c r="Z27" s="191"/>
    </row>
    <row r="28" spans="1:57" ht="26.25" thickBot="1" x14ac:dyDescent="0.75">
      <c r="A28" s="194" t="s">
        <v>64</v>
      </c>
      <c r="B28" s="294">
        <f>SUM(B22:B27)</f>
        <v>1642516</v>
      </c>
      <c r="C28" s="294">
        <f t="shared" ref="C28:O28" si="11">SUM(C22:C27)</f>
        <v>2211209</v>
      </c>
      <c r="D28" s="294">
        <f t="shared" si="11"/>
        <v>2197248</v>
      </c>
      <c r="E28" s="294">
        <f t="shared" si="11"/>
        <v>2484087</v>
      </c>
      <c r="F28" s="294">
        <f t="shared" si="11"/>
        <v>998192</v>
      </c>
      <c r="G28" s="294">
        <f t="shared" si="11"/>
        <v>1579267</v>
      </c>
      <c r="H28" s="294">
        <f t="shared" si="11"/>
        <v>2311358</v>
      </c>
      <c r="I28" s="294">
        <f t="shared" si="11"/>
        <v>3399149</v>
      </c>
      <c r="J28" s="294">
        <f t="shared" si="11"/>
        <v>775480</v>
      </c>
      <c r="K28" s="294">
        <f t="shared" si="11"/>
        <v>1579267</v>
      </c>
      <c r="L28" s="294">
        <f t="shared" si="11"/>
        <v>2318753</v>
      </c>
      <c r="M28" s="294">
        <f t="shared" si="11"/>
        <v>2952305</v>
      </c>
      <c r="N28" s="294">
        <f t="shared" si="11"/>
        <v>426951</v>
      </c>
      <c r="O28" s="294">
        <f t="shared" si="11"/>
        <v>4808802.3018002221</v>
      </c>
      <c r="P28" s="295">
        <f>O28+N28</f>
        <v>5235753.3018002221</v>
      </c>
    </row>
    <row r="29" spans="1:57" x14ac:dyDescent="0.7">
      <c r="A29" s="89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</row>
    <row r="30" spans="1:57" ht="26.25" thickBot="1" x14ac:dyDescent="0.75">
      <c r="S30" s="200"/>
      <c r="T30" s="200"/>
    </row>
    <row r="31" spans="1:57" x14ac:dyDescent="0.7">
      <c r="A31" s="90" t="s">
        <v>98</v>
      </c>
      <c r="B31" s="91" t="s">
        <v>106</v>
      </c>
      <c r="C31" s="91" t="s">
        <v>97</v>
      </c>
      <c r="D31" s="91" t="s">
        <v>96</v>
      </c>
      <c r="E31" s="92" t="s">
        <v>62</v>
      </c>
      <c r="F31" s="92" t="s">
        <v>107</v>
      </c>
      <c r="G31" s="92" t="s">
        <v>108</v>
      </c>
      <c r="H31" s="92" t="s">
        <v>109</v>
      </c>
      <c r="I31" s="92" t="s">
        <v>40</v>
      </c>
      <c r="J31" s="92" t="s">
        <v>55</v>
      </c>
      <c r="K31" s="92" t="s">
        <v>95</v>
      </c>
      <c r="L31" s="92" t="s">
        <v>94</v>
      </c>
      <c r="M31" s="92" t="s">
        <v>39</v>
      </c>
      <c r="N31" s="92" t="s">
        <v>54</v>
      </c>
      <c r="O31" s="92" t="s">
        <v>93</v>
      </c>
      <c r="P31" s="93" t="s">
        <v>38</v>
      </c>
      <c r="S31" s="90" t="s">
        <v>2515</v>
      </c>
      <c r="T31" s="91" t="s">
        <v>106</v>
      </c>
      <c r="U31" s="91" t="s">
        <v>97</v>
      </c>
      <c r="V31" s="91" t="s">
        <v>96</v>
      </c>
      <c r="W31" s="92" t="s">
        <v>62</v>
      </c>
      <c r="X31" s="92" t="s">
        <v>107</v>
      </c>
      <c r="Y31" s="92" t="s">
        <v>108</v>
      </c>
      <c r="Z31" s="92" t="s">
        <v>109</v>
      </c>
      <c r="AA31" s="92" t="s">
        <v>40</v>
      </c>
      <c r="AB31" s="92" t="s">
        <v>55</v>
      </c>
      <c r="AC31" s="92" t="s">
        <v>95</v>
      </c>
      <c r="AD31" s="92" t="s">
        <v>94</v>
      </c>
      <c r="AE31" s="92" t="s">
        <v>39</v>
      </c>
      <c r="AF31" s="92" t="s">
        <v>54</v>
      </c>
      <c r="AG31" s="92" t="s">
        <v>93</v>
      </c>
      <c r="AH31" s="93" t="s">
        <v>38</v>
      </c>
    </row>
    <row r="32" spans="1:57" x14ac:dyDescent="0.7">
      <c r="A32" s="184" t="s">
        <v>92</v>
      </c>
      <c r="B32" s="185">
        <f>B22*1000000/B13</f>
        <v>17641585.593044918</v>
      </c>
      <c r="C32" s="185">
        <f t="shared" ref="C32:N32" si="12">C22*1000000/C13</f>
        <v>19192677.254505951</v>
      </c>
      <c r="D32" s="185">
        <f t="shared" si="12"/>
        <v>21886543.494757708</v>
      </c>
      <c r="E32" s="185">
        <f t="shared" si="12"/>
        <v>24690283.003727019</v>
      </c>
      <c r="F32" s="185">
        <f t="shared" si="12"/>
        <v>25373974.886854731</v>
      </c>
      <c r="G32" s="185">
        <f t="shared" si="12"/>
        <v>27781320.139978278</v>
      </c>
      <c r="H32" s="185">
        <f t="shared" si="12"/>
        <v>25512423.57956139</v>
      </c>
      <c r="I32" s="185">
        <f t="shared" si="12"/>
        <v>25875794.363851514</v>
      </c>
      <c r="J32" s="185">
        <f t="shared" si="12"/>
        <v>26855613.734303322</v>
      </c>
      <c r="K32" s="185">
        <f t="shared" si="12"/>
        <v>27781320.139978278</v>
      </c>
      <c r="L32" s="185">
        <f t="shared" si="12"/>
        <v>28812663.44799839</v>
      </c>
      <c r="M32" s="185">
        <f t="shared" si="12"/>
        <v>30351367.163014863</v>
      </c>
      <c r="N32" s="185">
        <f t="shared" si="12"/>
        <v>29876212.378762122</v>
      </c>
      <c r="O32" s="185">
        <f>B131</f>
        <v>40500000</v>
      </c>
      <c r="P32" s="187"/>
      <c r="S32" s="184" t="s">
        <v>92</v>
      </c>
      <c r="T32" s="288">
        <f>B32/B32</f>
        <v>1</v>
      </c>
      <c r="U32" s="284">
        <f t="shared" ref="U32:AF32" si="13">C32/C32</f>
        <v>1</v>
      </c>
      <c r="V32" s="284">
        <f t="shared" si="13"/>
        <v>1</v>
      </c>
      <c r="W32" s="284">
        <f t="shared" si="13"/>
        <v>1</v>
      </c>
      <c r="X32" s="284">
        <f t="shared" si="13"/>
        <v>1</v>
      </c>
      <c r="Y32" s="284">
        <f t="shared" si="13"/>
        <v>1</v>
      </c>
      <c r="Z32" s="284">
        <f t="shared" si="13"/>
        <v>1</v>
      </c>
      <c r="AA32" s="284">
        <f t="shared" si="13"/>
        <v>1</v>
      </c>
      <c r="AB32" s="284">
        <f t="shared" si="13"/>
        <v>1</v>
      </c>
      <c r="AC32" s="284">
        <f t="shared" si="13"/>
        <v>1</v>
      </c>
      <c r="AD32" s="284">
        <f t="shared" si="13"/>
        <v>1</v>
      </c>
      <c r="AE32" s="284">
        <f t="shared" si="13"/>
        <v>1</v>
      </c>
      <c r="AF32" s="284">
        <f t="shared" si="13"/>
        <v>1</v>
      </c>
      <c r="AG32" s="283"/>
      <c r="AH32" s="289"/>
    </row>
    <row r="33" spans="1:34" x14ac:dyDescent="0.7">
      <c r="A33" s="184" t="s">
        <v>89</v>
      </c>
      <c r="B33" s="185">
        <f t="shared" ref="B33:N33" si="14">B23*1000000/B14</f>
        <v>5254268.3471887009</v>
      </c>
      <c r="C33" s="185">
        <f t="shared" si="14"/>
        <v>6535653.578106408</v>
      </c>
      <c r="D33" s="185">
        <f t="shared" si="14"/>
        <v>5595855.0566752264</v>
      </c>
      <c r="E33" s="185">
        <f t="shared" si="14"/>
        <v>5350469.8159351265</v>
      </c>
      <c r="F33" s="185">
        <f t="shared" si="14"/>
        <v>6532338.9320631735</v>
      </c>
      <c r="G33" s="185">
        <f t="shared" si="14"/>
        <v>8139062.0048589837</v>
      </c>
      <c r="H33" s="185">
        <f t="shared" si="14"/>
        <v>6904548.518856327</v>
      </c>
      <c r="I33" s="185">
        <f t="shared" si="14"/>
        <v>7478229.926543477</v>
      </c>
      <c r="J33" s="185">
        <f t="shared" si="14"/>
        <v>8903375.3060510661</v>
      </c>
      <c r="K33" s="185">
        <f t="shared" si="14"/>
        <v>8139062.0048589837</v>
      </c>
      <c r="L33" s="185">
        <f t="shared" si="14"/>
        <v>9805101.434778532</v>
      </c>
      <c r="M33" s="185">
        <f t="shared" si="14"/>
        <v>9825215.1599791087</v>
      </c>
      <c r="N33" s="185">
        <f t="shared" si="14"/>
        <v>13041629.444345186</v>
      </c>
      <c r="O33" s="185">
        <f>$O$32*AH33</f>
        <v>17679148.407428231</v>
      </c>
      <c r="P33" s="187"/>
      <c r="S33" s="184" t="s">
        <v>89</v>
      </c>
      <c r="T33" s="288">
        <f>B33/$B$32</f>
        <v>0.29783424621765076</v>
      </c>
      <c r="U33" s="284">
        <f>C33/$C$32</f>
        <v>0.34052849904366539</v>
      </c>
      <c r="V33" s="284">
        <f>D33/$D$32</f>
        <v>0.25567559619523988</v>
      </c>
      <c r="W33" s="284">
        <f>E33/$E$32</f>
        <v>0.21670346245636263</v>
      </c>
      <c r="X33" s="284">
        <f>F33/$F$32</f>
        <v>0.25744247644255863</v>
      </c>
      <c r="Y33" s="284">
        <f>G33/$G$32</f>
        <v>0.29296887130812016</v>
      </c>
      <c r="Z33" s="284">
        <f>H33/$H$32</f>
        <v>0.27063475554661631</v>
      </c>
      <c r="AA33" s="284">
        <f>I33/$I$32</f>
        <v>0.28900484450404212</v>
      </c>
      <c r="AB33" s="284">
        <f>J33/$J$32</f>
        <v>0.33152753067335677</v>
      </c>
      <c r="AC33" s="284">
        <f>K33/$K$32</f>
        <v>0.29296887130812016</v>
      </c>
      <c r="AD33" s="284">
        <f>L33/$L$32</f>
        <v>0.34030527765942065</v>
      </c>
      <c r="AE33" s="284">
        <f>M33/$M$32</f>
        <v>0.32371573600650777</v>
      </c>
      <c r="AF33" s="284">
        <f>N33/$N$32</f>
        <v>0.43652218289946254</v>
      </c>
      <c r="AG33" s="283"/>
      <c r="AH33" s="289">
        <f>AF33</f>
        <v>0.43652218289946254</v>
      </c>
    </row>
    <row r="34" spans="1:34" x14ac:dyDescent="0.7">
      <c r="A34" s="184" t="s">
        <v>86</v>
      </c>
      <c r="B34" s="185">
        <f t="shared" ref="B34:N34" si="15">B24*1000000/B15</f>
        <v>5526856.8253380256</v>
      </c>
      <c r="C34" s="185">
        <f t="shared" si="15"/>
        <v>4895128.6080555785</v>
      </c>
      <c r="D34" s="185">
        <f t="shared" si="15"/>
        <v>3621373.9356328472</v>
      </c>
      <c r="E34" s="185">
        <f t="shared" si="15"/>
        <v>2990208.7441354459</v>
      </c>
      <c r="F34" s="185">
        <f t="shared" si="15"/>
        <v>3115230.1513747298</v>
      </c>
      <c r="G34" s="185">
        <f t="shared" si="15"/>
        <v>3484309.4478939418</v>
      </c>
      <c r="H34" s="185">
        <f t="shared" si="15"/>
        <v>3206524.5093874778</v>
      </c>
      <c r="I34" s="185">
        <f t="shared" si="15"/>
        <v>3184527.658573864</v>
      </c>
      <c r="J34" s="185">
        <f t="shared" si="15"/>
        <v>3482142.8571428573</v>
      </c>
      <c r="K34" s="185">
        <f t="shared" si="15"/>
        <v>3484309.4478939418</v>
      </c>
      <c r="L34" s="185">
        <f t="shared" si="15"/>
        <v>3796806.7999081095</v>
      </c>
      <c r="M34" s="185">
        <f t="shared" si="15"/>
        <v>5425778.3543365458</v>
      </c>
      <c r="N34" s="185">
        <f t="shared" si="15"/>
        <v>17876237.623762377</v>
      </c>
      <c r="O34" s="185">
        <f t="shared" ref="O34:O37" si="16">$O$32*AH34</f>
        <v>24232911.942915224</v>
      </c>
      <c r="P34" s="187"/>
      <c r="S34" s="184" t="s">
        <v>86</v>
      </c>
      <c r="T34" s="288">
        <f t="shared" ref="T34:T37" si="17">B34/$B$32</f>
        <v>0.31328571891615875</v>
      </c>
      <c r="U34" s="284">
        <f t="shared" ref="U34:U37" si="18">C34/$C$32</f>
        <v>0.2550518900069727</v>
      </c>
      <c r="V34" s="284">
        <f t="shared" ref="V34:V37" si="19">D34/$D$32</f>
        <v>0.16546120845898957</v>
      </c>
      <c r="W34" s="284">
        <f t="shared" ref="W34:W37" si="20">E34/$E$32</f>
        <v>0.12110872701151588</v>
      </c>
      <c r="X34" s="284">
        <f t="shared" ref="X34:X37" si="21">F34/$F$32</f>
        <v>0.12277265053133671</v>
      </c>
      <c r="Y34" s="284">
        <f t="shared" ref="Y34:Y37" si="22">G34/$G$32</f>
        <v>0.12541914604266413</v>
      </c>
      <c r="Z34" s="284">
        <f t="shared" ref="Z34:Z37" si="23">H34/$H$32</f>
        <v>0.12568482564534955</v>
      </c>
      <c r="AA34" s="284">
        <f t="shared" ref="AA34:AA37" si="24">I34/$I$32</f>
        <v>0.12306975445061696</v>
      </c>
      <c r="AB34" s="284">
        <f t="shared" ref="AB34:AB37" si="25">J34/$J$32</f>
        <v>0.12966163765957925</v>
      </c>
      <c r="AC34" s="284">
        <f t="shared" ref="AC34:AC37" si="26">K34/$K$32</f>
        <v>0.12541914604266413</v>
      </c>
      <c r="AD34" s="284">
        <f t="shared" ref="AD34:AD37" si="27">L34/$L$32</f>
        <v>0.13177562729529169</v>
      </c>
      <c r="AE34" s="284">
        <f t="shared" ref="AE34:AE37" si="28">M34/$M$32</f>
        <v>0.17876553386195446</v>
      </c>
      <c r="AF34" s="284">
        <f t="shared" ref="AF34:AF37" si="29">N34/$N$32</f>
        <v>0.59834350476333886</v>
      </c>
      <c r="AG34" s="283"/>
      <c r="AH34" s="289">
        <f t="shared" ref="AH34:AH35" si="30">AF34</f>
        <v>0.59834350476333886</v>
      </c>
    </row>
    <row r="35" spans="1:34" x14ac:dyDescent="0.7">
      <c r="A35" s="184" t="s">
        <v>103</v>
      </c>
      <c r="B35" s="185">
        <f t="shared" ref="B35:N35" si="31">B25*1000000/B16</f>
        <v>17611740.001448192</v>
      </c>
      <c r="C35" s="185">
        <f t="shared" si="31"/>
        <v>18619245.875883739</v>
      </c>
      <c r="D35" s="185">
        <f t="shared" si="31"/>
        <v>21802912.963125937</v>
      </c>
      <c r="E35" s="185">
        <f t="shared" si="31"/>
        <v>24748553.654743392</v>
      </c>
      <c r="F35" s="185">
        <f t="shared" si="31"/>
        <v>25652665.342905149</v>
      </c>
      <c r="G35" s="185">
        <f t="shared" si="31"/>
        <v>27220206.332266096</v>
      </c>
      <c r="H35" s="185">
        <f t="shared" si="31"/>
        <v>25704492.304951113</v>
      </c>
      <c r="I35" s="185">
        <f t="shared" si="31"/>
        <v>25717706.456613734</v>
      </c>
      <c r="J35" s="185">
        <f t="shared" si="31"/>
        <v>27218030.931723878</v>
      </c>
      <c r="K35" s="185">
        <f t="shared" si="31"/>
        <v>27220206.332266096</v>
      </c>
      <c r="L35" s="185">
        <f t="shared" si="31"/>
        <v>27222696.549270723</v>
      </c>
      <c r="M35" s="185">
        <f t="shared" si="31"/>
        <v>27601783.060921248</v>
      </c>
      <c r="N35" s="185">
        <f t="shared" si="31"/>
        <v>32876712.328767125</v>
      </c>
      <c r="O35" s="185">
        <f t="shared" si="16"/>
        <v>44567458.298749633</v>
      </c>
      <c r="P35" s="187"/>
      <c r="S35" s="184" t="s">
        <v>103</v>
      </c>
      <c r="T35" s="288">
        <f t="shared" si="17"/>
        <v>0.99830822510599659</v>
      </c>
      <c r="U35" s="284">
        <f t="shared" si="18"/>
        <v>0.97012238725123223</v>
      </c>
      <c r="V35" s="284">
        <f t="shared" si="19"/>
        <v>0.99617890638365059</v>
      </c>
      <c r="W35" s="284">
        <f t="shared" si="20"/>
        <v>1.0023600641194585</v>
      </c>
      <c r="X35" s="284">
        <f t="shared" si="21"/>
        <v>1.0109833188254158</v>
      </c>
      <c r="Y35" s="284">
        <f t="shared" si="22"/>
        <v>0.97980247861206848</v>
      </c>
      <c r="Z35" s="284">
        <f t="shared" si="23"/>
        <v>1.0075284390285677</v>
      </c>
      <c r="AA35" s="284">
        <f t="shared" si="24"/>
        <v>0.99389050998725559</v>
      </c>
      <c r="AB35" s="284">
        <f t="shared" si="25"/>
        <v>1.0134950256957871</v>
      </c>
      <c r="AC35" s="284">
        <f t="shared" si="26"/>
        <v>0.97980247861206848</v>
      </c>
      <c r="AD35" s="284">
        <f t="shared" si="27"/>
        <v>0.9448170801148853</v>
      </c>
      <c r="AE35" s="284">
        <f t="shared" si="28"/>
        <v>0.9094082290486023</v>
      </c>
      <c r="AF35" s="284">
        <f t="shared" si="29"/>
        <v>1.1004310691049293</v>
      </c>
      <c r="AG35" s="283"/>
      <c r="AH35" s="289">
        <f t="shared" si="30"/>
        <v>1.1004310691049293</v>
      </c>
    </row>
    <row r="36" spans="1:34" x14ac:dyDescent="0.7">
      <c r="A36" s="184" t="s">
        <v>104</v>
      </c>
      <c r="B36" s="185">
        <f t="shared" ref="B36:K36" si="32">B26*1000000/B17</f>
        <v>1018015.9721433708</v>
      </c>
      <c r="C36" s="185">
        <f t="shared" si="32"/>
        <v>1081720.9271610645</v>
      </c>
      <c r="D36" s="185">
        <f t="shared" si="32"/>
        <v>1016097.8461261748</v>
      </c>
      <c r="E36" s="185">
        <f t="shared" si="32"/>
        <v>1047643.9685191521</v>
      </c>
      <c r="F36" s="185">
        <f t="shared" si="32"/>
        <v>1054168.6292981629</v>
      </c>
      <c r="G36" s="185">
        <f t="shared" si="32"/>
        <v>1169825.8855819539</v>
      </c>
      <c r="H36" s="185">
        <f t="shared" si="32"/>
        <v>1057065.1146971013</v>
      </c>
      <c r="I36" s="185">
        <f t="shared" si="32"/>
        <v>1042952.6040231469</v>
      </c>
      <c r="J36" s="185">
        <f t="shared" si="32"/>
        <v>1179453.741940158</v>
      </c>
      <c r="K36" s="185">
        <f t="shared" si="32"/>
        <v>1169825.8855819539</v>
      </c>
      <c r="L36" s="185"/>
      <c r="M36" s="185"/>
      <c r="N36" s="185"/>
      <c r="O36" s="185">
        <f t="shared" si="16"/>
        <v>1705388.6614225588</v>
      </c>
      <c r="P36" s="187"/>
      <c r="S36" s="184" t="s">
        <v>104</v>
      </c>
      <c r="T36" s="288">
        <f t="shared" si="17"/>
        <v>5.7705469090302011E-2</v>
      </c>
      <c r="U36" s="284">
        <f t="shared" si="18"/>
        <v>5.6361127362109111E-2</v>
      </c>
      <c r="V36" s="284">
        <f t="shared" si="19"/>
        <v>4.6425688294250381E-2</v>
      </c>
      <c r="W36" s="284">
        <f t="shared" si="20"/>
        <v>4.2431428119354055E-2</v>
      </c>
      <c r="X36" s="284">
        <f t="shared" si="21"/>
        <v>4.1545269670944879E-2</v>
      </c>
      <c r="Y36" s="284">
        <f t="shared" si="22"/>
        <v>4.2108362010433553E-2</v>
      </c>
      <c r="Z36" s="284">
        <f t="shared" si="23"/>
        <v>4.1433347615941175E-2</v>
      </c>
      <c r="AA36" s="284">
        <f t="shared" si="24"/>
        <v>4.0306109615716831E-2</v>
      </c>
      <c r="AB36" s="284">
        <f t="shared" si="25"/>
        <v>4.3918331325774669E-2</v>
      </c>
      <c r="AC36" s="284">
        <f t="shared" si="26"/>
        <v>4.2108362010433553E-2</v>
      </c>
      <c r="AD36" s="284">
        <f t="shared" si="27"/>
        <v>0</v>
      </c>
      <c r="AE36" s="284">
        <f t="shared" si="28"/>
        <v>0</v>
      </c>
      <c r="AF36" s="284">
        <f t="shared" si="29"/>
        <v>0</v>
      </c>
      <c r="AG36" s="283"/>
      <c r="AH36" s="289">
        <f>AC36</f>
        <v>4.2108362010433553E-2</v>
      </c>
    </row>
    <row r="37" spans="1:34" ht="26.25" thickBot="1" x14ac:dyDescent="0.75">
      <c r="A37" s="194" t="s">
        <v>110</v>
      </c>
      <c r="B37" s="202"/>
      <c r="C37" s="202"/>
      <c r="D37" s="202"/>
      <c r="E37" s="202"/>
      <c r="F37" s="202"/>
      <c r="G37" s="202">
        <f t="shared" ref="G37:M37" si="33">G27*1000000/G18</f>
        <v>22231707.31707317</v>
      </c>
      <c r="H37" s="202">
        <f t="shared" si="33"/>
        <v>1082033.9935384183</v>
      </c>
      <c r="I37" s="202">
        <f t="shared" si="33"/>
        <v>20856454.720616572</v>
      </c>
      <c r="J37" s="202"/>
      <c r="K37" s="202">
        <f t="shared" si="33"/>
        <v>22231707.31707317</v>
      </c>
      <c r="L37" s="202">
        <f t="shared" si="33"/>
        <v>22231707.31707317</v>
      </c>
      <c r="M37" s="202">
        <f t="shared" si="33"/>
        <v>22231707.31707317</v>
      </c>
      <c r="N37" s="202"/>
      <c r="O37" s="202">
        <f t="shared" si="16"/>
        <v>0</v>
      </c>
      <c r="P37" s="197"/>
      <c r="S37" s="194" t="s">
        <v>110</v>
      </c>
      <c r="T37" s="290">
        <f t="shared" si="17"/>
        <v>0</v>
      </c>
      <c r="U37" s="286">
        <f t="shared" si="18"/>
        <v>0</v>
      </c>
      <c r="V37" s="286">
        <f t="shared" si="19"/>
        <v>0</v>
      </c>
      <c r="W37" s="286">
        <f t="shared" si="20"/>
        <v>0</v>
      </c>
      <c r="X37" s="286">
        <f t="shared" si="21"/>
        <v>0</v>
      </c>
      <c r="Y37" s="286">
        <f t="shared" si="22"/>
        <v>0.8002394128521263</v>
      </c>
      <c r="Z37" s="286">
        <f t="shared" si="23"/>
        <v>4.2412042515837717E-2</v>
      </c>
      <c r="AA37" s="286">
        <f t="shared" si="24"/>
        <v>0.80602181433908127</v>
      </c>
      <c r="AB37" s="286">
        <f t="shared" si="25"/>
        <v>0</v>
      </c>
      <c r="AC37" s="286">
        <f t="shared" si="26"/>
        <v>0.8002394128521263</v>
      </c>
      <c r="AD37" s="286">
        <f t="shared" si="27"/>
        <v>0.7715950091596826</v>
      </c>
      <c r="AE37" s="286">
        <f t="shared" si="28"/>
        <v>0.73247795388156245</v>
      </c>
      <c r="AF37" s="286">
        <f t="shared" si="29"/>
        <v>0</v>
      </c>
      <c r="AG37" s="291"/>
      <c r="AH37" s="292">
        <v>0</v>
      </c>
    </row>
    <row r="38" spans="1:34" x14ac:dyDescent="0.7">
      <c r="S38" s="191"/>
      <c r="T38" s="192"/>
      <c r="U38" s="192"/>
      <c r="V38" s="192"/>
      <c r="X38" s="191"/>
      <c r="Y38" s="198"/>
      <c r="Z38" s="191"/>
    </row>
    <row r="39" spans="1:34" ht="26.25" thickBot="1" x14ac:dyDescent="0.75">
      <c r="S39" s="191"/>
      <c r="T39" s="192"/>
      <c r="U39" s="192"/>
      <c r="V39" s="192"/>
      <c r="X39" s="191"/>
      <c r="Y39" s="193"/>
      <c r="Z39" s="191"/>
    </row>
    <row r="40" spans="1:34" x14ac:dyDescent="0.7">
      <c r="A40" s="203" t="s">
        <v>111</v>
      </c>
      <c r="B40" s="204" t="s">
        <v>96</v>
      </c>
      <c r="C40" s="204" t="s">
        <v>62</v>
      </c>
      <c r="D40" s="204" t="s">
        <v>40</v>
      </c>
      <c r="E40" s="204" t="s">
        <v>55</v>
      </c>
      <c r="F40" s="204" t="s">
        <v>95</v>
      </c>
      <c r="G40" s="204" t="s">
        <v>94</v>
      </c>
      <c r="H40" s="204" t="s">
        <v>39</v>
      </c>
      <c r="I40" s="204" t="s">
        <v>54</v>
      </c>
      <c r="J40" s="204" t="s">
        <v>119</v>
      </c>
      <c r="K40" s="205" t="s">
        <v>38</v>
      </c>
      <c r="S40" s="192"/>
      <c r="T40" s="192"/>
      <c r="U40" s="192"/>
      <c r="V40" s="192"/>
      <c r="X40" s="199"/>
      <c r="Y40" s="193"/>
      <c r="Z40" s="199"/>
    </row>
    <row r="41" spans="1:34" x14ac:dyDescent="0.7">
      <c r="A41" s="94" t="s">
        <v>82</v>
      </c>
      <c r="B41" s="206">
        <v>1985804</v>
      </c>
      <c r="C41" s="206">
        <v>2103406</v>
      </c>
      <c r="D41" s="206">
        <v>3021199</v>
      </c>
      <c r="E41" s="206">
        <v>295311</v>
      </c>
      <c r="F41" s="206">
        <v>517135</v>
      </c>
      <c r="G41" s="206">
        <v>1503238</v>
      </c>
      <c r="H41" s="206">
        <v>1877203</v>
      </c>
      <c r="I41" s="206">
        <v>292629</v>
      </c>
      <c r="J41" s="213">
        <f>G68</f>
        <v>3546004.86405023</v>
      </c>
      <c r="K41" s="208"/>
      <c r="S41" s="192"/>
      <c r="T41" s="192"/>
      <c r="U41" s="192"/>
      <c r="V41" s="192"/>
      <c r="W41" s="199"/>
      <c r="X41" s="199"/>
      <c r="Y41" s="193"/>
      <c r="Z41" s="191"/>
    </row>
    <row r="42" spans="1:34" x14ac:dyDescent="0.7">
      <c r="A42" s="94" t="s">
        <v>81</v>
      </c>
      <c r="B42" s="206">
        <v>15091</v>
      </c>
      <c r="C42" s="206">
        <v>15068</v>
      </c>
      <c r="D42" s="206">
        <v>18839</v>
      </c>
      <c r="E42" s="206">
        <v>4469</v>
      </c>
      <c r="F42" s="206">
        <v>7908</v>
      </c>
      <c r="G42" s="206">
        <v>13716</v>
      </c>
      <c r="H42" s="206">
        <v>19849</v>
      </c>
      <c r="I42" s="206">
        <v>3761</v>
      </c>
      <c r="J42" s="207">
        <f>I42*1.2</f>
        <v>4513.2</v>
      </c>
      <c r="K42" s="209"/>
      <c r="U42" s="192"/>
      <c r="V42" s="192"/>
      <c r="W42" s="191"/>
      <c r="X42" s="191"/>
      <c r="Y42" s="199"/>
      <c r="Z42" s="191"/>
    </row>
    <row r="43" spans="1:34" x14ac:dyDescent="0.7">
      <c r="A43" s="94" t="s">
        <v>80</v>
      </c>
      <c r="B43" s="206">
        <v>305631</v>
      </c>
      <c r="C43" s="206">
        <v>343818</v>
      </c>
      <c r="D43" s="206">
        <v>414756</v>
      </c>
      <c r="E43" s="206">
        <v>83107</v>
      </c>
      <c r="F43" s="206">
        <v>132480</v>
      </c>
      <c r="G43" s="206">
        <v>237689</v>
      </c>
      <c r="H43" s="206">
        <v>370178</v>
      </c>
      <c r="I43" s="206">
        <v>57431</v>
      </c>
      <c r="J43" s="296">
        <f>G88</f>
        <v>374392.20487804874</v>
      </c>
      <c r="K43" s="209"/>
    </row>
    <row r="44" spans="1:34" x14ac:dyDescent="0.7">
      <c r="A44" s="94" t="s">
        <v>42</v>
      </c>
      <c r="B44" s="213">
        <f t="shared" ref="B44:I44" si="34">SUM(B41:B43)</f>
        <v>2306526</v>
      </c>
      <c r="C44" s="213">
        <f t="shared" si="34"/>
        <v>2462292</v>
      </c>
      <c r="D44" s="213">
        <f t="shared" si="34"/>
        <v>3454794</v>
      </c>
      <c r="E44" s="213">
        <f t="shared" si="34"/>
        <v>382887</v>
      </c>
      <c r="F44" s="213">
        <f t="shared" si="34"/>
        <v>657523</v>
      </c>
      <c r="G44" s="213">
        <f t="shared" si="34"/>
        <v>1754643</v>
      </c>
      <c r="H44" s="213">
        <f t="shared" si="34"/>
        <v>2267230</v>
      </c>
      <c r="I44" s="213">
        <f t="shared" si="34"/>
        <v>353821</v>
      </c>
      <c r="J44" s="213">
        <f>SUM(J41:J43)</f>
        <v>3924910.2689282792</v>
      </c>
      <c r="K44" s="209"/>
    </row>
    <row r="45" spans="1:34" x14ac:dyDescent="0.7">
      <c r="A45" s="94" t="s">
        <v>79</v>
      </c>
      <c r="B45" s="206">
        <v>-3924</v>
      </c>
      <c r="C45" s="206">
        <v>-3950</v>
      </c>
      <c r="D45" s="206">
        <v>-3907</v>
      </c>
      <c r="E45" s="206"/>
      <c r="F45" s="206">
        <v>-2173</v>
      </c>
      <c r="G45" s="206">
        <v>-3198</v>
      </c>
      <c r="H45" s="206">
        <v>-4864</v>
      </c>
      <c r="I45" s="206">
        <v>-1111</v>
      </c>
      <c r="J45" s="226">
        <f>H45</f>
        <v>-4864</v>
      </c>
      <c r="K45" s="209"/>
    </row>
    <row r="46" spans="1:34" x14ac:dyDescent="0.7">
      <c r="A46" s="94" t="s">
        <v>78</v>
      </c>
      <c r="B46" s="213">
        <f t="shared" ref="B46:I46" si="35">SUM(B44:B45)</f>
        <v>2302602</v>
      </c>
      <c r="C46" s="213">
        <f t="shared" si="35"/>
        <v>2458342</v>
      </c>
      <c r="D46" s="213">
        <f t="shared" si="35"/>
        <v>3450887</v>
      </c>
      <c r="E46" s="213">
        <f t="shared" si="35"/>
        <v>382887</v>
      </c>
      <c r="F46" s="213">
        <f t="shared" si="35"/>
        <v>655350</v>
      </c>
      <c r="G46" s="213">
        <f t="shared" si="35"/>
        <v>1751445</v>
      </c>
      <c r="H46" s="213">
        <f t="shared" si="35"/>
        <v>2262366</v>
      </c>
      <c r="I46" s="213">
        <f t="shared" si="35"/>
        <v>352710</v>
      </c>
      <c r="J46" s="213">
        <f>SUM(J44:J45)</f>
        <v>3920046.2689282792</v>
      </c>
      <c r="K46" s="209"/>
    </row>
    <row r="47" spans="1:34" x14ac:dyDescent="0.7">
      <c r="A47" s="94" t="s">
        <v>77</v>
      </c>
      <c r="B47" s="206">
        <v>0</v>
      </c>
      <c r="C47" s="206">
        <v>357568</v>
      </c>
      <c r="D47" s="206">
        <v>445542</v>
      </c>
      <c r="E47" s="206">
        <v>803732</v>
      </c>
      <c r="F47" s="206">
        <v>0</v>
      </c>
      <c r="G47" s="206">
        <v>0</v>
      </c>
      <c r="H47" s="206">
        <v>0</v>
      </c>
      <c r="I47" s="206">
        <v>0</v>
      </c>
      <c r="J47" s="207">
        <v>0</v>
      </c>
      <c r="K47" s="209"/>
    </row>
    <row r="48" spans="1:34" x14ac:dyDescent="0.7">
      <c r="A48" s="94" t="s">
        <v>76</v>
      </c>
      <c r="B48" s="206">
        <v>0</v>
      </c>
      <c r="C48" s="206">
        <v>-445541</v>
      </c>
      <c r="D48" s="206">
        <v>-803732</v>
      </c>
      <c r="E48" s="206">
        <v>-382802</v>
      </c>
      <c r="F48" s="206">
        <v>0</v>
      </c>
      <c r="G48" s="206">
        <v>0</v>
      </c>
      <c r="H48" s="206">
        <v>0</v>
      </c>
      <c r="I48" s="206">
        <v>0</v>
      </c>
      <c r="J48" s="207">
        <v>0</v>
      </c>
      <c r="K48" s="209"/>
    </row>
    <row r="49" spans="1:15" x14ac:dyDescent="0.7">
      <c r="A49" s="94" t="s">
        <v>75</v>
      </c>
      <c r="B49" s="206">
        <v>0</v>
      </c>
      <c r="C49" s="206">
        <v>0</v>
      </c>
      <c r="D49" s="206">
        <v>0</v>
      </c>
      <c r="E49" s="206">
        <v>0</v>
      </c>
      <c r="F49" s="206">
        <v>0</v>
      </c>
      <c r="G49" s="206">
        <v>0</v>
      </c>
      <c r="H49" s="206">
        <v>0</v>
      </c>
      <c r="I49" s="206">
        <v>0</v>
      </c>
      <c r="J49" s="207">
        <v>0</v>
      </c>
      <c r="K49" s="209"/>
    </row>
    <row r="50" spans="1:15" x14ac:dyDescent="0.7">
      <c r="A50" s="94" t="s">
        <v>74</v>
      </c>
      <c r="B50" s="213">
        <f t="shared" ref="B50:I50" si="36">SUM(B46:B49)</f>
        <v>2302602</v>
      </c>
      <c r="C50" s="213">
        <f t="shared" si="36"/>
        <v>2370369</v>
      </c>
      <c r="D50" s="213">
        <f t="shared" si="36"/>
        <v>3092697</v>
      </c>
      <c r="E50" s="213">
        <f t="shared" si="36"/>
        <v>803817</v>
      </c>
      <c r="F50" s="213">
        <f t="shared" si="36"/>
        <v>655350</v>
      </c>
      <c r="G50" s="213">
        <f t="shared" si="36"/>
        <v>1751445</v>
      </c>
      <c r="H50" s="213">
        <f t="shared" si="36"/>
        <v>2262366</v>
      </c>
      <c r="I50" s="213">
        <f t="shared" si="36"/>
        <v>352710</v>
      </c>
      <c r="J50" s="213">
        <f>SUM(J46:J49)</f>
        <v>3920046.2689282792</v>
      </c>
      <c r="K50" s="209"/>
    </row>
    <row r="51" spans="1:15" x14ac:dyDescent="0.7">
      <c r="A51" s="94" t="s">
        <v>73</v>
      </c>
      <c r="B51" s="206"/>
      <c r="C51" s="206"/>
      <c r="D51" s="206">
        <v>445542</v>
      </c>
      <c r="E51" s="206"/>
      <c r="F51" s="206">
        <v>803732</v>
      </c>
      <c r="G51" s="206">
        <v>803732</v>
      </c>
      <c r="H51" s="206">
        <v>803732</v>
      </c>
      <c r="I51" s="206">
        <v>644053</v>
      </c>
      <c r="J51" s="226">
        <f>I51</f>
        <v>644053</v>
      </c>
      <c r="K51" s="209"/>
    </row>
    <row r="52" spans="1:15" x14ac:dyDescent="0.7">
      <c r="A52" s="94" t="s">
        <v>72</v>
      </c>
      <c r="B52" s="206">
        <v>-147141</v>
      </c>
      <c r="C52" s="206"/>
      <c r="D52" s="206">
        <v>-803732</v>
      </c>
      <c r="E52" s="206"/>
      <c r="F52" s="206">
        <v>-93825</v>
      </c>
      <c r="G52" s="206">
        <v>-575891</v>
      </c>
      <c r="H52" s="206">
        <v>-644053</v>
      </c>
      <c r="I52" s="206">
        <v>-663305</v>
      </c>
      <c r="J52" s="226">
        <f>F52</f>
        <v>-93825</v>
      </c>
      <c r="K52" s="209"/>
    </row>
    <row r="53" spans="1:15" x14ac:dyDescent="0.7">
      <c r="A53" s="94" t="s">
        <v>71</v>
      </c>
      <c r="B53" s="213">
        <f t="shared" ref="B53:I53" si="37">SUM(B50:B52)</f>
        <v>2155461</v>
      </c>
      <c r="C53" s="213">
        <f t="shared" si="37"/>
        <v>2370369</v>
      </c>
      <c r="D53" s="213">
        <f t="shared" si="37"/>
        <v>2734507</v>
      </c>
      <c r="E53" s="213">
        <f t="shared" si="37"/>
        <v>803817</v>
      </c>
      <c r="F53" s="213">
        <f t="shared" si="37"/>
        <v>1365257</v>
      </c>
      <c r="G53" s="213">
        <f t="shared" si="37"/>
        <v>1979286</v>
      </c>
      <c r="H53" s="213">
        <f t="shared" si="37"/>
        <v>2422045</v>
      </c>
      <c r="I53" s="213">
        <f t="shared" si="37"/>
        <v>333458</v>
      </c>
      <c r="J53" s="213">
        <f>SUM(J50:J52)</f>
        <v>4470274.2689282792</v>
      </c>
      <c r="K53" s="209"/>
    </row>
    <row r="54" spans="1:15" x14ac:dyDescent="0.7">
      <c r="A54" s="94" t="s">
        <v>70</v>
      </c>
      <c r="B54" s="206"/>
      <c r="C54" s="206"/>
      <c r="D54" s="206">
        <v>39409</v>
      </c>
      <c r="E54" s="206"/>
      <c r="F54" s="206">
        <v>53615</v>
      </c>
      <c r="G54" s="206">
        <v>46951</v>
      </c>
      <c r="H54" s="206">
        <v>71558</v>
      </c>
      <c r="I54" s="206">
        <v>41618</v>
      </c>
      <c r="J54" s="226">
        <f>H54</f>
        <v>71558</v>
      </c>
      <c r="K54" s="209"/>
      <c r="L54" s="210"/>
      <c r="M54" s="210"/>
      <c r="N54" s="210"/>
    </row>
    <row r="55" spans="1:15" ht="26.25" thickBot="1" x14ac:dyDescent="0.75">
      <c r="A55" s="97" t="s">
        <v>69</v>
      </c>
      <c r="B55" s="216">
        <f t="shared" ref="B55:I55" si="38">SUM(B53:B54)</f>
        <v>2155461</v>
      </c>
      <c r="C55" s="216">
        <f t="shared" si="38"/>
        <v>2370369</v>
      </c>
      <c r="D55" s="216">
        <f t="shared" si="38"/>
        <v>2773916</v>
      </c>
      <c r="E55" s="216">
        <f t="shared" si="38"/>
        <v>803817</v>
      </c>
      <c r="F55" s="216">
        <f t="shared" si="38"/>
        <v>1418872</v>
      </c>
      <c r="G55" s="216">
        <f t="shared" si="38"/>
        <v>2026237</v>
      </c>
      <c r="H55" s="216">
        <f t="shared" si="38"/>
        <v>2493603</v>
      </c>
      <c r="I55" s="216">
        <f t="shared" si="38"/>
        <v>375076</v>
      </c>
      <c r="J55" s="216">
        <f>SUM(J53:J54)</f>
        <v>4541832.2689282792</v>
      </c>
      <c r="K55" s="216">
        <f>J55+I55</f>
        <v>4916908.2689282792</v>
      </c>
      <c r="L55" s="211"/>
      <c r="M55" s="212"/>
      <c r="N55" s="212"/>
    </row>
    <row r="56" spans="1:15" x14ac:dyDescent="0.7">
      <c r="N56" s="212"/>
    </row>
    <row r="57" spans="1:15" ht="26.25" thickBot="1" x14ac:dyDescent="0.75">
      <c r="L57" s="210"/>
      <c r="M57" s="210"/>
      <c r="N57" s="212"/>
    </row>
    <row r="58" spans="1:15" x14ac:dyDescent="0.7">
      <c r="A58" s="90" t="s">
        <v>114</v>
      </c>
      <c r="B58" s="204" t="s">
        <v>55</v>
      </c>
      <c r="C58" s="204" t="s">
        <v>95</v>
      </c>
      <c r="D58" s="204" t="s">
        <v>94</v>
      </c>
      <c r="E58" s="204" t="s">
        <v>39</v>
      </c>
      <c r="F58" s="204" t="s">
        <v>54</v>
      </c>
      <c r="G58" s="204" t="s">
        <v>119</v>
      </c>
      <c r="H58" s="205" t="s">
        <v>38</v>
      </c>
      <c r="J58" s="90" t="s">
        <v>2509</v>
      </c>
      <c r="K58" s="204" t="s">
        <v>95</v>
      </c>
      <c r="L58" s="204" t="s">
        <v>94</v>
      </c>
      <c r="M58" s="204" t="s">
        <v>39</v>
      </c>
      <c r="N58" s="204" t="s">
        <v>54</v>
      </c>
      <c r="O58" s="205" t="s">
        <v>119</v>
      </c>
    </row>
    <row r="59" spans="1:15" ht="26.25" thickBot="1" x14ac:dyDescent="0.75">
      <c r="A59" s="94" t="s">
        <v>115</v>
      </c>
      <c r="B59" s="213">
        <v>96300</v>
      </c>
      <c r="C59" s="213">
        <v>175304</v>
      </c>
      <c r="D59" s="213">
        <v>445805</v>
      </c>
      <c r="E59" s="213">
        <v>561917</v>
      </c>
      <c r="F59" s="213">
        <v>68975</v>
      </c>
      <c r="G59" s="214">
        <f>B133</f>
        <v>584038.95004233706</v>
      </c>
      <c r="H59" s="215"/>
      <c r="J59" s="97" t="s">
        <v>59</v>
      </c>
      <c r="K59" s="291">
        <f>C60/C59</f>
        <v>2.4401496828366724</v>
      </c>
      <c r="L59" s="291">
        <f t="shared" ref="L59:N59" si="39">D60/D59</f>
        <v>3.8920155673444667</v>
      </c>
      <c r="M59" s="291">
        <f t="shared" si="39"/>
        <v>3.5567690601992821</v>
      </c>
      <c r="N59" s="291">
        <f t="shared" si="39"/>
        <v>9.7669735411380927</v>
      </c>
      <c r="O59" s="287">
        <f>AVERAGE(K59:M59)</f>
        <v>3.2963114367934736</v>
      </c>
    </row>
    <row r="60" spans="1:15" x14ac:dyDescent="0.7">
      <c r="A60" s="94" t="s">
        <v>59</v>
      </c>
      <c r="B60" s="213"/>
      <c r="C60" s="213">
        <v>427768</v>
      </c>
      <c r="D60" s="213">
        <v>1735080</v>
      </c>
      <c r="E60" s="213">
        <v>1998609</v>
      </c>
      <c r="F60" s="213">
        <v>673677</v>
      </c>
      <c r="G60" s="214">
        <f>G59*O59</f>
        <v>1925174.2705574078</v>
      </c>
      <c r="H60" s="215"/>
      <c r="K60" s="298"/>
      <c r="L60" s="298"/>
      <c r="M60" s="298"/>
      <c r="N60" s="212"/>
    </row>
    <row r="61" spans="1:15" x14ac:dyDescent="0.7">
      <c r="A61" s="300" t="s">
        <v>67</v>
      </c>
      <c r="B61" s="213">
        <f>J4</f>
        <v>12179</v>
      </c>
      <c r="C61" s="213">
        <f t="shared" ref="C61:G61" si="40">K4</f>
        <v>20720</v>
      </c>
      <c r="D61" s="213">
        <f t="shared" si="40"/>
        <v>55506</v>
      </c>
      <c r="E61" s="213">
        <f t="shared" si="40"/>
        <v>71275</v>
      </c>
      <c r="F61" s="213">
        <f t="shared" si="40"/>
        <v>8267</v>
      </c>
      <c r="G61" s="213">
        <f t="shared" si="40"/>
        <v>61733</v>
      </c>
      <c r="H61" s="215"/>
      <c r="L61" s="212"/>
      <c r="M61" s="212"/>
      <c r="N61" s="218"/>
    </row>
    <row r="62" spans="1:15" ht="26.25" thickBot="1" x14ac:dyDescent="0.75">
      <c r="A62" s="301" t="s">
        <v>66</v>
      </c>
      <c r="B62" s="302">
        <f>B59/B61</f>
        <v>7.9070531242302327</v>
      </c>
      <c r="C62" s="302">
        <f t="shared" ref="C62:F62" si="41">C59/C61</f>
        <v>8.4606177606177599</v>
      </c>
      <c r="D62" s="302">
        <f t="shared" si="41"/>
        <v>8.0316542355781362</v>
      </c>
      <c r="E62" s="302">
        <f t="shared" si="41"/>
        <v>7.8837881445106976</v>
      </c>
      <c r="F62" s="302">
        <f t="shared" si="41"/>
        <v>8.343413572033386</v>
      </c>
      <c r="G62" s="303">
        <f>AVERAGE(B62:F62)</f>
        <v>8.1253053673940414</v>
      </c>
      <c r="H62" s="197"/>
      <c r="L62" s="212"/>
      <c r="M62" s="212"/>
      <c r="N62" s="218"/>
    </row>
    <row r="63" spans="1:15" customFormat="1" ht="15" x14ac:dyDescent="0.25"/>
    <row r="64" spans="1:15" customFormat="1" ht="15.75" thickBot="1" x14ac:dyDescent="0.3"/>
    <row r="65" spans="1:15" x14ac:dyDescent="0.7">
      <c r="A65" s="90" t="s">
        <v>116</v>
      </c>
      <c r="B65" s="204" t="s">
        <v>55</v>
      </c>
      <c r="C65" s="204" t="s">
        <v>95</v>
      </c>
      <c r="D65" s="204" t="s">
        <v>94</v>
      </c>
      <c r="E65" s="204" t="s">
        <v>39</v>
      </c>
      <c r="F65" s="204" t="s">
        <v>54</v>
      </c>
      <c r="G65" s="204" t="s">
        <v>119</v>
      </c>
      <c r="H65" s="205" t="s">
        <v>38</v>
      </c>
      <c r="L65" s="212"/>
      <c r="M65" s="212"/>
      <c r="N65" s="218"/>
      <c r="O65" s="89"/>
    </row>
    <row r="66" spans="1:15" x14ac:dyDescent="0.7">
      <c r="A66" s="94" t="s">
        <v>115</v>
      </c>
      <c r="B66" s="213">
        <v>291018.59999999998</v>
      </c>
      <c r="C66" s="213">
        <v>513105</v>
      </c>
      <c r="D66" s="213">
        <v>1484284</v>
      </c>
      <c r="E66" s="213">
        <v>1847813</v>
      </c>
      <c r="F66" s="213">
        <v>278012</v>
      </c>
      <c r="G66" s="214">
        <f>G59*G72/1000000</f>
        <v>3504233.7002540226</v>
      </c>
      <c r="H66" s="215"/>
      <c r="L66" s="218"/>
      <c r="M66" s="218"/>
      <c r="N66" s="212"/>
    </row>
    <row r="67" spans="1:15" x14ac:dyDescent="0.7">
      <c r="A67" s="94" t="s">
        <v>59</v>
      </c>
      <c r="B67" s="213"/>
      <c r="C67" s="213">
        <v>4030</v>
      </c>
      <c r="D67" s="213">
        <v>18954</v>
      </c>
      <c r="E67" s="213">
        <v>29390</v>
      </c>
      <c r="F67" s="213">
        <v>14617</v>
      </c>
      <c r="G67" s="214">
        <f>G60*G73/1000000</f>
        <v>41771.163796207431</v>
      </c>
      <c r="H67" s="215"/>
      <c r="L67" s="218"/>
      <c r="M67" s="218"/>
      <c r="N67" s="212"/>
    </row>
    <row r="68" spans="1:15" ht="26.25" thickBot="1" x14ac:dyDescent="0.75">
      <c r="A68" s="94" t="s">
        <v>64</v>
      </c>
      <c r="B68" s="216">
        <f>SUM(B66:B67)</f>
        <v>291018.59999999998</v>
      </c>
      <c r="C68" s="216">
        <f t="shared" ref="C68:G68" si="42">SUM(C66:C67)</f>
        <v>517135</v>
      </c>
      <c r="D68" s="216">
        <f t="shared" si="42"/>
        <v>1503238</v>
      </c>
      <c r="E68" s="216">
        <f t="shared" si="42"/>
        <v>1877203</v>
      </c>
      <c r="F68" s="216">
        <f t="shared" si="42"/>
        <v>292629</v>
      </c>
      <c r="G68" s="216">
        <f t="shared" si="42"/>
        <v>3546004.86405023</v>
      </c>
      <c r="H68" s="220">
        <f>G68+F68</f>
        <v>3838633.86405023</v>
      </c>
      <c r="L68" s="218"/>
      <c r="M68" s="218"/>
      <c r="N68" s="212"/>
    </row>
    <row r="69" spans="1:15" x14ac:dyDescent="0.7">
      <c r="G69" s="98"/>
      <c r="L69" s="212"/>
      <c r="M69" s="212"/>
      <c r="N69" s="212"/>
    </row>
    <row r="70" spans="1:15" ht="26.25" thickBot="1" x14ac:dyDescent="0.75">
      <c r="G70" s="98"/>
      <c r="L70" s="212"/>
      <c r="M70" s="212"/>
      <c r="N70" s="212"/>
    </row>
    <row r="71" spans="1:15" x14ac:dyDescent="0.7">
      <c r="A71" s="90" t="s">
        <v>117</v>
      </c>
      <c r="B71" s="204" t="s">
        <v>55</v>
      </c>
      <c r="C71" s="204" t="s">
        <v>95</v>
      </c>
      <c r="D71" s="204" t="s">
        <v>94</v>
      </c>
      <c r="E71" s="204" t="s">
        <v>39</v>
      </c>
      <c r="F71" s="204" t="s">
        <v>54</v>
      </c>
      <c r="G71" s="90" t="s">
        <v>119</v>
      </c>
      <c r="H71" s="205" t="s">
        <v>38</v>
      </c>
      <c r="L71" s="212"/>
      <c r="M71" s="212"/>
      <c r="N71" s="212"/>
    </row>
    <row r="72" spans="1:15" x14ac:dyDescent="0.7">
      <c r="A72" s="94" t="s">
        <v>115</v>
      </c>
      <c r="B72" s="185">
        <f>B66*1000000/B59</f>
        <v>3022000</v>
      </c>
      <c r="C72" s="185">
        <f>C66*1000000/C59</f>
        <v>2926944.0514762928</v>
      </c>
      <c r="D72" s="185">
        <f>D66*1000000/D59</f>
        <v>3329446.731194132</v>
      </c>
      <c r="E72" s="185">
        <f>E66*1000000/E59</f>
        <v>3288409.1422754605</v>
      </c>
      <c r="F72" s="185">
        <f>F66*1000000/F59</f>
        <v>4030619.7897789055</v>
      </c>
      <c r="G72" s="213">
        <f>B134</f>
        <v>6000000</v>
      </c>
      <c r="H72" s="219"/>
      <c r="L72" s="212"/>
      <c r="M72" s="212"/>
      <c r="N72" s="212"/>
    </row>
    <row r="73" spans="1:15" ht="26.25" thickBot="1" x14ac:dyDescent="0.75">
      <c r="A73" s="97" t="s">
        <v>59</v>
      </c>
      <c r="B73" s="216"/>
      <c r="C73" s="216">
        <f>C67*1000000/C60</f>
        <v>9420.994557797685</v>
      </c>
      <c r="D73" s="216">
        <f>D67*1000000/D60</f>
        <v>10923.991977315167</v>
      </c>
      <c r="E73" s="216">
        <f>E67*1000000/E60</f>
        <v>14705.227485716316</v>
      </c>
      <c r="F73" s="216">
        <f>F67*1000000/F60</f>
        <v>21697.341604359361</v>
      </c>
      <c r="G73" s="216">
        <f>F73</f>
        <v>21697.341604359361</v>
      </c>
      <c r="H73" s="220"/>
      <c r="L73" s="212"/>
      <c r="M73" s="212"/>
    </row>
    <row r="74" spans="1:15" x14ac:dyDescent="0.7">
      <c r="C74" s="325"/>
      <c r="D74" s="325"/>
      <c r="E74" s="325"/>
      <c r="F74" s="325"/>
      <c r="L74" s="212"/>
      <c r="M74" s="212"/>
    </row>
    <row r="75" spans="1:15" ht="26.25" thickBot="1" x14ac:dyDescent="0.75">
      <c r="K75" s="211"/>
      <c r="L75" s="212"/>
      <c r="M75" s="212"/>
    </row>
    <row r="76" spans="1:15" x14ac:dyDescent="0.7">
      <c r="A76" s="221" t="s">
        <v>57</v>
      </c>
      <c r="B76" s="204" t="s">
        <v>62</v>
      </c>
      <c r="C76" s="204" t="s">
        <v>40</v>
      </c>
      <c r="D76" s="204" t="s">
        <v>55</v>
      </c>
      <c r="E76" s="204" t="s">
        <v>39</v>
      </c>
      <c r="F76" s="204" t="s">
        <v>54</v>
      </c>
      <c r="G76" s="204" t="s">
        <v>119</v>
      </c>
      <c r="H76" s="205" t="s">
        <v>38</v>
      </c>
    </row>
    <row r="77" spans="1:15" x14ac:dyDescent="0.7">
      <c r="A77" s="94" t="s">
        <v>52</v>
      </c>
      <c r="B77" s="185">
        <v>171898</v>
      </c>
      <c r="C77" s="306">
        <v>211008</v>
      </c>
      <c r="D77" s="306">
        <v>56879</v>
      </c>
      <c r="E77" s="306">
        <v>208253</v>
      </c>
      <c r="F77" s="306">
        <v>37773</v>
      </c>
      <c r="G77" s="306">
        <f>H77-F77</f>
        <v>212130.59999999998</v>
      </c>
      <c r="H77" s="307">
        <f>E77*1.2</f>
        <v>249903.59999999998</v>
      </c>
    </row>
    <row r="78" spans="1:15" x14ac:dyDescent="0.7">
      <c r="A78" s="94" t="s">
        <v>51</v>
      </c>
      <c r="B78" s="185">
        <v>42992</v>
      </c>
      <c r="C78" s="306">
        <v>29044</v>
      </c>
      <c r="D78" s="306">
        <v>9903</v>
      </c>
      <c r="E78" s="306">
        <v>30621</v>
      </c>
      <c r="F78" s="306">
        <v>4167</v>
      </c>
      <c r="G78" s="306">
        <f t="shared" ref="G78:G80" si="43">H78-F78</f>
        <v>32578.199999999997</v>
      </c>
      <c r="H78" s="307">
        <f t="shared" ref="H78:H79" si="44">E78*1.2</f>
        <v>36745.199999999997</v>
      </c>
    </row>
    <row r="79" spans="1:15" x14ac:dyDescent="0.7">
      <c r="A79" s="94" t="s">
        <v>50</v>
      </c>
      <c r="B79" s="185">
        <v>66474</v>
      </c>
      <c r="C79" s="306">
        <v>83883</v>
      </c>
      <c r="D79" s="306">
        <v>11994</v>
      </c>
      <c r="E79" s="306">
        <v>54669</v>
      </c>
      <c r="F79" s="306">
        <v>7278</v>
      </c>
      <c r="G79" s="306">
        <f t="shared" si="43"/>
        <v>58324.800000000003</v>
      </c>
      <c r="H79" s="307">
        <f t="shared" si="44"/>
        <v>65602.8</v>
      </c>
    </row>
    <row r="80" spans="1:15" x14ac:dyDescent="0.7">
      <c r="A80" s="94" t="s">
        <v>49</v>
      </c>
      <c r="B80" s="185">
        <v>9243</v>
      </c>
      <c r="C80" s="306">
        <v>14033</v>
      </c>
      <c r="D80" s="306">
        <v>2132</v>
      </c>
      <c r="E80" s="306">
        <v>10611</v>
      </c>
      <c r="F80" s="306">
        <v>52</v>
      </c>
      <c r="G80" s="306">
        <f t="shared" si="43"/>
        <v>206.80487804878049</v>
      </c>
      <c r="H80" s="307">
        <f t="shared" ref="H80" si="45">F80*E80/D80</f>
        <v>258.80487804878049</v>
      </c>
    </row>
    <row r="81" spans="1:12" x14ac:dyDescent="0.7">
      <c r="A81" s="94" t="s">
        <v>48</v>
      </c>
      <c r="B81" s="185">
        <v>0</v>
      </c>
      <c r="C81" s="306">
        <v>0</v>
      </c>
      <c r="D81" s="306">
        <v>0</v>
      </c>
      <c r="E81" s="306">
        <v>0</v>
      </c>
      <c r="F81" s="306">
        <v>21</v>
      </c>
      <c r="G81" s="306">
        <f>F81*3</f>
        <v>63</v>
      </c>
      <c r="H81" s="307">
        <v>0</v>
      </c>
    </row>
    <row r="82" spans="1:12" x14ac:dyDescent="0.7">
      <c r="A82" s="94" t="s">
        <v>47</v>
      </c>
      <c r="B82" s="185">
        <v>0</v>
      </c>
      <c r="C82" s="306">
        <v>0</v>
      </c>
      <c r="D82" s="306">
        <v>0</v>
      </c>
      <c r="E82" s="306">
        <v>0</v>
      </c>
      <c r="F82" s="306">
        <v>0</v>
      </c>
      <c r="G82" s="306">
        <v>0</v>
      </c>
      <c r="H82" s="307">
        <v>0</v>
      </c>
    </row>
    <row r="83" spans="1:12" x14ac:dyDescent="0.7">
      <c r="A83" s="94" t="s">
        <v>118</v>
      </c>
      <c r="B83" s="185">
        <v>0</v>
      </c>
      <c r="C83" s="306">
        <v>0</v>
      </c>
      <c r="D83" s="306">
        <v>0</v>
      </c>
      <c r="E83" s="306">
        <v>0</v>
      </c>
      <c r="F83" s="306">
        <v>0</v>
      </c>
      <c r="G83" s="306">
        <v>0</v>
      </c>
      <c r="H83" s="307">
        <v>0</v>
      </c>
    </row>
    <row r="84" spans="1:12" x14ac:dyDescent="0.7">
      <c r="A84" s="94" t="s">
        <v>45</v>
      </c>
      <c r="B84" s="185">
        <v>0</v>
      </c>
      <c r="C84" s="306">
        <v>0</v>
      </c>
      <c r="D84" s="306">
        <v>0</v>
      </c>
      <c r="E84" s="306">
        <v>0</v>
      </c>
      <c r="F84" s="306">
        <v>0</v>
      </c>
      <c r="G84" s="306">
        <v>0</v>
      </c>
      <c r="H84" s="307">
        <v>0</v>
      </c>
    </row>
    <row r="85" spans="1:12" x14ac:dyDescent="0.7">
      <c r="A85" s="94" t="s">
        <v>44</v>
      </c>
      <c r="B85" s="185">
        <v>0</v>
      </c>
      <c r="C85" s="306">
        <v>0</v>
      </c>
      <c r="D85" s="306">
        <v>0</v>
      </c>
      <c r="E85" s="306">
        <v>0</v>
      </c>
      <c r="F85" s="306">
        <v>0</v>
      </c>
      <c r="G85" s="306">
        <v>0</v>
      </c>
      <c r="H85" s="307">
        <v>0</v>
      </c>
    </row>
    <row r="86" spans="1:12" x14ac:dyDescent="0.7">
      <c r="A86" s="94" t="s">
        <v>43</v>
      </c>
      <c r="B86" s="185">
        <v>49261</v>
      </c>
      <c r="C86" s="306">
        <v>82208</v>
      </c>
      <c r="D86" s="306">
        <v>2199</v>
      </c>
      <c r="E86" s="306">
        <v>66024</v>
      </c>
      <c r="F86" s="306">
        <v>8140</v>
      </c>
      <c r="G86" s="306">
        <f>H86-F86</f>
        <v>71088.800000000003</v>
      </c>
      <c r="H86" s="307">
        <f>E86*1.2</f>
        <v>79228.800000000003</v>
      </c>
    </row>
    <row r="87" spans="1:12" x14ac:dyDescent="0.7">
      <c r="A87" s="222" t="s">
        <v>120</v>
      </c>
      <c r="B87" s="185">
        <v>0</v>
      </c>
      <c r="C87" s="308">
        <v>0</v>
      </c>
      <c r="D87" s="308">
        <v>0</v>
      </c>
      <c r="E87" s="308">
        <v>0</v>
      </c>
      <c r="F87" s="308">
        <v>0</v>
      </c>
      <c r="G87" s="308">
        <v>0</v>
      </c>
      <c r="H87" s="307">
        <v>0</v>
      </c>
    </row>
    <row r="88" spans="1:12" ht="26.25" thickBot="1" x14ac:dyDescent="0.75">
      <c r="A88" s="97" t="s">
        <v>42</v>
      </c>
      <c r="B88" s="309">
        <f>SUM(B77:B87)</f>
        <v>339868</v>
      </c>
      <c r="C88" s="309">
        <f>SUM(C77:C86)</f>
        <v>420176</v>
      </c>
      <c r="D88" s="309">
        <f>SUM(D77:D86)</f>
        <v>83107</v>
      </c>
      <c r="E88" s="309">
        <f t="shared" ref="E88:G88" si="46">SUM(E77:E86)</f>
        <v>370178</v>
      </c>
      <c r="F88" s="309">
        <f t="shared" si="46"/>
        <v>57431</v>
      </c>
      <c r="G88" s="309">
        <f t="shared" si="46"/>
        <v>374392.20487804874</v>
      </c>
      <c r="H88" s="310">
        <f>G88+F88</f>
        <v>431823.20487804874</v>
      </c>
    </row>
    <row r="89" spans="1:12" x14ac:dyDescent="0.7">
      <c r="I89" s="217"/>
      <c r="J89" s="217"/>
      <c r="K89" s="217"/>
      <c r="L89" s="217"/>
    </row>
    <row r="90" spans="1:12" ht="26.25" thickBot="1" x14ac:dyDescent="0.75">
      <c r="I90" s="217"/>
      <c r="J90" s="217"/>
      <c r="K90" s="217"/>
      <c r="L90" s="217"/>
    </row>
    <row r="91" spans="1:12" x14ac:dyDescent="0.7">
      <c r="A91" s="223" t="s">
        <v>56</v>
      </c>
      <c r="B91" s="204" t="s">
        <v>62</v>
      </c>
      <c r="C91" s="204" t="s">
        <v>40</v>
      </c>
      <c r="D91" s="204" t="s">
        <v>55</v>
      </c>
      <c r="E91" s="204" t="s">
        <v>39</v>
      </c>
      <c r="F91" s="204" t="s">
        <v>54</v>
      </c>
      <c r="G91" s="204" t="s">
        <v>119</v>
      </c>
      <c r="H91" s="205" t="s">
        <v>38</v>
      </c>
      <c r="I91" s="217"/>
      <c r="J91" s="217"/>
      <c r="K91" s="217"/>
      <c r="L91" s="217"/>
    </row>
    <row r="92" spans="1:12" x14ac:dyDescent="0.7">
      <c r="A92" s="94" t="s">
        <v>52</v>
      </c>
      <c r="B92" s="185">
        <v>27705</v>
      </c>
      <c r="C92" s="306">
        <v>14397</v>
      </c>
      <c r="D92" s="306">
        <v>3968</v>
      </c>
      <c r="E92" s="306">
        <v>16577</v>
      </c>
      <c r="F92" s="306">
        <v>4351</v>
      </c>
      <c r="G92" s="306">
        <f>H92-F92</f>
        <v>15541.399999999998</v>
      </c>
      <c r="H92" s="307">
        <f>E92*1.2</f>
        <v>19892.399999999998</v>
      </c>
    </row>
    <row r="93" spans="1:12" x14ac:dyDescent="0.7">
      <c r="A93" s="94" t="s">
        <v>51</v>
      </c>
      <c r="B93" s="185">
        <v>4077</v>
      </c>
      <c r="C93" s="306">
        <v>3085</v>
      </c>
      <c r="D93" s="306">
        <v>780</v>
      </c>
      <c r="E93" s="306">
        <v>3080</v>
      </c>
      <c r="F93" s="306">
        <v>779</v>
      </c>
      <c r="G93" s="306">
        <f t="shared" ref="G93:G94" si="47">H93-F93</f>
        <v>2917</v>
      </c>
      <c r="H93" s="307">
        <f t="shared" ref="H93:H94" si="48">E93*1.2</f>
        <v>3696</v>
      </c>
    </row>
    <row r="94" spans="1:12" x14ac:dyDescent="0.7">
      <c r="A94" s="94" t="s">
        <v>50</v>
      </c>
      <c r="B94" s="185">
        <v>100</v>
      </c>
      <c r="C94" s="306">
        <v>140</v>
      </c>
      <c r="D94" s="306">
        <v>43</v>
      </c>
      <c r="E94" s="306">
        <v>271</v>
      </c>
      <c r="F94" s="306">
        <v>67</v>
      </c>
      <c r="G94" s="306">
        <f t="shared" si="47"/>
        <v>258.2</v>
      </c>
      <c r="H94" s="307">
        <f t="shared" si="48"/>
        <v>325.2</v>
      </c>
    </row>
    <row r="95" spans="1:12" x14ac:dyDescent="0.7">
      <c r="A95" s="94" t="s">
        <v>49</v>
      </c>
      <c r="B95" s="185">
        <v>0</v>
      </c>
      <c r="C95" s="306">
        <v>0</v>
      </c>
      <c r="D95" s="306">
        <v>0</v>
      </c>
      <c r="E95" s="306">
        <v>0</v>
      </c>
      <c r="F95" s="306">
        <v>0</v>
      </c>
      <c r="G95" s="306">
        <v>0</v>
      </c>
      <c r="H95" s="307">
        <v>0</v>
      </c>
    </row>
    <row r="96" spans="1:12" x14ac:dyDescent="0.7">
      <c r="A96" s="94" t="s">
        <v>48</v>
      </c>
      <c r="B96" s="185">
        <v>0</v>
      </c>
      <c r="C96" s="306">
        <v>0</v>
      </c>
      <c r="D96" s="306">
        <v>0</v>
      </c>
      <c r="E96" s="306">
        <v>0</v>
      </c>
      <c r="F96" s="306">
        <v>0</v>
      </c>
      <c r="G96" s="306">
        <v>0</v>
      </c>
      <c r="H96" s="307">
        <v>0</v>
      </c>
    </row>
    <row r="97" spans="1:16" x14ac:dyDescent="0.7">
      <c r="A97" s="94" t="s">
        <v>47</v>
      </c>
      <c r="B97" s="185">
        <v>0</v>
      </c>
      <c r="C97" s="306">
        <v>0</v>
      </c>
      <c r="D97" s="306">
        <v>0</v>
      </c>
      <c r="E97" s="306">
        <v>0</v>
      </c>
      <c r="F97" s="306">
        <v>0</v>
      </c>
      <c r="G97" s="306">
        <v>0</v>
      </c>
      <c r="H97" s="307">
        <v>0</v>
      </c>
    </row>
    <row r="98" spans="1:16" x14ac:dyDescent="0.7">
      <c r="A98" s="94" t="s">
        <v>118</v>
      </c>
      <c r="B98" s="185">
        <v>0</v>
      </c>
      <c r="C98" s="306">
        <v>0</v>
      </c>
      <c r="D98" s="306">
        <v>0</v>
      </c>
      <c r="E98" s="306">
        <v>0</v>
      </c>
      <c r="F98" s="306">
        <v>0</v>
      </c>
      <c r="G98" s="306">
        <v>0</v>
      </c>
      <c r="H98" s="307">
        <v>0</v>
      </c>
    </row>
    <row r="99" spans="1:16" x14ac:dyDescent="0.7">
      <c r="A99" s="94" t="s">
        <v>45</v>
      </c>
      <c r="B99" s="185">
        <v>0</v>
      </c>
      <c r="C99" s="306">
        <v>0</v>
      </c>
      <c r="D99" s="306">
        <v>0</v>
      </c>
      <c r="E99" s="306">
        <v>0</v>
      </c>
      <c r="F99" s="306">
        <v>0</v>
      </c>
      <c r="G99" s="306">
        <v>0</v>
      </c>
      <c r="H99" s="307">
        <v>0</v>
      </c>
    </row>
    <row r="100" spans="1:16" x14ac:dyDescent="0.7">
      <c r="A100" s="94" t="s">
        <v>44</v>
      </c>
      <c r="B100" s="185">
        <v>0</v>
      </c>
      <c r="C100" s="306">
        <v>0</v>
      </c>
      <c r="D100" s="306">
        <v>0</v>
      </c>
      <c r="E100" s="306">
        <v>450</v>
      </c>
      <c r="F100" s="306">
        <v>0</v>
      </c>
      <c r="G100" s="306">
        <f>H100</f>
        <v>540</v>
      </c>
      <c r="H100" s="307">
        <f t="shared" ref="H100:H102" si="49">E100*1.2</f>
        <v>540</v>
      </c>
    </row>
    <row r="101" spans="1:16" x14ac:dyDescent="0.7">
      <c r="A101" s="94" t="s">
        <v>43</v>
      </c>
      <c r="B101" s="185">
        <v>12511</v>
      </c>
      <c r="C101" s="306">
        <v>0</v>
      </c>
      <c r="D101" s="306">
        <v>4099</v>
      </c>
      <c r="E101" s="306">
        <v>46241</v>
      </c>
      <c r="F101" s="306">
        <v>11113</v>
      </c>
      <c r="G101" s="306">
        <f t="shared" ref="G101" si="50">H101-F101</f>
        <v>44376.2</v>
      </c>
      <c r="H101" s="307">
        <f t="shared" si="49"/>
        <v>55489.2</v>
      </c>
    </row>
    <row r="102" spans="1:16" x14ac:dyDescent="0.7">
      <c r="A102" s="94" t="s">
        <v>120</v>
      </c>
      <c r="B102" s="185">
        <v>0</v>
      </c>
      <c r="C102" s="306">
        <v>27026</v>
      </c>
      <c r="D102" s="306">
        <v>6355</v>
      </c>
      <c r="E102" s="306">
        <v>23500</v>
      </c>
      <c r="F102" s="306">
        <v>0</v>
      </c>
      <c r="G102" s="306">
        <f>H102</f>
        <v>28200</v>
      </c>
      <c r="H102" s="307">
        <f t="shared" si="49"/>
        <v>28200</v>
      </c>
    </row>
    <row r="103" spans="1:16" ht="26.25" thickBot="1" x14ac:dyDescent="0.75">
      <c r="A103" s="97" t="s">
        <v>42</v>
      </c>
      <c r="B103" s="309">
        <f>SUM(B92:B102)</f>
        <v>44393</v>
      </c>
      <c r="C103" s="309">
        <f>SUM(C92:C102)</f>
        <v>44648</v>
      </c>
      <c r="D103" s="309">
        <f t="shared" ref="D103:G103" si="51">SUM(D92:D102)</f>
        <v>15245</v>
      </c>
      <c r="E103" s="309">
        <f t="shared" si="51"/>
        <v>90119</v>
      </c>
      <c r="F103" s="309">
        <f t="shared" si="51"/>
        <v>16310</v>
      </c>
      <c r="G103" s="309">
        <f t="shared" si="51"/>
        <v>91832.799999999988</v>
      </c>
      <c r="H103" s="310">
        <f>G103+F103</f>
        <v>108142.79999999999</v>
      </c>
    </row>
    <row r="105" spans="1:16" ht="26.25" thickBot="1" x14ac:dyDescent="0.75"/>
    <row r="106" spans="1:16" x14ac:dyDescent="0.7">
      <c r="A106" s="224" t="s">
        <v>58</v>
      </c>
      <c r="B106" s="92" t="s">
        <v>106</v>
      </c>
      <c r="C106" s="92" t="s">
        <v>97</v>
      </c>
      <c r="D106" s="92" t="s">
        <v>96</v>
      </c>
      <c r="E106" s="92" t="s">
        <v>62</v>
      </c>
      <c r="F106" s="92" t="s">
        <v>107</v>
      </c>
      <c r="G106" s="92" t="s">
        <v>108</v>
      </c>
      <c r="H106" s="92" t="s">
        <v>109</v>
      </c>
      <c r="I106" s="92" t="s">
        <v>40</v>
      </c>
      <c r="J106" s="92" t="s">
        <v>55</v>
      </c>
      <c r="K106" s="92" t="s">
        <v>95</v>
      </c>
      <c r="L106" s="92" t="s">
        <v>94</v>
      </c>
      <c r="M106" s="92" t="s">
        <v>39</v>
      </c>
      <c r="N106" s="92" t="s">
        <v>54</v>
      </c>
      <c r="O106" s="204" t="s">
        <v>119</v>
      </c>
      <c r="P106" s="205" t="s">
        <v>38</v>
      </c>
    </row>
    <row r="107" spans="1:16" x14ac:dyDescent="0.7">
      <c r="A107" s="225" t="s">
        <v>37</v>
      </c>
      <c r="B107" s="207">
        <v>2321201</v>
      </c>
      <c r="C107" s="207">
        <v>1663856</v>
      </c>
      <c r="D107" s="226">
        <v>2338556</v>
      </c>
      <c r="E107" s="226">
        <v>2632096</v>
      </c>
      <c r="F107" s="226">
        <v>998192</v>
      </c>
      <c r="G107" s="226">
        <v>1777221</v>
      </c>
      <c r="H107" s="226">
        <v>2311358</v>
      </c>
      <c r="I107" s="226">
        <v>3612839</v>
      </c>
      <c r="J107" s="226">
        <v>905008</v>
      </c>
      <c r="K107" s="226">
        <v>1579274</v>
      </c>
      <c r="L107" s="226">
        <v>2318753</v>
      </c>
      <c r="M107" s="226">
        <v>2952322</v>
      </c>
      <c r="N107" s="226">
        <v>426951</v>
      </c>
      <c r="O107" s="296">
        <f>O28</f>
        <v>4808802.3018002221</v>
      </c>
      <c r="P107" s="297">
        <f>O107+N107</f>
        <v>5235753.3018002221</v>
      </c>
    </row>
    <row r="108" spans="1:16" x14ac:dyDescent="0.7">
      <c r="A108" s="225" t="s">
        <v>36</v>
      </c>
      <c r="B108" s="226">
        <v>-2187978</v>
      </c>
      <c r="C108" s="226">
        <v>-1415810</v>
      </c>
      <c r="D108" s="226">
        <v>-2155461</v>
      </c>
      <c r="E108" s="226">
        <v>-2370369</v>
      </c>
      <c r="F108" s="226">
        <v>-907422</v>
      </c>
      <c r="G108" s="226">
        <v>-1631448</v>
      </c>
      <c r="H108" s="226">
        <v>-2133658</v>
      </c>
      <c r="I108" s="226">
        <v>-3132106</v>
      </c>
      <c r="J108" s="226">
        <v>-803817</v>
      </c>
      <c r="K108" s="226">
        <v>-1418872</v>
      </c>
      <c r="L108" s="226">
        <v>-1991974</v>
      </c>
      <c r="M108" s="226">
        <v>-2493603</v>
      </c>
      <c r="N108" s="226">
        <v>-375076</v>
      </c>
      <c r="O108" s="226">
        <f>-J55</f>
        <v>-4541832.2689282792</v>
      </c>
      <c r="P108" s="311">
        <f>O108+N108</f>
        <v>-4916908.2689282792</v>
      </c>
    </row>
    <row r="109" spans="1:16" x14ac:dyDescent="0.7">
      <c r="A109" s="225" t="s">
        <v>35</v>
      </c>
      <c r="B109" s="296">
        <f t="shared" ref="B109:N109" si="52">SUM(B107:B108)</f>
        <v>133223</v>
      </c>
      <c r="C109" s="296">
        <f t="shared" si="52"/>
        <v>248046</v>
      </c>
      <c r="D109" s="296">
        <f t="shared" si="52"/>
        <v>183095</v>
      </c>
      <c r="E109" s="296">
        <f t="shared" si="52"/>
        <v>261727</v>
      </c>
      <c r="F109" s="296">
        <f t="shared" si="52"/>
        <v>90770</v>
      </c>
      <c r="G109" s="296">
        <f t="shared" si="52"/>
        <v>145773</v>
      </c>
      <c r="H109" s="296">
        <f t="shared" si="52"/>
        <v>177700</v>
      </c>
      <c r="I109" s="296">
        <f t="shared" si="52"/>
        <v>480733</v>
      </c>
      <c r="J109" s="296">
        <f t="shared" si="52"/>
        <v>101191</v>
      </c>
      <c r="K109" s="296">
        <f t="shared" si="52"/>
        <v>160402</v>
      </c>
      <c r="L109" s="296">
        <f t="shared" si="52"/>
        <v>326779</v>
      </c>
      <c r="M109" s="296">
        <f t="shared" si="52"/>
        <v>458719</v>
      </c>
      <c r="N109" s="296">
        <f t="shared" si="52"/>
        <v>51875</v>
      </c>
      <c r="O109" s="296">
        <f>SUM(O107:O108)</f>
        <v>266970.03287194297</v>
      </c>
      <c r="P109" s="297">
        <f>O109+N109</f>
        <v>318845.03287194297</v>
      </c>
    </row>
    <row r="110" spans="1:16" x14ac:dyDescent="0.7">
      <c r="A110" s="225" t="s">
        <v>34</v>
      </c>
      <c r="B110" s="226">
        <v>-42263</v>
      </c>
      <c r="C110" s="226">
        <v>-33910</v>
      </c>
      <c r="D110" s="226">
        <v>-42349</v>
      </c>
      <c r="E110" s="226">
        <v>-44393</v>
      </c>
      <c r="F110" s="226">
        <v>-12524</v>
      </c>
      <c r="G110" s="226">
        <v>-22350</v>
      </c>
      <c r="H110" s="226">
        <v>-32910</v>
      </c>
      <c r="I110" s="226">
        <v>-54726</v>
      </c>
      <c r="J110" s="226">
        <v>-15245</v>
      </c>
      <c r="K110" s="226">
        <v>-33284</v>
      </c>
      <c r="L110" s="226">
        <v>-45513</v>
      </c>
      <c r="M110" s="226">
        <v>-66619</v>
      </c>
      <c r="N110" s="226">
        <v>-16310</v>
      </c>
      <c r="O110" s="226">
        <f>-G103</f>
        <v>-91832.799999999988</v>
      </c>
      <c r="P110" s="311">
        <f>O110+N110</f>
        <v>-108142.79999999999</v>
      </c>
    </row>
    <row r="111" spans="1:16" x14ac:dyDescent="0.7">
      <c r="A111" s="225" t="s">
        <v>33</v>
      </c>
      <c r="B111" s="226">
        <v>-15707</v>
      </c>
      <c r="C111" s="226">
        <v>-6058</v>
      </c>
      <c r="D111" s="226">
        <v>5491</v>
      </c>
      <c r="E111" s="226">
        <v>0</v>
      </c>
      <c r="F111" s="226">
        <v>0</v>
      </c>
      <c r="G111" s="226">
        <v>2508</v>
      </c>
      <c r="H111" s="226">
        <v>3927</v>
      </c>
      <c r="I111" s="226">
        <v>4080</v>
      </c>
      <c r="J111" s="226">
        <v>0</v>
      </c>
      <c r="K111" s="226">
        <v>74420</v>
      </c>
      <c r="L111" s="226">
        <v>74420</v>
      </c>
      <c r="M111" s="226">
        <v>74664</v>
      </c>
      <c r="N111" s="226">
        <v>0</v>
      </c>
      <c r="O111" s="226">
        <f>M111</f>
        <v>74664</v>
      </c>
      <c r="P111" s="311">
        <f t="shared" ref="P111:P112" si="53">O111+N111</f>
        <v>74664</v>
      </c>
    </row>
    <row r="112" spans="1:16" x14ac:dyDescent="0.7">
      <c r="A112" s="225" t="s">
        <v>32</v>
      </c>
      <c r="B112" s="207">
        <v>0</v>
      </c>
      <c r="C112" s="207">
        <v>0</v>
      </c>
      <c r="D112" s="226">
        <v>-3924</v>
      </c>
      <c r="E112" s="226">
        <v>-3950</v>
      </c>
      <c r="F112" s="226">
        <v>0</v>
      </c>
      <c r="G112" s="226">
        <v>0</v>
      </c>
      <c r="H112" s="226">
        <v>-2075</v>
      </c>
      <c r="I112" s="226">
        <v>-58794</v>
      </c>
      <c r="J112" s="226">
        <v>0</v>
      </c>
      <c r="K112" s="226">
        <v>-2173</v>
      </c>
      <c r="L112" s="226">
        <v>-3198</v>
      </c>
      <c r="M112" s="226">
        <v>-4864</v>
      </c>
      <c r="N112" s="226">
        <v>0</v>
      </c>
      <c r="O112" s="226">
        <f>M112</f>
        <v>-4864</v>
      </c>
      <c r="P112" s="311">
        <f t="shared" si="53"/>
        <v>-4864</v>
      </c>
    </row>
    <row r="113" spans="1:20" x14ac:dyDescent="0.7">
      <c r="A113" s="225" t="s">
        <v>31</v>
      </c>
      <c r="B113" s="296">
        <f t="shared" ref="B113:N113" si="54">SUM(B109:B112)</f>
        <v>75253</v>
      </c>
      <c r="C113" s="296">
        <f t="shared" si="54"/>
        <v>208078</v>
      </c>
      <c r="D113" s="296">
        <f t="shared" si="54"/>
        <v>142313</v>
      </c>
      <c r="E113" s="296">
        <f t="shared" si="54"/>
        <v>213384</v>
      </c>
      <c r="F113" s="296">
        <f t="shared" si="54"/>
        <v>78246</v>
      </c>
      <c r="G113" s="296">
        <f t="shared" si="54"/>
        <v>125931</v>
      </c>
      <c r="H113" s="296">
        <f t="shared" si="54"/>
        <v>146642</v>
      </c>
      <c r="I113" s="296">
        <f t="shared" si="54"/>
        <v>371293</v>
      </c>
      <c r="J113" s="296">
        <f t="shared" si="54"/>
        <v>85946</v>
      </c>
      <c r="K113" s="296">
        <f t="shared" si="54"/>
        <v>199365</v>
      </c>
      <c r="L113" s="296">
        <f t="shared" si="54"/>
        <v>352488</v>
      </c>
      <c r="M113" s="296">
        <f t="shared" si="54"/>
        <v>461900</v>
      </c>
      <c r="N113" s="296">
        <f t="shared" si="54"/>
        <v>35565</v>
      </c>
      <c r="O113" s="296">
        <f>SUM(O109:O112)</f>
        <v>244937.23287194298</v>
      </c>
      <c r="P113" s="311">
        <f>O113+N113</f>
        <v>280502.23287194298</v>
      </c>
    </row>
    <row r="114" spans="1:20" x14ac:dyDescent="0.7">
      <c r="A114" s="225" t="s">
        <v>30</v>
      </c>
      <c r="B114" s="226">
        <v>-86797</v>
      </c>
      <c r="C114" s="226">
        <v>-43533</v>
      </c>
      <c r="D114" s="226">
        <v>-93131</v>
      </c>
      <c r="E114" s="226">
        <v>-78927</v>
      </c>
      <c r="F114" s="226">
        <v>-18328</v>
      </c>
      <c r="G114" s="226">
        <v>-38318</v>
      </c>
      <c r="H114" s="226">
        <v>-58014</v>
      </c>
      <c r="I114" s="226">
        <v>-80251</v>
      </c>
      <c r="J114" s="226">
        <v>-17600</v>
      </c>
      <c r="K114" s="226">
        <v>-34351</v>
      </c>
      <c r="L114" s="226">
        <v>-50193</v>
      </c>
      <c r="M114" s="226">
        <v>-64934</v>
      </c>
      <c r="N114" s="226">
        <v>-30371</v>
      </c>
      <c r="O114" s="226">
        <f>N114*3.68</f>
        <v>-111765.28</v>
      </c>
      <c r="P114" s="311">
        <f>O114+N114</f>
        <v>-142136.28</v>
      </c>
    </row>
    <row r="115" spans="1:20" x14ac:dyDescent="0.7">
      <c r="A115" s="225" t="s">
        <v>29</v>
      </c>
      <c r="B115" s="114">
        <v>22790</v>
      </c>
      <c r="C115" s="114">
        <v>19726</v>
      </c>
      <c r="D115" s="226">
        <v>27842</v>
      </c>
      <c r="E115" s="226">
        <v>67682</v>
      </c>
      <c r="F115" s="226">
        <v>3284</v>
      </c>
      <c r="G115" s="226">
        <v>23144</v>
      </c>
      <c r="H115" s="226">
        <v>13769</v>
      </c>
      <c r="I115" s="226">
        <v>27771</v>
      </c>
      <c r="J115" s="226">
        <v>3164</v>
      </c>
      <c r="K115" s="226">
        <v>5909</v>
      </c>
      <c r="L115" s="226">
        <v>7854</v>
      </c>
      <c r="M115" s="226">
        <v>8783</v>
      </c>
      <c r="N115" s="226">
        <v>2502</v>
      </c>
      <c r="O115" s="226">
        <f>M115</f>
        <v>8783</v>
      </c>
      <c r="P115" s="311">
        <f t="shared" ref="P115:P122" si="55">O115+N115</f>
        <v>11285</v>
      </c>
    </row>
    <row r="116" spans="1:20" x14ac:dyDescent="0.7">
      <c r="A116" s="225" t="s">
        <v>28</v>
      </c>
      <c r="B116" s="207">
        <v>0</v>
      </c>
      <c r="C116" s="207">
        <v>0</v>
      </c>
      <c r="D116" s="226">
        <v>5224</v>
      </c>
      <c r="E116" s="226">
        <v>4800</v>
      </c>
      <c r="F116" s="226">
        <v>270</v>
      </c>
      <c r="G116" s="226">
        <v>38124</v>
      </c>
      <c r="H116" s="226">
        <v>51651</v>
      </c>
      <c r="I116" s="226">
        <v>48000</v>
      </c>
      <c r="J116" s="226">
        <v>251</v>
      </c>
      <c r="K116" s="226">
        <v>29</v>
      </c>
      <c r="L116" s="226">
        <v>3112</v>
      </c>
      <c r="M116" s="226">
        <v>171717</v>
      </c>
      <c r="N116" s="226">
        <v>803</v>
      </c>
      <c r="O116" s="226">
        <f>M116</f>
        <v>171717</v>
      </c>
      <c r="P116" s="311">
        <f t="shared" si="55"/>
        <v>172520</v>
      </c>
    </row>
    <row r="117" spans="1:20" x14ac:dyDescent="0.7">
      <c r="A117" s="225" t="s">
        <v>27</v>
      </c>
      <c r="B117" s="296">
        <f t="shared" ref="B117:N117" si="56">SUM(B113:B116)</f>
        <v>11246</v>
      </c>
      <c r="C117" s="296">
        <f t="shared" si="56"/>
        <v>184271</v>
      </c>
      <c r="D117" s="296">
        <f t="shared" si="56"/>
        <v>82248</v>
      </c>
      <c r="E117" s="296">
        <f t="shared" si="56"/>
        <v>206939</v>
      </c>
      <c r="F117" s="296">
        <f t="shared" si="56"/>
        <v>63472</v>
      </c>
      <c r="G117" s="296">
        <f t="shared" si="56"/>
        <v>148881</v>
      </c>
      <c r="H117" s="296">
        <f t="shared" si="56"/>
        <v>154048</v>
      </c>
      <c r="I117" s="296">
        <f t="shared" si="56"/>
        <v>366813</v>
      </c>
      <c r="J117" s="296">
        <f t="shared" si="56"/>
        <v>71761</v>
      </c>
      <c r="K117" s="296">
        <f t="shared" si="56"/>
        <v>170952</v>
      </c>
      <c r="L117" s="296">
        <f t="shared" si="56"/>
        <v>313261</v>
      </c>
      <c r="M117" s="296">
        <f t="shared" si="56"/>
        <v>577466</v>
      </c>
      <c r="N117" s="296">
        <f t="shared" si="56"/>
        <v>8499</v>
      </c>
      <c r="O117" s="296">
        <f>SUM(O113:O116)</f>
        <v>313671.95287194301</v>
      </c>
      <c r="P117" s="311">
        <f t="shared" si="55"/>
        <v>322170.95287194301</v>
      </c>
    </row>
    <row r="118" spans="1:20" x14ac:dyDescent="0.7">
      <c r="A118" s="225" t="s">
        <v>26</v>
      </c>
      <c r="B118" s="226">
        <v>-1723</v>
      </c>
      <c r="C118" s="226">
        <v>-44236</v>
      </c>
      <c r="D118" s="226">
        <v>-15642</v>
      </c>
      <c r="E118" s="226">
        <v>-33637</v>
      </c>
      <c r="F118" s="226">
        <v>-12672</v>
      </c>
      <c r="G118" s="226">
        <v>-23510</v>
      </c>
      <c r="H118" s="226">
        <v>-28411</v>
      </c>
      <c r="I118" s="226">
        <v>-71288</v>
      </c>
      <c r="J118" s="226">
        <v>-14642</v>
      </c>
      <c r="K118" s="226">
        <v>-33214</v>
      </c>
      <c r="L118" s="226">
        <v>-60501</v>
      </c>
      <c r="M118" s="226">
        <v>-100224</v>
      </c>
      <c r="N118" s="226">
        <v>-1200</v>
      </c>
      <c r="O118" s="226">
        <f>-O117*0.17</f>
        <v>-53324.231988230313</v>
      </c>
      <c r="P118" s="311">
        <f t="shared" si="55"/>
        <v>-54524.231988230313</v>
      </c>
      <c r="S118" s="312"/>
      <c r="T118" s="312"/>
    </row>
    <row r="119" spans="1:20" x14ac:dyDescent="0.7">
      <c r="A119" s="225" t="s">
        <v>25</v>
      </c>
      <c r="B119" s="296">
        <f>SUM(B117:B118)</f>
        <v>9523</v>
      </c>
      <c r="C119" s="296">
        <f>SUM(C117:C118)</f>
        <v>140035</v>
      </c>
      <c r="D119" s="296">
        <f t="shared" ref="D119:N119" si="57">SUM(D117:D118)</f>
        <v>66606</v>
      </c>
      <c r="E119" s="296">
        <f t="shared" si="57"/>
        <v>173302</v>
      </c>
      <c r="F119" s="296">
        <f t="shared" si="57"/>
        <v>50800</v>
      </c>
      <c r="G119" s="296">
        <f t="shared" si="57"/>
        <v>125371</v>
      </c>
      <c r="H119" s="296">
        <f t="shared" si="57"/>
        <v>125637</v>
      </c>
      <c r="I119" s="296">
        <f t="shared" si="57"/>
        <v>295525</v>
      </c>
      <c r="J119" s="296">
        <f t="shared" si="57"/>
        <v>57119</v>
      </c>
      <c r="K119" s="296">
        <f t="shared" si="57"/>
        <v>137738</v>
      </c>
      <c r="L119" s="296">
        <f t="shared" si="57"/>
        <v>252760</v>
      </c>
      <c r="M119" s="296">
        <f t="shared" si="57"/>
        <v>477242</v>
      </c>
      <c r="N119" s="296">
        <f t="shared" si="57"/>
        <v>7299</v>
      </c>
      <c r="O119" s="296">
        <f>SUM(O117:O118)</f>
        <v>260347.7208837127</v>
      </c>
      <c r="P119" s="311">
        <f t="shared" si="55"/>
        <v>267646.7208837127</v>
      </c>
      <c r="S119" s="312"/>
    </row>
    <row r="120" spans="1:20" x14ac:dyDescent="0.7">
      <c r="A120" s="225" t="s">
        <v>24</v>
      </c>
      <c r="B120" s="207">
        <v>0</v>
      </c>
      <c r="C120" s="207">
        <v>0</v>
      </c>
      <c r="D120" s="226">
        <v>0</v>
      </c>
      <c r="E120" s="226">
        <v>0</v>
      </c>
      <c r="F120" s="226">
        <v>0</v>
      </c>
      <c r="G120" s="226">
        <v>0</v>
      </c>
      <c r="H120" s="226">
        <v>0</v>
      </c>
      <c r="I120" s="226">
        <v>0</v>
      </c>
      <c r="J120" s="226">
        <v>0</v>
      </c>
      <c r="K120" s="226">
        <v>0</v>
      </c>
      <c r="L120" s="226">
        <v>0</v>
      </c>
      <c r="M120" s="226">
        <v>0</v>
      </c>
      <c r="N120" s="226">
        <v>0</v>
      </c>
      <c r="O120" s="207">
        <v>0</v>
      </c>
      <c r="P120" s="311">
        <f t="shared" si="55"/>
        <v>0</v>
      </c>
    </row>
    <row r="121" spans="1:20" x14ac:dyDescent="0.7">
      <c r="A121" s="225" t="s">
        <v>23</v>
      </c>
      <c r="B121" s="296">
        <f t="shared" ref="B121:N121" si="58">SUM(B119:B120)</f>
        <v>9523</v>
      </c>
      <c r="C121" s="296">
        <f t="shared" si="58"/>
        <v>140035</v>
      </c>
      <c r="D121" s="296">
        <f t="shared" si="58"/>
        <v>66606</v>
      </c>
      <c r="E121" s="296">
        <f t="shared" si="58"/>
        <v>173302</v>
      </c>
      <c r="F121" s="296">
        <f t="shared" si="58"/>
        <v>50800</v>
      </c>
      <c r="G121" s="296">
        <f t="shared" si="58"/>
        <v>125371</v>
      </c>
      <c r="H121" s="296">
        <f t="shared" si="58"/>
        <v>125637</v>
      </c>
      <c r="I121" s="296">
        <f t="shared" si="58"/>
        <v>295525</v>
      </c>
      <c r="J121" s="296">
        <f t="shared" si="58"/>
        <v>57119</v>
      </c>
      <c r="K121" s="296">
        <f t="shared" si="58"/>
        <v>137738</v>
      </c>
      <c r="L121" s="296">
        <f t="shared" si="58"/>
        <v>252760</v>
      </c>
      <c r="M121" s="296">
        <f t="shared" si="58"/>
        <v>477242</v>
      </c>
      <c r="N121" s="296">
        <f t="shared" si="58"/>
        <v>7299</v>
      </c>
      <c r="O121" s="296">
        <f>SUM(O119:O120)</f>
        <v>260347.7208837127</v>
      </c>
      <c r="P121" s="311">
        <f t="shared" si="55"/>
        <v>267646.7208837127</v>
      </c>
    </row>
    <row r="122" spans="1:20" x14ac:dyDescent="0.7">
      <c r="A122" s="225" t="s">
        <v>22</v>
      </c>
      <c r="B122" s="115">
        <v>49</v>
      </c>
      <c r="C122" s="115">
        <v>718</v>
      </c>
      <c r="D122" s="185">
        <f t="shared" ref="D122:N122" si="59">D121*1000/D123</f>
        <v>341.56923076923078</v>
      </c>
      <c r="E122" s="185">
        <f t="shared" si="59"/>
        <v>888.7282051282051</v>
      </c>
      <c r="F122" s="185">
        <f t="shared" si="59"/>
        <v>260.5128205128205</v>
      </c>
      <c r="G122" s="185">
        <f t="shared" si="59"/>
        <v>642.92820512820515</v>
      </c>
      <c r="H122" s="185">
        <f t="shared" si="59"/>
        <v>644.29230769230765</v>
      </c>
      <c r="I122" s="185">
        <f t="shared" si="59"/>
        <v>1515.5128205128206</v>
      </c>
      <c r="J122" s="185">
        <f t="shared" si="59"/>
        <v>292.91794871794872</v>
      </c>
      <c r="K122" s="185">
        <f t="shared" si="59"/>
        <v>706.34871794871799</v>
      </c>
      <c r="L122" s="185">
        <f t="shared" si="59"/>
        <v>1296.2051282051282</v>
      </c>
      <c r="M122" s="185">
        <f t="shared" si="59"/>
        <v>2447.394871794872</v>
      </c>
      <c r="N122" s="185">
        <f t="shared" si="59"/>
        <v>37.430769230769229</v>
      </c>
      <c r="O122" s="185">
        <f>O121*1000/O123</f>
        <v>1335.116517352373</v>
      </c>
      <c r="P122" s="311">
        <f t="shared" si="55"/>
        <v>1372.5472865831423</v>
      </c>
    </row>
    <row r="123" spans="1:20" ht="26.25" thickBot="1" x14ac:dyDescent="0.75">
      <c r="A123" s="227" t="s">
        <v>21</v>
      </c>
      <c r="B123" s="228">
        <v>195000</v>
      </c>
      <c r="C123" s="228">
        <v>195000</v>
      </c>
      <c r="D123" s="228">
        <v>195000</v>
      </c>
      <c r="E123" s="228">
        <v>195000</v>
      </c>
      <c r="F123" s="228">
        <v>195000</v>
      </c>
      <c r="G123" s="228">
        <v>195000</v>
      </c>
      <c r="H123" s="228">
        <v>195000</v>
      </c>
      <c r="I123" s="228">
        <v>195000</v>
      </c>
      <c r="J123" s="228">
        <v>195000</v>
      </c>
      <c r="K123" s="228">
        <v>195000</v>
      </c>
      <c r="L123" s="228">
        <v>195000</v>
      </c>
      <c r="M123" s="228">
        <v>195000</v>
      </c>
      <c r="N123" s="228">
        <v>195000</v>
      </c>
      <c r="O123" s="228">
        <v>195000</v>
      </c>
      <c r="P123" s="228">
        <v>195000</v>
      </c>
    </row>
    <row r="124" spans="1:20" customFormat="1" ht="15.75" thickBot="1" x14ac:dyDescent="0.3"/>
    <row r="125" spans="1:20" customFormat="1" ht="15" x14ac:dyDescent="0.25">
      <c r="A125" s="611" t="s">
        <v>20</v>
      </c>
    </row>
    <row r="126" spans="1:20" customFormat="1" ht="15" x14ac:dyDescent="0.25">
      <c r="A126" s="612"/>
    </row>
    <row r="127" spans="1:20" ht="26.25" thickBot="1" x14ac:dyDescent="0.75">
      <c r="A127" s="613"/>
    </row>
    <row r="129" spans="1:19" ht="26.25" thickBot="1" x14ac:dyDescent="0.75">
      <c r="A129" s="38"/>
      <c r="B129" s="38"/>
      <c r="C129" s="38" t="s">
        <v>19</v>
      </c>
      <c r="D129" s="39" t="s">
        <v>18</v>
      </c>
      <c r="E129" s="39" t="s">
        <v>214</v>
      </c>
      <c r="F129" s="39" t="s">
        <v>17</v>
      </c>
      <c r="G129" s="39" t="s">
        <v>2506</v>
      </c>
      <c r="H129" s="39" t="s">
        <v>2508</v>
      </c>
      <c r="I129" s="39" t="s">
        <v>2507</v>
      </c>
      <c r="Q129" s="114"/>
      <c r="R129" s="115"/>
      <c r="S129" s="96"/>
    </row>
    <row r="130" spans="1:19" ht="27" thickTop="1" thickBot="1" x14ac:dyDescent="0.75">
      <c r="A130" s="40" t="s">
        <v>15</v>
      </c>
      <c r="B130" s="41">
        <f>F130</f>
        <v>70000</v>
      </c>
      <c r="C130" s="42">
        <f>AVERAGE(M4,I4,D4:E4)</f>
        <v>69519</v>
      </c>
      <c r="D130" s="43"/>
      <c r="E130" s="282">
        <f>N4*M4/J4</f>
        <v>48380.854339436737</v>
      </c>
      <c r="F130" s="43">
        <v>70000</v>
      </c>
      <c r="G130" s="44"/>
      <c r="H130" s="44">
        <f>MAX(M4,I4,B4:E4)</f>
        <v>77841</v>
      </c>
      <c r="I130" s="44">
        <f>MIN(M4,I4,B4:E4)</f>
        <v>36292</v>
      </c>
      <c r="Q130" s="114"/>
      <c r="R130" s="115"/>
      <c r="S130" s="96"/>
    </row>
    <row r="131" spans="1:19" ht="27" thickTop="1" thickBot="1" x14ac:dyDescent="0.75">
      <c r="A131" s="45" t="s">
        <v>16</v>
      </c>
      <c r="B131" s="46">
        <f>پنل!B1</f>
        <v>40500000</v>
      </c>
      <c r="C131" s="47"/>
      <c r="D131" s="48">
        <v>29839097</v>
      </c>
      <c r="E131" s="49">
        <f>N32</f>
        <v>29876212.378762122</v>
      </c>
      <c r="F131" s="49">
        <v>40500000</v>
      </c>
      <c r="G131" s="50"/>
      <c r="H131" s="49">
        <f>MAX(B32:M32)</f>
        <v>30351367.163014863</v>
      </c>
      <c r="I131" s="49">
        <f>MIN(B32:M32)</f>
        <v>17641585.593044918</v>
      </c>
      <c r="Q131" s="114"/>
      <c r="R131" s="115"/>
      <c r="S131" s="96"/>
    </row>
    <row r="132" spans="1:19" ht="26.25" thickBot="1" x14ac:dyDescent="0.75">
      <c r="A132" s="51" t="s">
        <v>14</v>
      </c>
      <c r="B132" s="52">
        <f>E132</f>
        <v>8.343413572033386</v>
      </c>
      <c r="C132" s="299">
        <f>G62</f>
        <v>8.1253053673940414</v>
      </c>
      <c r="D132" s="53"/>
      <c r="E132" s="54">
        <f>F62</f>
        <v>8.343413572033386</v>
      </c>
      <c r="F132" s="55">
        <v>8</v>
      </c>
      <c r="G132" s="55"/>
      <c r="H132" s="54"/>
      <c r="I132" s="54"/>
      <c r="Q132" s="114"/>
      <c r="R132" s="114"/>
      <c r="S132" s="96"/>
    </row>
    <row r="133" spans="1:19" ht="27" thickTop="1" thickBot="1" x14ac:dyDescent="0.75">
      <c r="A133" s="56" t="s">
        <v>13</v>
      </c>
      <c r="B133" s="57">
        <f>B132*B130</f>
        <v>584038.95004233706</v>
      </c>
      <c r="C133" s="58"/>
      <c r="D133" s="59"/>
      <c r="E133" s="60"/>
      <c r="F133" s="60"/>
      <c r="G133" s="60"/>
      <c r="H133" s="60"/>
      <c r="I133" s="60"/>
      <c r="Q133" s="114"/>
      <c r="R133" s="115"/>
      <c r="S133" s="96"/>
    </row>
    <row r="134" spans="1:19" ht="27" thickTop="1" thickBot="1" x14ac:dyDescent="0.75">
      <c r="A134" s="61" t="s">
        <v>12</v>
      </c>
      <c r="B134" s="57">
        <f>پنل!B2</f>
        <v>6000000</v>
      </c>
      <c r="C134" s="62">
        <f>AVERAGE(B72:F72)</f>
        <v>3319483.9429449579</v>
      </c>
      <c r="D134" s="63"/>
      <c r="E134" s="64">
        <f>F72</f>
        <v>4030619.7897789055</v>
      </c>
      <c r="F134" s="64">
        <f>E134</f>
        <v>4030619.7897789055</v>
      </c>
      <c r="G134" s="65"/>
      <c r="H134" s="65"/>
      <c r="I134" s="65"/>
      <c r="Q134" s="114"/>
      <c r="R134" s="115"/>
      <c r="S134" s="96"/>
    </row>
    <row r="135" spans="1:19" ht="27" thickTop="1" thickBot="1" x14ac:dyDescent="0.75">
      <c r="Q135" s="114"/>
      <c r="R135" s="115"/>
      <c r="S135" s="96"/>
    </row>
    <row r="136" spans="1:19" ht="27" thickTop="1" thickBot="1" x14ac:dyDescent="0.75">
      <c r="A136" s="66" t="s">
        <v>11</v>
      </c>
      <c r="B136" s="67">
        <f>P122</f>
        <v>1372.5472865831423</v>
      </c>
      <c r="C136" s="100"/>
      <c r="D136" s="100"/>
      <c r="E136" s="100"/>
      <c r="F136" s="100"/>
      <c r="G136" s="100"/>
      <c r="H136" s="68">
        <f>MAX(M122,I122,B122:E122)</f>
        <v>2447.394871794872</v>
      </c>
      <c r="I136" s="68">
        <f>MIN(M122,I122,B122:E122)</f>
        <v>49</v>
      </c>
      <c r="Q136" s="114"/>
      <c r="R136" s="115"/>
      <c r="S136" s="96"/>
    </row>
    <row r="137" spans="1:19" ht="27" thickTop="1" thickBot="1" x14ac:dyDescent="0.75">
      <c r="Q137" s="114"/>
      <c r="R137" s="115"/>
      <c r="S137" s="96"/>
    </row>
    <row r="138" spans="1:19" x14ac:dyDescent="0.7">
      <c r="A138" s="69" t="s">
        <v>10</v>
      </c>
      <c r="B138" s="70">
        <v>1</v>
      </c>
      <c r="Q138" s="114"/>
      <c r="R138" s="115"/>
      <c r="S138" s="96"/>
    </row>
    <row r="139" spans="1:19" ht="26.25" thickBot="1" x14ac:dyDescent="0.75">
      <c r="A139" s="71" t="s">
        <v>9</v>
      </c>
      <c r="B139" s="72">
        <f>B138*B136</f>
        <v>1372.5472865831423</v>
      </c>
      <c r="E139" s="87">
        <v>4050</v>
      </c>
      <c r="Q139" s="114"/>
      <c r="R139" s="115"/>
      <c r="S139" s="96"/>
    </row>
    <row r="140" spans="1:19" ht="26.25" thickBot="1" x14ac:dyDescent="0.75">
      <c r="E140" s="87">
        <v>10000</v>
      </c>
      <c r="Q140" s="114"/>
      <c r="R140" s="115"/>
      <c r="S140" s="96"/>
    </row>
    <row r="141" spans="1:19" ht="26.25" thickTop="1" x14ac:dyDescent="0.7">
      <c r="A141" s="172" t="s">
        <v>2510</v>
      </c>
      <c r="B141" s="173" t="s">
        <v>2518</v>
      </c>
      <c r="E141" s="559"/>
      <c r="Q141" s="115"/>
      <c r="S141" s="95"/>
    </row>
    <row r="142" spans="1:19" ht="26.25" thickBot="1" x14ac:dyDescent="0.75">
      <c r="A142" s="174" t="s">
        <v>2511</v>
      </c>
      <c r="B142" s="175" t="s">
        <v>2517</v>
      </c>
      <c r="Q142" s="114"/>
      <c r="R142" s="115"/>
      <c r="S142" s="96"/>
    </row>
    <row r="143" spans="1:19" ht="27" thickTop="1" thickBot="1" x14ac:dyDescent="0.75">
      <c r="E143" s="305"/>
      <c r="F143" s="305"/>
      <c r="G143" s="305"/>
      <c r="H143" s="305"/>
      <c r="Q143" s="114"/>
      <c r="R143" s="115"/>
      <c r="S143" s="96"/>
    </row>
    <row r="144" spans="1:19" x14ac:dyDescent="0.7">
      <c r="A144" s="74" t="s">
        <v>6</v>
      </c>
      <c r="B144" s="75">
        <v>10</v>
      </c>
      <c r="C144" s="114"/>
      <c r="D144" s="115"/>
      <c r="Q144" s="114"/>
      <c r="R144" s="115"/>
      <c r="S144" s="96"/>
    </row>
    <row r="145" spans="1:18" ht="26.25" thickBot="1" x14ac:dyDescent="0.75">
      <c r="A145" s="71" t="s">
        <v>4</v>
      </c>
      <c r="B145" s="73">
        <v>17</v>
      </c>
      <c r="C145" s="114"/>
      <c r="D145" s="115"/>
    </row>
    <row r="146" spans="1:18" ht="26.25" thickBot="1" x14ac:dyDescent="0.75">
      <c r="B146" s="114"/>
      <c r="C146" s="114"/>
      <c r="D146" s="115"/>
    </row>
    <row r="147" spans="1:18" ht="26.25" thickBot="1" x14ac:dyDescent="0.75">
      <c r="A147" s="313" t="s">
        <v>1</v>
      </c>
      <c r="B147" s="317">
        <f>VLOOKUP(I1,'دیده بان بازار'!A:Y,11,0)</f>
        <v>28089</v>
      </c>
    </row>
    <row r="148" spans="1:18" ht="26.25" thickTop="1" x14ac:dyDescent="0.7">
      <c r="A148" s="314">
        <v>6</v>
      </c>
      <c r="B148" s="318">
        <f>$B$147/A148</f>
        <v>4681.5</v>
      </c>
      <c r="D148" s="631" t="s">
        <v>2516</v>
      </c>
      <c r="E148" s="625" t="s">
        <v>16</v>
      </c>
      <c r="F148" s="626"/>
      <c r="G148" s="626"/>
      <c r="H148" s="626"/>
      <c r="I148" s="626"/>
      <c r="J148" s="626"/>
      <c r="K148" s="626"/>
      <c r="L148" s="626"/>
      <c r="M148" s="626"/>
      <c r="N148" s="626"/>
      <c r="O148" s="626"/>
      <c r="P148" s="626"/>
      <c r="Q148" s="626"/>
      <c r="R148" s="627"/>
    </row>
    <row r="149" spans="1:18" ht="25.5" customHeight="1" thickBot="1" x14ac:dyDescent="0.75">
      <c r="A149" s="314">
        <v>8</v>
      </c>
      <c r="B149" s="318">
        <f t="shared" ref="B149:B150" si="60">$B$147/A149</f>
        <v>3511.125</v>
      </c>
      <c r="C149" s="114"/>
      <c r="D149" s="632"/>
      <c r="E149" s="628"/>
      <c r="F149" s="629"/>
      <c r="G149" s="629"/>
      <c r="H149" s="629"/>
      <c r="I149" s="629"/>
      <c r="J149" s="629"/>
      <c r="K149" s="629"/>
      <c r="L149" s="629"/>
      <c r="M149" s="629"/>
      <c r="N149" s="629"/>
      <c r="O149" s="629"/>
      <c r="P149" s="629"/>
      <c r="Q149" s="629"/>
      <c r="R149" s="630"/>
    </row>
    <row r="150" spans="1:18" ht="27" thickTop="1" thickBot="1" x14ac:dyDescent="0.75">
      <c r="A150" s="315">
        <v>10</v>
      </c>
      <c r="B150" s="318">
        <f t="shared" si="60"/>
        <v>2808.9</v>
      </c>
      <c r="C150" s="114"/>
      <c r="D150" s="632"/>
      <c r="E150" s="333">
        <f>B136</f>
        <v>1372.5472865831423</v>
      </c>
      <c r="F150" s="332">
        <v>30000000</v>
      </c>
      <c r="G150" s="332">
        <v>31000000</v>
      </c>
      <c r="H150" s="332">
        <v>32000000</v>
      </c>
      <c r="I150" s="332">
        <v>33000000</v>
      </c>
      <c r="J150" s="332">
        <v>34000000</v>
      </c>
      <c r="K150" s="332">
        <v>35000000</v>
      </c>
      <c r="L150" s="332">
        <v>36000000</v>
      </c>
      <c r="M150" s="332">
        <v>37000000</v>
      </c>
      <c r="N150" s="332">
        <v>38000000</v>
      </c>
      <c r="O150" s="332">
        <v>39000000</v>
      </c>
      <c r="P150" s="332">
        <v>40000000</v>
      </c>
      <c r="Q150" s="332">
        <v>41000000</v>
      </c>
      <c r="R150" s="332">
        <v>42000000</v>
      </c>
    </row>
    <row r="151" spans="1:18" ht="26.25" thickBot="1" x14ac:dyDescent="0.75">
      <c r="D151" s="632"/>
      <c r="E151" s="334">
        <v>50000</v>
      </c>
      <c r="F151" s="325">
        <f t="dataTable" ref="F151:R162" dt2D="1" dtr="1" r1="B131" r2="B130"/>
        <v>-3145.0673063349564</v>
      </c>
      <c r="G151" s="325">
        <v>-2757.1251969380646</v>
      </c>
      <c r="H151" s="325">
        <v>-2369.1830875411738</v>
      </c>
      <c r="I151" s="325">
        <v>-1981.2409781442821</v>
      </c>
      <c r="J151" s="325">
        <v>-1593.2988687473905</v>
      </c>
      <c r="K151" s="325">
        <v>-1205.356759350499</v>
      </c>
      <c r="L151" s="325">
        <v>-817.41464995360775</v>
      </c>
      <c r="M151" s="325">
        <v>-429.47254055671658</v>
      </c>
      <c r="N151" s="325">
        <v>-41.530431159823337</v>
      </c>
      <c r="O151" s="325">
        <v>346.41167823706598</v>
      </c>
      <c r="P151" s="325">
        <v>734.35378763396125</v>
      </c>
      <c r="Q151" s="325">
        <v>1122.2958970308487</v>
      </c>
      <c r="R151" s="335">
        <v>1510.2380064277402</v>
      </c>
    </row>
    <row r="152" spans="1:18" ht="27" thickTop="1" thickBot="1" x14ac:dyDescent="0.75">
      <c r="A152" s="319">
        <v>0.2</v>
      </c>
      <c r="B152" s="320" t="s">
        <v>2519</v>
      </c>
      <c r="D152" s="632"/>
      <c r="E152" s="334">
        <v>53000</v>
      </c>
      <c r="F152" s="325">
        <v>-3263.4120511140286</v>
      </c>
      <c r="G152" s="325">
        <v>-2857.8529787250709</v>
      </c>
      <c r="H152" s="325">
        <v>-2452.2939063361137</v>
      </c>
      <c r="I152" s="325">
        <v>-2046.7348339471564</v>
      </c>
      <c r="J152" s="325">
        <v>-1641.175761558203</v>
      </c>
      <c r="K152" s="325">
        <v>-1235.6166891692435</v>
      </c>
      <c r="L152" s="325">
        <v>-830.05761678028807</v>
      </c>
      <c r="M152" s="325">
        <v>-424.49854439133077</v>
      </c>
      <c r="N152" s="325">
        <v>-18.939472002373606</v>
      </c>
      <c r="O152" s="325">
        <v>386.61960038658373</v>
      </c>
      <c r="P152" s="325">
        <v>792.17867277554103</v>
      </c>
      <c r="Q152" s="325">
        <v>1197.7377451644968</v>
      </c>
      <c r="R152" s="335">
        <v>1603.2968175534518</v>
      </c>
    </row>
    <row r="153" spans="1:18" ht="26.25" thickTop="1" x14ac:dyDescent="0.7">
      <c r="A153" s="321" t="s">
        <v>8</v>
      </c>
      <c r="B153" s="322" t="s">
        <v>7</v>
      </c>
      <c r="C153" s="114"/>
      <c r="D153" s="632"/>
      <c r="E153" s="334">
        <v>56000</v>
      </c>
      <c r="F153" s="325">
        <v>-3381.756795893104</v>
      </c>
      <c r="G153" s="325">
        <v>-2958.5807605120813</v>
      </c>
      <c r="H153" s="325">
        <v>-2535.4047251310603</v>
      </c>
      <c r="I153" s="325">
        <v>-2112.2286897500389</v>
      </c>
      <c r="J153" s="325">
        <v>-1689.0526543690155</v>
      </c>
      <c r="K153" s="325">
        <v>-1265.8766189879916</v>
      </c>
      <c r="L153" s="325">
        <v>-842.70058360697249</v>
      </c>
      <c r="M153" s="325">
        <v>-419.52454822594905</v>
      </c>
      <c r="N153" s="325">
        <v>3.6514871550741219</v>
      </c>
      <c r="O153" s="325">
        <v>426.82752253609345</v>
      </c>
      <c r="P153" s="325">
        <v>850.00355791711672</v>
      </c>
      <c r="Q153" s="325">
        <v>1273.1795932981383</v>
      </c>
      <c r="R153" s="335">
        <v>1696.3556286791577</v>
      </c>
    </row>
    <row r="154" spans="1:18" ht="26.25" thickBot="1" x14ac:dyDescent="0.75">
      <c r="A154" s="324">
        <f>A152/12</f>
        <v>1.6666666666666666E-2</v>
      </c>
      <c r="B154" s="323">
        <v>5</v>
      </c>
      <c r="D154" s="632"/>
      <c r="E154" s="334">
        <v>59000</v>
      </c>
      <c r="F154" s="325">
        <v>-3500.1015406721776</v>
      </c>
      <c r="G154" s="325">
        <v>-3059.3085422990894</v>
      </c>
      <c r="H154" s="325">
        <v>-2618.5155439260043</v>
      </c>
      <c r="I154" s="325">
        <v>-2177.7225455529169</v>
      </c>
      <c r="J154" s="325">
        <v>-1736.9295471798275</v>
      </c>
      <c r="K154" s="325">
        <v>-1296.136548806742</v>
      </c>
      <c r="L154" s="325">
        <v>-855.34355043365667</v>
      </c>
      <c r="M154" s="325">
        <v>-414.55055206056733</v>
      </c>
      <c r="N154" s="325">
        <v>26.242446312517895</v>
      </c>
      <c r="O154" s="325">
        <v>467.03544468560722</v>
      </c>
      <c r="P154" s="325">
        <v>907.82844305869253</v>
      </c>
      <c r="Q154" s="325">
        <v>1348.6214414317799</v>
      </c>
      <c r="R154" s="335">
        <v>1789.4144398048652</v>
      </c>
    </row>
    <row r="155" spans="1:18" ht="26.25" thickTop="1" x14ac:dyDescent="0.7">
      <c r="A155" s="176" t="s">
        <v>5</v>
      </c>
      <c r="B155" s="177">
        <f>B136*B154</f>
        <v>6862.7364329157117</v>
      </c>
      <c r="C155" s="114"/>
      <c r="D155" s="632"/>
      <c r="E155" s="334">
        <v>62000</v>
      </c>
      <c r="F155" s="325">
        <v>-3618.4462854512494</v>
      </c>
      <c r="G155" s="325">
        <v>-3160.0363240860961</v>
      </c>
      <c r="H155" s="325">
        <v>-2701.6263627209451</v>
      </c>
      <c r="I155" s="325">
        <v>-2243.2164013557908</v>
      </c>
      <c r="J155" s="325">
        <v>-1784.80643999064</v>
      </c>
      <c r="K155" s="325">
        <v>-1326.396478625488</v>
      </c>
      <c r="L155" s="325">
        <v>-867.9865172603329</v>
      </c>
      <c r="M155" s="325">
        <v>-409.57655589518168</v>
      </c>
      <c r="N155" s="325">
        <v>48.833405469969598</v>
      </c>
      <c r="O155" s="325">
        <v>507.24336683512291</v>
      </c>
      <c r="P155" s="325">
        <v>965.65332820027413</v>
      </c>
      <c r="Q155" s="325">
        <v>1424.063289565426</v>
      </c>
      <c r="R155" s="335">
        <v>1882.4732509305773</v>
      </c>
    </row>
    <row r="156" spans="1:18" x14ac:dyDescent="0.7">
      <c r="A156" s="176" t="s">
        <v>3</v>
      </c>
      <c r="B156" s="177">
        <f>B155/(1+A154)^B144</f>
        <v>5817.166221319384</v>
      </c>
      <c r="C156" s="115"/>
      <c r="D156" s="632"/>
      <c r="E156" s="334">
        <v>65000</v>
      </c>
      <c r="F156" s="325">
        <v>-3736.7910302303253</v>
      </c>
      <c r="G156" s="325">
        <v>-3260.764105873106</v>
      </c>
      <c r="H156" s="325">
        <v>-2784.7371815158904</v>
      </c>
      <c r="I156" s="325">
        <v>-2308.7102571586697</v>
      </c>
      <c r="J156" s="325">
        <v>-1832.6833328014563</v>
      </c>
      <c r="K156" s="325">
        <v>-1356.6564084442384</v>
      </c>
      <c r="L156" s="325">
        <v>-880.62948408701709</v>
      </c>
      <c r="M156" s="325">
        <v>-404.60255972980394</v>
      </c>
      <c r="N156" s="325">
        <v>71.424364627415343</v>
      </c>
      <c r="O156" s="325">
        <v>547.4512889846327</v>
      </c>
      <c r="P156" s="325">
        <v>1023.4782133418498</v>
      </c>
      <c r="Q156" s="325">
        <v>1499.5051376990677</v>
      </c>
      <c r="R156" s="335">
        <v>1975.532062056285</v>
      </c>
    </row>
    <row r="157" spans="1:18" ht="26.25" thickBot="1" x14ac:dyDescent="0.75">
      <c r="A157" s="178" t="s">
        <v>2</v>
      </c>
      <c r="B157" s="179">
        <f>B139/(1+A154)^B145</f>
        <v>1036.3140277764567</v>
      </c>
      <c r="C157" s="114"/>
      <c r="D157" s="632"/>
      <c r="E157" s="334">
        <v>68000</v>
      </c>
      <c r="F157" s="325">
        <v>-3855.135775009398</v>
      </c>
      <c r="G157" s="325">
        <v>-3361.4918876601168</v>
      </c>
      <c r="H157" s="325">
        <v>-2867.8480003108352</v>
      </c>
      <c r="I157" s="325">
        <v>-2374.2041129615518</v>
      </c>
      <c r="J157" s="325">
        <v>-1880.5602256122684</v>
      </c>
      <c r="K157" s="325">
        <v>-1386.9163382629845</v>
      </c>
      <c r="L157" s="325">
        <v>-893.2724509137015</v>
      </c>
      <c r="M157" s="325">
        <v>-399.6285635644241</v>
      </c>
      <c r="N157" s="325">
        <v>94.01532378485912</v>
      </c>
      <c r="O157" s="325">
        <v>587.65921113414242</v>
      </c>
      <c r="P157" s="325">
        <v>1081.3030984834259</v>
      </c>
      <c r="Q157" s="325">
        <v>1574.9469858327093</v>
      </c>
      <c r="R157" s="335">
        <v>2068.5908731819923</v>
      </c>
    </row>
    <row r="158" spans="1:18" ht="27" thickTop="1" thickBot="1" x14ac:dyDescent="0.75">
      <c r="A158" s="180" t="s">
        <v>0</v>
      </c>
      <c r="B158" s="181">
        <f>B157+B156</f>
        <v>6853.4802490958409</v>
      </c>
      <c r="D158" s="632"/>
      <c r="E158" s="334">
        <v>71000</v>
      </c>
      <c r="F158" s="325">
        <v>-3973.4805197884743</v>
      </c>
      <c r="G158" s="325">
        <v>-3462.2196694471249</v>
      </c>
      <c r="H158" s="325">
        <v>-2950.9588191057774</v>
      </c>
      <c r="I158" s="325">
        <v>-2439.6979687644262</v>
      </c>
      <c r="J158" s="325">
        <v>-1928.4371184230806</v>
      </c>
      <c r="K158" s="325">
        <v>-1417.1762680817328</v>
      </c>
      <c r="L158" s="325">
        <v>-905.91541774038785</v>
      </c>
      <c r="M158" s="325">
        <v>-394.65456739903834</v>
      </c>
      <c r="N158" s="325">
        <v>116.60628294231083</v>
      </c>
      <c r="O158" s="325">
        <v>627.86713328366011</v>
      </c>
      <c r="P158" s="325">
        <v>1139.1279836250055</v>
      </c>
      <c r="Q158" s="325">
        <v>1650.3888339663549</v>
      </c>
      <c r="R158" s="335">
        <v>2161.6496843077043</v>
      </c>
    </row>
    <row r="159" spans="1:18" ht="26.25" thickTop="1" x14ac:dyDescent="0.7">
      <c r="C159" s="115"/>
      <c r="D159" s="632"/>
      <c r="E159" s="334">
        <v>74000</v>
      </c>
      <c r="F159" s="325">
        <v>-4091.8252645675466</v>
      </c>
      <c r="G159" s="325">
        <v>-3562.9474512341326</v>
      </c>
      <c r="H159" s="325">
        <v>-3034.06963790072</v>
      </c>
      <c r="I159" s="325">
        <v>-2505.1918245673046</v>
      </c>
      <c r="J159" s="325">
        <v>-1976.3140112338908</v>
      </c>
      <c r="K159" s="325">
        <v>-1447.4361979004791</v>
      </c>
      <c r="L159" s="325">
        <v>-918.55838456706806</v>
      </c>
      <c r="M159" s="325">
        <v>-389.68057123365264</v>
      </c>
      <c r="N159" s="325">
        <v>139.19724209976255</v>
      </c>
      <c r="O159" s="325">
        <v>668.07505543317393</v>
      </c>
      <c r="P159" s="325">
        <v>1196.9528687665854</v>
      </c>
      <c r="Q159" s="325">
        <v>1725.8306821000008</v>
      </c>
      <c r="R159" s="335">
        <v>2254.7084954334118</v>
      </c>
    </row>
    <row r="160" spans="1:18" x14ac:dyDescent="0.7">
      <c r="B160" s="115"/>
      <c r="C160" s="115"/>
      <c r="D160" s="632"/>
      <c r="E160" s="334">
        <v>77000</v>
      </c>
      <c r="F160" s="325">
        <v>-4210.1700093466225</v>
      </c>
      <c r="G160" s="325">
        <v>-3663.675233021143</v>
      </c>
      <c r="H160" s="325">
        <v>-3117.1804566956662</v>
      </c>
      <c r="I160" s="325">
        <v>-2570.6856803701844</v>
      </c>
      <c r="J160" s="325">
        <v>-2024.1909040447072</v>
      </c>
      <c r="K160" s="325">
        <v>-1477.6961277192293</v>
      </c>
      <c r="L160" s="325">
        <v>-931.20135139375225</v>
      </c>
      <c r="M160" s="325">
        <v>-384.7065750682749</v>
      </c>
      <c r="N160" s="325">
        <v>161.78820125720233</v>
      </c>
      <c r="O160" s="325">
        <v>708.28297758268366</v>
      </c>
      <c r="P160" s="325">
        <v>1254.777753908161</v>
      </c>
      <c r="Q160" s="325">
        <v>1801.2725302336426</v>
      </c>
      <c r="R160" s="335">
        <v>2347.7673065591198</v>
      </c>
    </row>
    <row r="161" spans="2:18" x14ac:dyDescent="0.7">
      <c r="B161" s="115"/>
      <c r="C161" s="115"/>
      <c r="D161" s="632"/>
      <c r="E161" s="334">
        <v>80000</v>
      </c>
      <c r="F161" s="325">
        <v>-4328.5147541256947</v>
      </c>
      <c r="G161" s="325">
        <v>-3764.4030148081492</v>
      </c>
      <c r="H161" s="325">
        <v>-3200.291275490606</v>
      </c>
      <c r="I161" s="325">
        <v>-2636.1795361730592</v>
      </c>
      <c r="J161" s="325">
        <v>-2072.0677968555156</v>
      </c>
      <c r="K161" s="325">
        <v>-1507.9560575379755</v>
      </c>
      <c r="L161" s="325">
        <v>-943.84431822043246</v>
      </c>
      <c r="M161" s="325">
        <v>-379.73257890288914</v>
      </c>
      <c r="N161" s="325">
        <v>184.37916041465405</v>
      </c>
      <c r="O161" s="325">
        <v>748.49089973220134</v>
      </c>
      <c r="P161" s="325">
        <v>1312.6026390497409</v>
      </c>
      <c r="Q161" s="325">
        <v>1876.7143783672882</v>
      </c>
      <c r="R161" s="335">
        <v>2440.8261176848314</v>
      </c>
    </row>
    <row r="162" spans="2:18" ht="26.25" thickBot="1" x14ac:dyDescent="0.75">
      <c r="B162" s="115"/>
      <c r="C162" s="115"/>
      <c r="D162" s="633"/>
      <c r="E162" s="336">
        <v>83000</v>
      </c>
      <c r="F162" s="337">
        <v>-4446.8594989047742</v>
      </c>
      <c r="G162" s="337">
        <v>-3865.1307965951601</v>
      </c>
      <c r="H162" s="337">
        <v>-3283.4020942855541</v>
      </c>
      <c r="I162" s="337">
        <v>-2701.6733919759454</v>
      </c>
      <c r="J162" s="337">
        <v>-2119.9446896663358</v>
      </c>
      <c r="K162" s="337">
        <v>-1538.21598735673</v>
      </c>
      <c r="L162" s="337">
        <v>-956.48728504712062</v>
      </c>
      <c r="M162" s="337">
        <v>-374.7585827375114</v>
      </c>
      <c r="N162" s="337">
        <v>206.97011957209781</v>
      </c>
      <c r="O162" s="337">
        <v>788.69882188170322</v>
      </c>
      <c r="P162" s="337">
        <v>1370.4275241913165</v>
      </c>
      <c r="Q162" s="337">
        <v>1952.1562265009261</v>
      </c>
      <c r="R162" s="338">
        <v>2533.8849288105353</v>
      </c>
    </row>
    <row r="163" spans="2:18" ht="26.25" thickTop="1" x14ac:dyDescent="0.7"/>
    <row r="164" spans="2:18" x14ac:dyDescent="0.7">
      <c r="B164" s="115"/>
      <c r="C164" s="115"/>
      <c r="D164" s="115"/>
    </row>
    <row r="165" spans="2:18" x14ac:dyDescent="0.7">
      <c r="B165" s="115"/>
      <c r="C165" s="115"/>
      <c r="D165" s="115"/>
    </row>
    <row r="166" spans="2:18" x14ac:dyDescent="0.7">
      <c r="B166" s="115"/>
      <c r="C166" s="115"/>
    </row>
    <row r="167" spans="2:18" x14ac:dyDescent="0.7">
      <c r="B167" s="115"/>
      <c r="C167" s="115"/>
      <c r="D167" s="115"/>
    </row>
    <row r="169" spans="2:18" x14ac:dyDescent="0.7">
      <c r="B169" s="114"/>
      <c r="C169" s="114"/>
      <c r="D169" s="115"/>
    </row>
    <row r="170" spans="2:18" x14ac:dyDescent="0.7">
      <c r="B170" s="114"/>
      <c r="C170" s="114"/>
      <c r="D170" s="115"/>
    </row>
    <row r="171" spans="2:18" x14ac:dyDescent="0.7">
      <c r="B171" s="115"/>
      <c r="C171" s="115"/>
      <c r="D171" s="115"/>
    </row>
    <row r="172" spans="2:18" x14ac:dyDescent="0.7">
      <c r="B172" s="114"/>
      <c r="C172" s="114"/>
      <c r="D172" s="115"/>
    </row>
    <row r="174" spans="2:18" x14ac:dyDescent="0.7">
      <c r="B174" s="115"/>
      <c r="C174" s="115"/>
    </row>
    <row r="175" spans="2:18" x14ac:dyDescent="0.7">
      <c r="B175" s="115"/>
      <c r="C175" s="115"/>
    </row>
    <row r="176" spans="2:18" x14ac:dyDescent="0.7">
      <c r="B176" s="114"/>
      <c r="C176" s="114"/>
      <c r="D176" s="115"/>
    </row>
    <row r="177" spans="2:4" x14ac:dyDescent="0.7">
      <c r="B177" s="115"/>
      <c r="C177" s="114"/>
      <c r="D177" s="115"/>
    </row>
    <row r="178" spans="2:4" x14ac:dyDescent="0.7">
      <c r="B178" s="115"/>
      <c r="C178" s="115"/>
    </row>
    <row r="179" spans="2:4" x14ac:dyDescent="0.7">
      <c r="B179" s="114"/>
      <c r="C179" s="114"/>
      <c r="D179" s="115"/>
    </row>
    <row r="180" spans="2:4" x14ac:dyDescent="0.7">
      <c r="B180" s="114"/>
      <c r="C180" s="114"/>
      <c r="D180" s="115"/>
    </row>
    <row r="181" spans="2:4" x14ac:dyDescent="0.7">
      <c r="D181" s="115"/>
    </row>
    <row r="182" spans="2:4" x14ac:dyDescent="0.7">
      <c r="D182" s="115"/>
    </row>
  </sheetData>
  <mergeCells count="4">
    <mergeCell ref="G1:H1"/>
    <mergeCell ref="E148:R149"/>
    <mergeCell ref="D148:D162"/>
    <mergeCell ref="A125:A127"/>
  </mergeCells>
  <conditionalFormatting sqref="F151:R162">
    <cfRule type="colorScale" priority="1">
      <colorScale>
        <cfvo type="num" val="$B$150"/>
        <cfvo type="num" val="$B$149"/>
        <cfvo type="num" val="$B$148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P7 C88:G88" formulaRange="1"/>
    <ignoredError sqref="G10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87"/>
  <sheetViews>
    <sheetView rightToLeft="1" topLeftCell="A127" zoomScale="40" zoomScaleNormal="40" workbookViewId="0">
      <pane xSplit="1" topLeftCell="B1" activePane="topRight" state="frozen"/>
      <selection activeCell="A13" sqref="A13"/>
      <selection pane="topRight" activeCell="B154" sqref="B154"/>
    </sheetView>
  </sheetViews>
  <sheetFormatPr defaultRowHeight="22.5" x14ac:dyDescent="0.6"/>
  <cols>
    <col min="1" max="1" width="50.85546875" style="358" bestFit="1" customWidth="1"/>
    <col min="2" max="2" width="21.140625" style="357" bestFit="1" customWidth="1"/>
    <col min="3" max="3" width="20.85546875" style="357" bestFit="1" customWidth="1"/>
    <col min="4" max="4" width="30.5703125" style="357" bestFit="1" customWidth="1"/>
    <col min="5" max="5" width="26" style="357" bestFit="1" customWidth="1"/>
    <col min="6" max="6" width="15.7109375" style="357" bestFit="1" customWidth="1"/>
    <col min="7" max="7" width="16.7109375" style="357" bestFit="1" customWidth="1"/>
    <col min="8" max="8" width="24.42578125" style="357" bestFit="1" customWidth="1"/>
    <col min="9" max="9" width="23.42578125" style="357" bestFit="1" customWidth="1"/>
    <col min="10" max="11" width="17" style="357" bestFit="1" customWidth="1"/>
    <col min="12" max="12" width="16.85546875" style="357" bestFit="1" customWidth="1"/>
    <col min="13" max="13" width="17" style="357" bestFit="1" customWidth="1"/>
    <col min="14" max="14" width="16.5703125" style="357" bestFit="1" customWidth="1"/>
    <col min="15" max="15" width="19.5703125" style="359" bestFit="1" customWidth="1"/>
    <col min="16" max="16" width="16.5703125" style="357" bestFit="1" customWidth="1"/>
    <col min="17" max="17" width="16.42578125" style="357" bestFit="1" customWidth="1"/>
    <col min="18" max="18" width="17" style="357" bestFit="1" customWidth="1"/>
    <col min="19" max="19" width="16.85546875" style="357" customWidth="1"/>
    <col min="20" max="20" width="26" style="360" customWidth="1"/>
    <col min="21" max="21" width="38.42578125" style="360" bestFit="1" customWidth="1"/>
    <col min="22" max="24" width="16.85546875" style="360" bestFit="1" customWidth="1"/>
    <col min="25" max="26" width="16.5703125" style="360" bestFit="1" customWidth="1"/>
    <col min="27" max="27" width="13.42578125" style="360" bestFit="1" customWidth="1"/>
    <col min="28" max="29" width="12.140625" style="360" bestFit="1" customWidth="1"/>
    <col min="30" max="30" width="12.28515625" style="360" bestFit="1" customWidth="1"/>
    <col min="31" max="31" width="13.7109375" style="360" bestFit="1" customWidth="1"/>
    <col min="32" max="32" width="11.140625" style="360" bestFit="1" customWidth="1"/>
    <col min="33" max="33" width="15.140625" style="360" customWidth="1"/>
    <col min="34" max="34" width="12.28515625" style="360" bestFit="1" customWidth="1"/>
    <col min="35" max="35" width="21.140625" style="360" bestFit="1" customWidth="1"/>
    <col min="36" max="36" width="11.5703125" style="360" bestFit="1" customWidth="1"/>
    <col min="37" max="37" width="22.42578125" style="360" bestFit="1" customWidth="1"/>
    <col min="38" max="39" width="17" style="360" bestFit="1" customWidth="1"/>
    <col min="40" max="40" width="13.5703125" style="360" customWidth="1"/>
    <col min="41" max="42" width="9.140625" style="360"/>
    <col min="43" max="43" width="11.5703125" style="360" customWidth="1"/>
    <col min="44" max="54" width="9.140625" style="360"/>
    <col min="55" max="55" width="13.140625" style="360" customWidth="1"/>
    <col min="56" max="56" width="12.140625" style="360" customWidth="1"/>
    <col min="57" max="58" width="13" style="360" customWidth="1"/>
    <col min="59" max="64" width="9.140625" style="360"/>
    <col min="65" max="16384" width="9.140625" style="357"/>
  </cols>
  <sheetData>
    <row r="1" spans="1:64" ht="37.5" thickTop="1" thickBot="1" x14ac:dyDescent="1">
      <c r="A1" s="358" t="s">
        <v>130</v>
      </c>
      <c r="H1" s="610" t="str">
        <f>VLOOKUP(J1,'دیده بان بازار'!A:W,2,0)</f>
        <v>قندهكمتان‌</v>
      </c>
      <c r="I1" s="610"/>
      <c r="J1" s="316" t="s">
        <v>710</v>
      </c>
    </row>
    <row r="2" spans="1:64" ht="27" thickTop="1" thickBot="1" x14ac:dyDescent="0.75">
      <c r="A2" s="358" t="s">
        <v>131</v>
      </c>
      <c r="Q2" s="357" t="s">
        <v>2540</v>
      </c>
      <c r="U2" s="90" t="s">
        <v>101</v>
      </c>
      <c r="V2" s="349" t="s">
        <v>132</v>
      </c>
      <c r="W2" s="349" t="s">
        <v>133</v>
      </c>
      <c r="X2" s="349" t="s">
        <v>134</v>
      </c>
      <c r="Y2" s="350" t="s">
        <v>135</v>
      </c>
      <c r="Z2" s="350" t="s">
        <v>136</v>
      </c>
      <c r="AA2" s="350" t="s">
        <v>137</v>
      </c>
      <c r="AB2" s="350" t="s">
        <v>154</v>
      </c>
      <c r="AC2" s="350" t="s">
        <v>138</v>
      </c>
      <c r="AD2" s="350" t="s">
        <v>139</v>
      </c>
      <c r="AE2" s="350" t="s">
        <v>140</v>
      </c>
      <c r="AF2" s="350" t="s">
        <v>141</v>
      </c>
      <c r="AG2" s="350" t="s">
        <v>142</v>
      </c>
      <c r="AH2" s="350" t="s">
        <v>143</v>
      </c>
      <c r="AI2" s="349" t="s">
        <v>144</v>
      </c>
      <c r="AJ2" s="349" t="s">
        <v>145</v>
      </c>
      <c r="AK2" s="350" t="s">
        <v>2520</v>
      </c>
      <c r="AL2" s="351" t="s">
        <v>147</v>
      </c>
      <c r="AM2" s="351" t="s">
        <v>2522</v>
      </c>
      <c r="AN2" s="357"/>
    </row>
    <row r="3" spans="1:64" ht="25.5" x14ac:dyDescent="0.7">
      <c r="A3" s="356"/>
      <c r="B3" s="349" t="s">
        <v>132</v>
      </c>
      <c r="C3" s="349" t="s">
        <v>133</v>
      </c>
      <c r="D3" s="349" t="s">
        <v>134</v>
      </c>
      <c r="E3" s="350" t="s">
        <v>135</v>
      </c>
      <c r="F3" s="350" t="s">
        <v>136</v>
      </c>
      <c r="G3" s="350" t="s">
        <v>137</v>
      </c>
      <c r="H3" s="350" t="s">
        <v>154</v>
      </c>
      <c r="I3" s="350" t="s">
        <v>138</v>
      </c>
      <c r="J3" s="350" t="s">
        <v>139</v>
      </c>
      <c r="K3" s="350" t="s">
        <v>140</v>
      </c>
      <c r="L3" s="350" t="s">
        <v>141</v>
      </c>
      <c r="M3" s="350" t="s">
        <v>142</v>
      </c>
      <c r="N3" s="350" t="s">
        <v>143</v>
      </c>
      <c r="O3" s="349" t="s">
        <v>144</v>
      </c>
      <c r="P3" s="350" t="s">
        <v>145</v>
      </c>
      <c r="Q3" s="350" t="s">
        <v>2520</v>
      </c>
      <c r="R3" s="350" t="s">
        <v>147</v>
      </c>
      <c r="S3" s="351" t="s">
        <v>2522</v>
      </c>
      <c r="U3" s="94" t="s">
        <v>2521</v>
      </c>
      <c r="V3" s="352" t="s">
        <v>106</v>
      </c>
      <c r="W3" s="352" t="s">
        <v>97</v>
      </c>
      <c r="X3" s="352" t="s">
        <v>96</v>
      </c>
      <c r="Y3" s="353" t="s">
        <v>62</v>
      </c>
      <c r="Z3" s="353" t="s">
        <v>107</v>
      </c>
      <c r="AA3" s="353" t="s">
        <v>108</v>
      </c>
      <c r="AB3" s="353" t="s">
        <v>109</v>
      </c>
      <c r="AC3" s="353" t="s">
        <v>40</v>
      </c>
      <c r="AD3" s="353" t="s">
        <v>55</v>
      </c>
      <c r="AE3" s="353" t="s">
        <v>95</v>
      </c>
      <c r="AF3" s="353" t="s">
        <v>94</v>
      </c>
      <c r="AG3" s="353" t="s">
        <v>39</v>
      </c>
      <c r="AH3" s="353" t="s">
        <v>54</v>
      </c>
      <c r="AI3" s="352" t="s">
        <v>148</v>
      </c>
      <c r="AJ3" s="352" t="s">
        <v>149</v>
      </c>
      <c r="AK3" s="353" t="s">
        <v>146</v>
      </c>
      <c r="AL3" s="354" t="s">
        <v>160</v>
      </c>
      <c r="AM3" s="354" t="s">
        <v>2523</v>
      </c>
      <c r="AN3" s="357"/>
    </row>
    <row r="4" spans="1:64" ht="25.5" x14ac:dyDescent="0.7">
      <c r="A4" s="355" t="s">
        <v>102</v>
      </c>
      <c r="B4" s="352" t="s">
        <v>106</v>
      </c>
      <c r="C4" s="352" t="s">
        <v>97</v>
      </c>
      <c r="D4" s="352" t="s">
        <v>96</v>
      </c>
      <c r="E4" s="353" t="s">
        <v>62</v>
      </c>
      <c r="F4" s="353" t="s">
        <v>107</v>
      </c>
      <c r="G4" s="353" t="s">
        <v>108</v>
      </c>
      <c r="H4" s="353" t="s">
        <v>109</v>
      </c>
      <c r="I4" s="353" t="s">
        <v>40</v>
      </c>
      <c r="J4" s="353" t="s">
        <v>55</v>
      </c>
      <c r="K4" s="353" t="s">
        <v>95</v>
      </c>
      <c r="L4" s="353" t="s">
        <v>94</v>
      </c>
      <c r="M4" s="353" t="s">
        <v>39</v>
      </c>
      <c r="N4" s="353" t="s">
        <v>54</v>
      </c>
      <c r="O4" s="352" t="s">
        <v>148</v>
      </c>
      <c r="P4" s="353" t="s">
        <v>149</v>
      </c>
      <c r="Q4" s="353" t="s">
        <v>146</v>
      </c>
      <c r="R4" s="353" t="s">
        <v>160</v>
      </c>
      <c r="S4" s="354" t="s">
        <v>2523</v>
      </c>
      <c r="U4" s="94" t="s">
        <v>92</v>
      </c>
      <c r="V4" s="156">
        <f>B5/B5</f>
        <v>1</v>
      </c>
      <c r="W4" s="156">
        <f t="shared" ref="W4:AJ4" si="0">C5/C5</f>
        <v>1</v>
      </c>
      <c r="X4" s="156">
        <f t="shared" si="0"/>
        <v>1</v>
      </c>
      <c r="Y4" s="156">
        <f t="shared" si="0"/>
        <v>1</v>
      </c>
      <c r="Z4" s="156">
        <f t="shared" si="0"/>
        <v>1</v>
      </c>
      <c r="AA4" s="156">
        <f t="shared" si="0"/>
        <v>1</v>
      </c>
      <c r="AB4" s="156">
        <f t="shared" si="0"/>
        <v>1</v>
      </c>
      <c r="AC4" s="156">
        <f t="shared" si="0"/>
        <v>1</v>
      </c>
      <c r="AD4" s="156">
        <f t="shared" si="0"/>
        <v>1</v>
      </c>
      <c r="AE4" s="156">
        <f t="shared" si="0"/>
        <v>1</v>
      </c>
      <c r="AF4" s="156">
        <f t="shared" si="0"/>
        <v>1</v>
      </c>
      <c r="AG4" s="156">
        <f t="shared" si="0"/>
        <v>1</v>
      </c>
      <c r="AH4" s="156">
        <f t="shared" si="0"/>
        <v>1</v>
      </c>
      <c r="AI4" s="156">
        <f t="shared" si="0"/>
        <v>1</v>
      </c>
      <c r="AJ4" s="156">
        <f t="shared" si="0"/>
        <v>1</v>
      </c>
      <c r="AK4" s="156">
        <f>AJ4</f>
        <v>1</v>
      </c>
      <c r="AL4" s="229"/>
      <c r="AM4" s="229"/>
      <c r="AN4" s="357"/>
    </row>
    <row r="5" spans="1:64" ht="25.5" x14ac:dyDescent="0.7">
      <c r="A5" s="355" t="s">
        <v>121</v>
      </c>
      <c r="B5" s="361">
        <v>23203</v>
      </c>
      <c r="C5" s="361">
        <v>19703</v>
      </c>
      <c r="D5" s="361">
        <v>33866</v>
      </c>
      <c r="E5" s="361">
        <v>35726</v>
      </c>
      <c r="F5" s="361">
        <v>28967</v>
      </c>
      <c r="G5" s="361">
        <v>37206</v>
      </c>
      <c r="H5" s="361">
        <v>55244</v>
      </c>
      <c r="I5" s="361">
        <v>63771</v>
      </c>
      <c r="J5" s="361">
        <v>33711</v>
      </c>
      <c r="K5" s="361">
        <v>44652</v>
      </c>
      <c r="L5" s="361">
        <v>55877</v>
      </c>
      <c r="M5" s="361">
        <v>66006</v>
      </c>
      <c r="N5" s="361">
        <v>32928</v>
      </c>
      <c r="O5" s="361">
        <v>49953</v>
      </c>
      <c r="P5" s="361">
        <v>56411.4</v>
      </c>
      <c r="Q5" s="361">
        <v>13317</v>
      </c>
      <c r="R5" s="361">
        <f>B141</f>
        <v>66637.272373248386</v>
      </c>
      <c r="S5" s="362">
        <f>B149</f>
        <v>65471.424124416131</v>
      </c>
      <c r="U5" s="94" t="s">
        <v>89</v>
      </c>
      <c r="V5" s="156">
        <f>B6/B5</f>
        <v>0.49803904667499893</v>
      </c>
      <c r="W5" s="156">
        <f t="shared" ref="W5:AJ5" si="1">C6/C5</f>
        <v>0.44607420189818808</v>
      </c>
      <c r="X5" s="156">
        <f t="shared" si="1"/>
        <v>0.33074469969881298</v>
      </c>
      <c r="Y5" s="156">
        <f t="shared" si="1"/>
        <v>0.72521412976543698</v>
      </c>
      <c r="Z5" s="156">
        <f t="shared" si="1"/>
        <v>0.34629060655228361</v>
      </c>
      <c r="AA5" s="156">
        <f t="shared" si="1"/>
        <v>0</v>
      </c>
      <c r="AB5" s="156">
        <f t="shared" si="1"/>
        <v>0</v>
      </c>
      <c r="AC5" s="156">
        <f t="shared" si="1"/>
        <v>0.346285929340923</v>
      </c>
      <c r="AD5" s="156">
        <f t="shared" si="1"/>
        <v>0.37943104624603247</v>
      </c>
      <c r="AE5" s="156">
        <f t="shared" si="1"/>
        <v>0</v>
      </c>
      <c r="AF5" s="156">
        <f t="shared" si="1"/>
        <v>0.41564507758111569</v>
      </c>
      <c r="AG5" s="156">
        <f t="shared" si="1"/>
        <v>0.40284216586370936</v>
      </c>
      <c r="AH5" s="156">
        <f t="shared" si="1"/>
        <v>0.33321185617103982</v>
      </c>
      <c r="AI5" s="156">
        <f t="shared" si="1"/>
        <v>0.42251716613616802</v>
      </c>
      <c r="AJ5" s="156">
        <f t="shared" si="1"/>
        <v>0.52937881350223537</v>
      </c>
      <c r="AK5" s="156">
        <f t="shared" ref="AK5:AL7" si="2">AJ5</f>
        <v>0.52937881350223537</v>
      </c>
      <c r="AL5" s="229">
        <f>AK5</f>
        <v>0.52937881350223537</v>
      </c>
      <c r="AM5" s="229">
        <f>AVERAGE(AL5,AJ5,AI5,AG5,AF5,AC5,Y5,X5,W5,V5)</f>
        <v>0.46461200439638234</v>
      </c>
      <c r="AN5" s="357"/>
    </row>
    <row r="6" spans="1:64" ht="25.5" x14ac:dyDescent="0.7">
      <c r="A6" s="355" t="s">
        <v>89</v>
      </c>
      <c r="B6" s="361">
        <v>11556</v>
      </c>
      <c r="C6" s="361">
        <v>8789</v>
      </c>
      <c r="D6" s="361">
        <f>D17</f>
        <v>11201</v>
      </c>
      <c r="E6" s="361">
        <v>25909</v>
      </c>
      <c r="F6" s="361">
        <v>10031</v>
      </c>
      <c r="G6" s="361"/>
      <c r="H6" s="363"/>
      <c r="I6" s="361">
        <v>22083</v>
      </c>
      <c r="J6" s="361">
        <v>12791</v>
      </c>
      <c r="K6" s="361"/>
      <c r="L6" s="361">
        <f>L17</f>
        <v>23225</v>
      </c>
      <c r="M6" s="361">
        <v>26590</v>
      </c>
      <c r="N6" s="361">
        <v>10972</v>
      </c>
      <c r="O6" s="361">
        <v>21106</v>
      </c>
      <c r="P6" s="361">
        <v>29863</v>
      </c>
      <c r="Q6" s="361">
        <v>3999</v>
      </c>
      <c r="R6" s="361">
        <f>$R$5*AL5</f>
        <v>35276.360183975521</v>
      </c>
      <c r="S6" s="362">
        <f>$S$5*AM5</f>
        <v>30418.809593130642</v>
      </c>
      <c r="U6" s="355" t="s">
        <v>125</v>
      </c>
      <c r="V6" s="156">
        <f>B7/B5</f>
        <v>5.6846097487393873E-2</v>
      </c>
      <c r="W6" s="156">
        <f t="shared" ref="W6:AJ6" si="3">C7/C5</f>
        <v>3.1061259706643658E-2</v>
      </c>
      <c r="X6" s="156">
        <f t="shared" si="3"/>
        <v>3.9361011043524477E-2</v>
      </c>
      <c r="Y6" s="156">
        <f t="shared" si="3"/>
        <v>4.3273806191569168E-2</v>
      </c>
      <c r="Z6" s="156">
        <f t="shared" si="3"/>
        <v>2.4338039838436843E-2</v>
      </c>
      <c r="AA6" s="156">
        <f t="shared" si="3"/>
        <v>0</v>
      </c>
      <c r="AB6" s="156">
        <f t="shared" si="3"/>
        <v>0</v>
      </c>
      <c r="AC6" s="156">
        <f t="shared" si="3"/>
        <v>2.4321400009408665E-2</v>
      </c>
      <c r="AD6" s="156">
        <f t="shared" si="3"/>
        <v>3.794013823381092E-2</v>
      </c>
      <c r="AE6" s="156">
        <f t="shared" si="3"/>
        <v>0</v>
      </c>
      <c r="AF6" s="156">
        <f t="shared" si="3"/>
        <v>0.10725343164450489</v>
      </c>
      <c r="AG6" s="156">
        <f t="shared" si="3"/>
        <v>3.5133169711844381E-2</v>
      </c>
      <c r="AH6" s="156">
        <f t="shared" si="3"/>
        <v>5.4361030126336252E-2</v>
      </c>
      <c r="AI6" s="156">
        <f t="shared" si="3"/>
        <v>6.1037375132624666E-2</v>
      </c>
      <c r="AJ6" s="156">
        <f t="shared" si="3"/>
        <v>6.0236051578227097E-2</v>
      </c>
      <c r="AK6" s="156">
        <f t="shared" si="2"/>
        <v>6.0236051578227097E-2</v>
      </c>
      <c r="AL6" s="229">
        <f t="shared" si="2"/>
        <v>6.0236051578227097E-2</v>
      </c>
      <c r="AM6" s="229">
        <f>AVERAGE(AL6,AF6:AJ6,AC6:AD6,V6:Z6)</f>
        <v>4.887683556019632E-2</v>
      </c>
      <c r="AN6" s="357"/>
    </row>
    <row r="7" spans="1:64" ht="26.25" thickBot="1" x14ac:dyDescent="0.75">
      <c r="A7" s="355" t="s">
        <v>125</v>
      </c>
      <c r="B7" s="361">
        <v>1319</v>
      </c>
      <c r="C7" s="361">
        <v>612</v>
      </c>
      <c r="D7" s="361">
        <f t="shared" ref="D7:D8" si="4">D18</f>
        <v>1333</v>
      </c>
      <c r="E7" s="361">
        <v>1546</v>
      </c>
      <c r="F7" s="361">
        <v>705</v>
      </c>
      <c r="G7" s="361"/>
      <c r="H7" s="361"/>
      <c r="I7" s="361">
        <v>1551</v>
      </c>
      <c r="J7" s="361">
        <v>1279</v>
      </c>
      <c r="K7" s="361"/>
      <c r="L7" s="361">
        <f t="shared" ref="L7:L8" si="5">L18</f>
        <v>5993</v>
      </c>
      <c r="M7" s="361">
        <v>2319</v>
      </c>
      <c r="N7" s="361">
        <v>1790</v>
      </c>
      <c r="O7" s="361">
        <v>3049</v>
      </c>
      <c r="P7" s="361">
        <v>3398</v>
      </c>
      <c r="Q7" s="361">
        <v>0</v>
      </c>
      <c r="R7" s="361">
        <f t="shared" ref="R7:R8" si="6">$R$5*AL6</f>
        <v>4013.9661757073573</v>
      </c>
      <c r="S7" s="362">
        <f t="shared" ref="S7:S8" si="7">$S$5*AM6</f>
        <v>3200.0360308209574</v>
      </c>
      <c r="U7" s="97" t="s">
        <v>86</v>
      </c>
      <c r="V7" s="158">
        <f>B8/B5</f>
        <v>0.27117183122872041</v>
      </c>
      <c r="W7" s="158">
        <f t="shared" ref="W7:AJ7" si="8">C8/C5</f>
        <v>0.24986042734608943</v>
      </c>
      <c r="X7" s="158">
        <f t="shared" si="8"/>
        <v>0.20117521998464535</v>
      </c>
      <c r="Y7" s="158">
        <f t="shared" si="8"/>
        <v>0.35036108156524659</v>
      </c>
      <c r="Z7" s="158">
        <f t="shared" si="8"/>
        <v>0.17578623951392963</v>
      </c>
      <c r="AA7" s="158">
        <f t="shared" si="8"/>
        <v>0</v>
      </c>
      <c r="AB7" s="158">
        <f t="shared" si="8"/>
        <v>0</v>
      </c>
      <c r="AC7" s="158">
        <f t="shared" si="8"/>
        <v>0.17580091264054193</v>
      </c>
      <c r="AD7" s="158">
        <f t="shared" si="8"/>
        <v>0.18970069116905461</v>
      </c>
      <c r="AE7" s="158">
        <f t="shared" si="8"/>
        <v>0</v>
      </c>
      <c r="AF7" s="158">
        <f t="shared" si="8"/>
        <v>0.21593857937970901</v>
      </c>
      <c r="AG7" s="158">
        <f t="shared" si="8"/>
        <v>0.17566584855922188</v>
      </c>
      <c r="AH7" s="158">
        <f t="shared" si="8"/>
        <v>0.14477040816326531</v>
      </c>
      <c r="AI7" s="158">
        <f t="shared" si="8"/>
        <v>0.16253278081396513</v>
      </c>
      <c r="AJ7" s="158">
        <f t="shared" si="8"/>
        <v>0.23971573121744896</v>
      </c>
      <c r="AK7" s="156">
        <f t="shared" si="2"/>
        <v>0.23971573121744896</v>
      </c>
      <c r="AL7" s="229">
        <f t="shared" si="2"/>
        <v>0.23971573121744896</v>
      </c>
      <c r="AM7" s="229">
        <f>AVERAGE(AL7,AF7:AJ7,AC7:AD7,V7:Z7)</f>
        <v>0.21478426790763747</v>
      </c>
      <c r="AN7" s="357"/>
    </row>
    <row r="8" spans="1:64" ht="26.25" thickBot="1" x14ac:dyDescent="0.75">
      <c r="A8" s="355" t="s">
        <v>86</v>
      </c>
      <c r="B8" s="361">
        <v>6292</v>
      </c>
      <c r="C8" s="361">
        <v>4923</v>
      </c>
      <c r="D8" s="361">
        <f t="shared" si="4"/>
        <v>6813</v>
      </c>
      <c r="E8" s="361">
        <v>12517</v>
      </c>
      <c r="F8" s="361">
        <v>5092</v>
      </c>
      <c r="G8" s="361"/>
      <c r="H8" s="361"/>
      <c r="I8" s="361">
        <v>11211</v>
      </c>
      <c r="J8" s="361">
        <v>6395</v>
      </c>
      <c r="K8" s="361"/>
      <c r="L8" s="361">
        <f t="shared" si="5"/>
        <v>12066</v>
      </c>
      <c r="M8" s="361">
        <v>11595</v>
      </c>
      <c r="N8" s="361">
        <v>4767</v>
      </c>
      <c r="O8" s="361">
        <v>8119</v>
      </c>
      <c r="P8" s="361">
        <v>13522.7</v>
      </c>
      <c r="Q8" s="361">
        <v>4829</v>
      </c>
      <c r="R8" s="361">
        <f t="shared" si="6"/>
        <v>15974.002473289547</v>
      </c>
      <c r="S8" s="362">
        <f t="shared" si="7"/>
        <v>14062.231899433153</v>
      </c>
      <c r="X8" s="192"/>
      <c r="Y8" s="98"/>
      <c r="Z8" s="98"/>
      <c r="AA8" s="193"/>
      <c r="AB8" s="191"/>
      <c r="AC8" s="89"/>
      <c r="AD8" s="89"/>
      <c r="AE8" s="89"/>
      <c r="AF8" s="87"/>
      <c r="AG8" s="87"/>
      <c r="AH8" s="87"/>
      <c r="AI8" s="87"/>
      <c r="AJ8" s="87"/>
      <c r="AK8" s="357"/>
      <c r="AL8" s="357"/>
      <c r="AM8" s="357"/>
      <c r="AN8" s="357"/>
      <c r="AO8" s="364"/>
      <c r="AP8" s="365"/>
      <c r="AQ8" s="365"/>
      <c r="AR8" s="364"/>
      <c r="AS8" s="365"/>
      <c r="AT8" s="366"/>
      <c r="AV8" s="366"/>
      <c r="AW8" s="365"/>
      <c r="AX8" s="364"/>
      <c r="AY8" s="365"/>
      <c r="AZ8" s="365"/>
      <c r="BA8" s="364"/>
      <c r="BB8" s="365"/>
    </row>
    <row r="9" spans="1:64" ht="25.5" x14ac:dyDescent="0.7">
      <c r="A9" s="355" t="s">
        <v>123</v>
      </c>
      <c r="B9" s="361">
        <v>0</v>
      </c>
      <c r="C9" s="361">
        <v>8438</v>
      </c>
      <c r="D9" s="361">
        <v>2394</v>
      </c>
      <c r="E9" s="361">
        <v>0</v>
      </c>
      <c r="F9" s="361"/>
      <c r="G9" s="361"/>
      <c r="H9" s="361">
        <v>11137</v>
      </c>
      <c r="I9" s="361">
        <v>17812</v>
      </c>
      <c r="J9" s="361">
        <v>1080</v>
      </c>
      <c r="K9" s="361"/>
      <c r="L9" s="361">
        <v>3000</v>
      </c>
      <c r="M9" s="361">
        <v>3000</v>
      </c>
      <c r="N9" s="361"/>
      <c r="O9" s="361"/>
      <c r="P9" s="361"/>
      <c r="Q9" s="361">
        <v>0</v>
      </c>
      <c r="R9" s="361"/>
      <c r="S9" s="362"/>
      <c r="U9" s="415" t="s">
        <v>58</v>
      </c>
      <c r="V9" s="350" t="s">
        <v>112</v>
      </c>
      <c r="W9" s="350" t="s">
        <v>113</v>
      </c>
      <c r="X9" s="350" t="s">
        <v>2534</v>
      </c>
      <c r="Y9" s="351" t="s">
        <v>2535</v>
      </c>
      <c r="Z9" s="413"/>
      <c r="AA9" s="193"/>
      <c r="AB9" s="191"/>
      <c r="AC9" s="89"/>
      <c r="AD9" s="89"/>
      <c r="AE9" s="89"/>
      <c r="AF9" s="87"/>
      <c r="AG9" s="87"/>
      <c r="AH9" s="87"/>
      <c r="AI9" s="87"/>
      <c r="AJ9" s="87"/>
      <c r="AK9" s="357"/>
      <c r="AL9" s="357"/>
      <c r="AM9" s="357"/>
      <c r="AN9" s="357"/>
      <c r="AO9" s="364"/>
      <c r="AP9" s="365"/>
      <c r="AQ9" s="365"/>
      <c r="AR9" s="364"/>
      <c r="AS9" s="365"/>
      <c r="AT9" s="366"/>
      <c r="AV9" s="366"/>
      <c r="AW9" s="365"/>
      <c r="AX9" s="364"/>
      <c r="AY9" s="365"/>
      <c r="AZ9" s="365"/>
      <c r="BA9" s="364"/>
      <c r="BB9" s="365"/>
    </row>
    <row r="10" spans="1:64" ht="25.5" x14ac:dyDescent="0.7">
      <c r="A10" s="355" t="s">
        <v>124</v>
      </c>
      <c r="B10" s="361">
        <v>23960</v>
      </c>
      <c r="C10" s="361">
        <v>1550</v>
      </c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P10" s="361">
        <v>18924</v>
      </c>
      <c r="Q10" s="361"/>
      <c r="R10" s="361">
        <f>Q10+P10</f>
        <v>18924</v>
      </c>
      <c r="S10" s="362">
        <f>R10</f>
        <v>18924</v>
      </c>
      <c r="U10" s="416" t="s">
        <v>156</v>
      </c>
      <c r="V10" s="367">
        <v>3000</v>
      </c>
      <c r="W10" s="367">
        <v>2300</v>
      </c>
      <c r="X10" s="414" t="s">
        <v>2536</v>
      </c>
      <c r="Y10" s="215" t="s">
        <v>2538</v>
      </c>
      <c r="Z10" s="191"/>
      <c r="AA10" s="198"/>
      <c r="AB10" s="191"/>
      <c r="AC10" s="89"/>
      <c r="AD10" s="89"/>
      <c r="AE10" s="89"/>
      <c r="AF10" s="87"/>
      <c r="AG10" s="87"/>
      <c r="AH10" s="87"/>
      <c r="AI10" s="87"/>
      <c r="AJ10" s="87"/>
      <c r="AK10" s="357"/>
      <c r="AL10" s="357"/>
      <c r="AM10" s="357"/>
      <c r="AN10" s="357"/>
      <c r="AO10" s="364"/>
      <c r="AP10" s="365"/>
      <c r="AQ10" s="365"/>
      <c r="AR10" s="364"/>
      <c r="AS10" s="365"/>
      <c r="AT10" s="366"/>
      <c r="AV10" s="366"/>
      <c r="AW10" s="365"/>
      <c r="AX10" s="364"/>
      <c r="AY10" s="365"/>
      <c r="AZ10" s="366"/>
      <c r="BB10" s="366"/>
    </row>
    <row r="11" spans="1:64" ht="26.25" thickBot="1" x14ac:dyDescent="0.75">
      <c r="A11" s="355" t="s">
        <v>128</v>
      </c>
      <c r="B11" s="361">
        <v>137</v>
      </c>
      <c r="C11" s="361">
        <v>0</v>
      </c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>
        <v>138085</v>
      </c>
      <c r="Q11" s="361">
        <v>84915</v>
      </c>
      <c r="R11" s="361">
        <f>Q11+P11</f>
        <v>223000</v>
      </c>
      <c r="S11" s="362">
        <f>R11</f>
        <v>223000</v>
      </c>
      <c r="U11" s="417" t="s">
        <v>157</v>
      </c>
      <c r="V11" s="379">
        <v>500</v>
      </c>
      <c r="W11" s="379">
        <v>535</v>
      </c>
      <c r="X11" s="418" t="s">
        <v>2537</v>
      </c>
      <c r="Y11" s="197" t="s">
        <v>2539</v>
      </c>
      <c r="Z11" s="191"/>
      <c r="AA11" s="193"/>
      <c r="AB11" s="191"/>
      <c r="AC11" s="89"/>
      <c r="AD11" s="89"/>
      <c r="AE11" s="89"/>
      <c r="AF11" s="87"/>
      <c r="AG11" s="87"/>
      <c r="AH11" s="87"/>
      <c r="AI11" s="87"/>
      <c r="AJ11" s="87"/>
      <c r="AK11" s="357"/>
      <c r="AL11" s="357"/>
      <c r="AM11" s="357"/>
      <c r="AN11" s="357"/>
    </row>
    <row r="12" spans="1:64" ht="23.25" thickBot="1" x14ac:dyDescent="0.65">
      <c r="A12" s="368" t="s">
        <v>122</v>
      </c>
      <c r="B12" s="369">
        <v>50368</v>
      </c>
      <c r="C12" s="369">
        <v>82938</v>
      </c>
      <c r="D12" s="369">
        <v>32291</v>
      </c>
      <c r="E12" s="369">
        <v>49631</v>
      </c>
      <c r="F12" s="369"/>
      <c r="G12" s="369"/>
      <c r="H12" s="369"/>
      <c r="I12" s="369"/>
      <c r="J12" s="369"/>
      <c r="K12" s="369"/>
      <c r="L12" s="369"/>
      <c r="M12" s="369">
        <v>4035</v>
      </c>
      <c r="N12" s="369"/>
      <c r="O12" s="369"/>
      <c r="P12" s="369"/>
      <c r="Q12" s="369"/>
      <c r="R12" s="369"/>
      <c r="S12" s="370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</row>
    <row r="13" spans="1:64" ht="23.25" thickBot="1" x14ac:dyDescent="0.65">
      <c r="A13" s="357"/>
      <c r="O13" s="357"/>
      <c r="T13" s="357"/>
      <c r="AO13" s="357"/>
      <c r="AP13" s="357"/>
      <c r="AQ13" s="357"/>
      <c r="AR13" s="357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  <c r="BH13" s="357"/>
      <c r="BI13" s="357"/>
      <c r="BJ13" s="357"/>
      <c r="BK13" s="357"/>
      <c r="BL13" s="357"/>
    </row>
    <row r="14" spans="1:64" ht="23.25" thickBot="1" x14ac:dyDescent="0.65">
      <c r="B14" s="349" t="s">
        <v>132</v>
      </c>
      <c r="C14" s="349" t="s">
        <v>133</v>
      </c>
      <c r="D14" s="349" t="s">
        <v>134</v>
      </c>
      <c r="E14" s="350" t="s">
        <v>135</v>
      </c>
      <c r="F14" s="350" t="s">
        <v>136</v>
      </c>
      <c r="G14" s="350" t="s">
        <v>137</v>
      </c>
      <c r="H14" s="350" t="s">
        <v>154</v>
      </c>
      <c r="I14" s="350" t="s">
        <v>138</v>
      </c>
      <c r="J14" s="350" t="s">
        <v>139</v>
      </c>
      <c r="K14" s="350" t="s">
        <v>140</v>
      </c>
      <c r="L14" s="350" t="s">
        <v>141</v>
      </c>
      <c r="M14" s="350" t="s">
        <v>142</v>
      </c>
      <c r="N14" s="350" t="s">
        <v>143</v>
      </c>
      <c r="O14" s="349" t="s">
        <v>144</v>
      </c>
      <c r="P14" s="350" t="s">
        <v>145</v>
      </c>
      <c r="Q14" s="350" t="s">
        <v>2520</v>
      </c>
      <c r="R14" s="350" t="s">
        <v>147</v>
      </c>
      <c r="S14" s="351" t="s">
        <v>2522</v>
      </c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P14" s="365"/>
      <c r="AS14" s="365"/>
      <c r="AV14" s="366"/>
      <c r="AY14" s="365"/>
      <c r="BB14" s="365"/>
    </row>
    <row r="15" spans="1:64" ht="26.25" thickBot="1" x14ac:dyDescent="0.75">
      <c r="A15" s="356" t="s">
        <v>105</v>
      </c>
      <c r="B15" s="352" t="s">
        <v>106</v>
      </c>
      <c r="C15" s="352" t="s">
        <v>97</v>
      </c>
      <c r="D15" s="352" t="s">
        <v>96</v>
      </c>
      <c r="E15" s="353" t="s">
        <v>62</v>
      </c>
      <c r="F15" s="353" t="s">
        <v>107</v>
      </c>
      <c r="G15" s="353" t="s">
        <v>108</v>
      </c>
      <c r="H15" s="353" t="s">
        <v>109</v>
      </c>
      <c r="I15" s="353" t="s">
        <v>40</v>
      </c>
      <c r="J15" s="353" t="s">
        <v>55</v>
      </c>
      <c r="K15" s="353" t="s">
        <v>95</v>
      </c>
      <c r="L15" s="353" t="s">
        <v>94</v>
      </c>
      <c r="M15" s="353" t="s">
        <v>39</v>
      </c>
      <c r="N15" s="353" t="s">
        <v>54</v>
      </c>
      <c r="O15" s="352" t="s">
        <v>148</v>
      </c>
      <c r="P15" s="353" t="s">
        <v>149</v>
      </c>
      <c r="Q15" s="353" t="s">
        <v>146</v>
      </c>
      <c r="R15" s="353" t="s">
        <v>160</v>
      </c>
      <c r="S15" s="354" t="s">
        <v>2523</v>
      </c>
      <c r="U15" s="90" t="s">
        <v>101</v>
      </c>
      <c r="V15" s="349" t="s">
        <v>132</v>
      </c>
      <c r="W15" s="349" t="s">
        <v>133</v>
      </c>
      <c r="X15" s="349" t="s">
        <v>134</v>
      </c>
      <c r="Y15" s="350" t="s">
        <v>135</v>
      </c>
      <c r="Z15" s="350" t="s">
        <v>136</v>
      </c>
      <c r="AA15" s="350" t="s">
        <v>137</v>
      </c>
      <c r="AB15" s="350" t="s">
        <v>154</v>
      </c>
      <c r="AC15" s="350" t="s">
        <v>138</v>
      </c>
      <c r="AD15" s="350" t="s">
        <v>139</v>
      </c>
      <c r="AE15" s="350" t="s">
        <v>140</v>
      </c>
      <c r="AF15" s="350" t="s">
        <v>141</v>
      </c>
      <c r="AG15" s="350" t="s">
        <v>142</v>
      </c>
      <c r="AH15" s="350" t="s">
        <v>143</v>
      </c>
      <c r="AI15" s="349" t="s">
        <v>144</v>
      </c>
      <c r="AJ15" s="349" t="s">
        <v>145</v>
      </c>
      <c r="AK15" s="350" t="s">
        <v>2520</v>
      </c>
      <c r="AL15" s="351" t="s">
        <v>147</v>
      </c>
      <c r="AM15" s="351" t="s">
        <v>2522</v>
      </c>
    </row>
    <row r="16" spans="1:64" ht="25.5" x14ac:dyDescent="0.7">
      <c r="A16" s="355" t="s">
        <v>121</v>
      </c>
      <c r="B16" s="361">
        <v>23164</v>
      </c>
      <c r="C16" s="361">
        <v>18878</v>
      </c>
      <c r="D16" s="361">
        <v>32472</v>
      </c>
      <c r="E16" s="361">
        <v>36009</v>
      </c>
      <c r="F16" s="361">
        <v>13722</v>
      </c>
      <c r="G16" s="361">
        <v>36543</v>
      </c>
      <c r="H16" s="361">
        <v>47567</v>
      </c>
      <c r="I16" s="361">
        <v>61782</v>
      </c>
      <c r="J16" s="361">
        <v>10976</v>
      </c>
      <c r="K16" s="361">
        <v>27119</v>
      </c>
      <c r="L16" s="361">
        <v>43306</v>
      </c>
      <c r="M16" s="361">
        <v>66218</v>
      </c>
      <c r="N16" s="361">
        <v>25485</v>
      </c>
      <c r="O16" s="361">
        <v>49953</v>
      </c>
      <c r="P16" s="361">
        <v>50418</v>
      </c>
      <c r="Q16" s="361">
        <f>Q5*AK17</f>
        <v>11902.142226571224</v>
      </c>
      <c r="R16" s="361">
        <f>R5*AL17</f>
        <v>64628.484009187065</v>
      </c>
      <c r="S16" s="361">
        <f>S5*AM17</f>
        <v>64367.277588891797</v>
      </c>
      <c r="U16" s="90" t="s">
        <v>2521</v>
      </c>
      <c r="V16" s="352" t="s">
        <v>106</v>
      </c>
      <c r="W16" s="352" t="s">
        <v>97</v>
      </c>
      <c r="X16" s="352" t="s">
        <v>96</v>
      </c>
      <c r="Y16" s="353" t="s">
        <v>62</v>
      </c>
      <c r="Z16" s="353" t="s">
        <v>107</v>
      </c>
      <c r="AA16" s="353" t="s">
        <v>108</v>
      </c>
      <c r="AB16" s="353" t="s">
        <v>109</v>
      </c>
      <c r="AC16" s="353" t="s">
        <v>40</v>
      </c>
      <c r="AD16" s="353" t="s">
        <v>55</v>
      </c>
      <c r="AE16" s="353" t="s">
        <v>95</v>
      </c>
      <c r="AF16" s="353" t="s">
        <v>94</v>
      </c>
      <c r="AG16" s="353" t="s">
        <v>39</v>
      </c>
      <c r="AH16" s="353" t="s">
        <v>54</v>
      </c>
      <c r="AI16" s="352" t="s">
        <v>148</v>
      </c>
      <c r="AJ16" s="352" t="s">
        <v>149</v>
      </c>
      <c r="AK16" s="353" t="s">
        <v>146</v>
      </c>
      <c r="AL16" s="354" t="s">
        <v>160</v>
      </c>
      <c r="AM16" s="354" t="s">
        <v>2523</v>
      </c>
    </row>
    <row r="17" spans="1:64" ht="25.5" x14ac:dyDescent="0.7">
      <c r="A17" s="355" t="s">
        <v>89</v>
      </c>
      <c r="B17" s="361">
        <v>11993</v>
      </c>
      <c r="C17" s="361">
        <v>8775</v>
      </c>
      <c r="D17" s="361">
        <v>11201</v>
      </c>
      <c r="E17" s="361">
        <v>20478</v>
      </c>
      <c r="F17" s="361">
        <v>10031</v>
      </c>
      <c r="G17" s="361">
        <v>17602</v>
      </c>
      <c r="H17" s="361">
        <v>14625</v>
      </c>
      <c r="I17" s="361">
        <v>22083</v>
      </c>
      <c r="J17" s="361">
        <v>12791</v>
      </c>
      <c r="K17" s="361">
        <v>19269</v>
      </c>
      <c r="L17" s="361">
        <v>23225</v>
      </c>
      <c r="M17" s="361">
        <v>26590</v>
      </c>
      <c r="N17" s="361">
        <v>15793</v>
      </c>
      <c r="O17" s="361">
        <v>20083</v>
      </c>
      <c r="P17" s="361">
        <v>26251</v>
      </c>
      <c r="Q17" s="361">
        <f t="shared" ref="Q17:Q24" si="9">Q6*AK18</f>
        <v>3515.3115561062182</v>
      </c>
      <c r="R17" s="361">
        <f t="shared" ref="R17:R19" si="10">R6*AL18</f>
        <v>33764.691843391316</v>
      </c>
      <c r="S17" s="361">
        <f t="shared" ref="S17:S19" si="11">S6*AM18</f>
        <v>29245.64898182204</v>
      </c>
      <c r="U17" s="94" t="s">
        <v>92</v>
      </c>
      <c r="V17" s="156">
        <f t="shared" ref="V17:AJ17" si="12">B16/B5</f>
        <v>0.99831918286428478</v>
      </c>
      <c r="W17" s="156">
        <f t="shared" si="12"/>
        <v>0.9581282038268284</v>
      </c>
      <c r="X17" s="156">
        <f t="shared" si="12"/>
        <v>0.95883777239709445</v>
      </c>
      <c r="Y17" s="156">
        <f t="shared" si="12"/>
        <v>1.0079214017802161</v>
      </c>
      <c r="Z17" s="156">
        <f t="shared" si="12"/>
        <v>0.47371146477025583</v>
      </c>
      <c r="AA17" s="156">
        <f t="shared" si="12"/>
        <v>0.98218029350104818</v>
      </c>
      <c r="AB17" s="156">
        <f t="shared" si="12"/>
        <v>0.86103468249945692</v>
      </c>
      <c r="AC17" s="156">
        <f t="shared" si="12"/>
        <v>0.96881027426259581</v>
      </c>
      <c r="AD17" s="156">
        <f t="shared" si="12"/>
        <v>0.32559105336537036</v>
      </c>
      <c r="AE17" s="156">
        <f t="shared" si="12"/>
        <v>0.60734121651885697</v>
      </c>
      <c r="AF17" s="156">
        <f t="shared" si="12"/>
        <v>0.77502371279775217</v>
      </c>
      <c r="AG17" s="156">
        <f t="shared" si="12"/>
        <v>1.003211829227646</v>
      </c>
      <c r="AH17" s="156">
        <f t="shared" si="12"/>
        <v>0.77396137026239065</v>
      </c>
      <c r="AI17" s="156">
        <f t="shared" si="12"/>
        <v>1</v>
      </c>
      <c r="AJ17" s="156">
        <f t="shared" si="12"/>
        <v>0.8937555175017815</v>
      </c>
      <c r="AK17" s="229">
        <f>AJ17</f>
        <v>0.8937555175017815</v>
      </c>
      <c r="AL17" s="229">
        <f>AVERAGE(AJ17,AG17,AC17,V17:Y17)</f>
        <v>0.96985488312292101</v>
      </c>
      <c r="AM17" s="229">
        <f>AVERAGE(AL17,AI17,AG17,AC17,V17:Y17)</f>
        <v>0.98313544343519832</v>
      </c>
    </row>
    <row r="18" spans="1:64" ht="25.5" x14ac:dyDescent="0.7">
      <c r="A18" s="355" t="s">
        <v>125</v>
      </c>
      <c r="B18" s="361">
        <v>1317</v>
      </c>
      <c r="C18" s="361">
        <v>609</v>
      </c>
      <c r="D18" s="361">
        <v>1333</v>
      </c>
      <c r="E18" s="361">
        <v>1293</v>
      </c>
      <c r="F18" s="361">
        <v>705</v>
      </c>
      <c r="G18" s="361">
        <v>1520</v>
      </c>
      <c r="H18" s="361">
        <v>2328</v>
      </c>
      <c r="I18" s="361">
        <v>3026</v>
      </c>
      <c r="J18" s="361">
        <v>1279</v>
      </c>
      <c r="K18" s="361">
        <v>5483</v>
      </c>
      <c r="L18" s="361">
        <v>5993</v>
      </c>
      <c r="M18" s="361">
        <v>2183</v>
      </c>
      <c r="N18" s="361">
        <v>1866</v>
      </c>
      <c r="O18" s="361">
        <v>3184</v>
      </c>
      <c r="P18" s="361">
        <v>3512</v>
      </c>
      <c r="Q18" s="361">
        <f>R18-P18</f>
        <v>903.41947077556506</v>
      </c>
      <c r="R18" s="361">
        <f t="shared" si="10"/>
        <v>4415.4194707755651</v>
      </c>
      <c r="S18" s="361">
        <f t="shared" si="11"/>
        <v>3488.0799398644381</v>
      </c>
      <c r="U18" s="94" t="s">
        <v>89</v>
      </c>
      <c r="V18" s="156">
        <f t="shared" ref="V18:V20" si="13">B17/B6</f>
        <v>1.0378158532364139</v>
      </c>
      <c r="W18" s="156">
        <f t="shared" ref="W18:Z20" si="14">C17/C6</f>
        <v>0.9984070997838207</v>
      </c>
      <c r="X18" s="156">
        <f t="shared" si="14"/>
        <v>1</v>
      </c>
      <c r="Y18" s="156">
        <f t="shared" si="14"/>
        <v>0.79038172063761625</v>
      </c>
      <c r="Z18" s="156">
        <f t="shared" si="14"/>
        <v>1</v>
      </c>
      <c r="AA18" s="156">
        <v>0</v>
      </c>
      <c r="AB18" s="156">
        <v>0</v>
      </c>
      <c r="AC18" s="156">
        <f t="shared" ref="AC18:AD20" si="15">I17/I6</f>
        <v>1</v>
      </c>
      <c r="AD18" s="156">
        <f t="shared" si="15"/>
        <v>1</v>
      </c>
      <c r="AE18" s="156">
        <v>0</v>
      </c>
      <c r="AF18" s="156">
        <v>0</v>
      </c>
      <c r="AG18" s="156">
        <f t="shared" ref="AG18:AJ20" si="16">M17/M6</f>
        <v>1</v>
      </c>
      <c r="AH18" s="156">
        <f t="shared" si="16"/>
        <v>1.4393911775428363</v>
      </c>
      <c r="AI18" s="156">
        <f t="shared" si="16"/>
        <v>0.95153037051075529</v>
      </c>
      <c r="AJ18" s="156">
        <f t="shared" si="16"/>
        <v>0.87904765093928938</v>
      </c>
      <c r="AK18" s="229">
        <f t="shared" ref="AK18:AK20" si="17">AJ18</f>
        <v>0.87904765093928938</v>
      </c>
      <c r="AL18" s="229">
        <f>AVERAGE(AJ18,AI18,AG18,AC18,V18:Y18)</f>
        <v>0.95714783688848692</v>
      </c>
      <c r="AM18" s="229">
        <f>AVERAGE(AL18,AI18:AJ18,AG18,AC18,Z18,V18:Y18)</f>
        <v>0.96143305319963834</v>
      </c>
    </row>
    <row r="19" spans="1:64" ht="25.5" x14ac:dyDescent="0.7">
      <c r="A19" s="355" t="s">
        <v>86</v>
      </c>
      <c r="B19" s="361">
        <v>6298</v>
      </c>
      <c r="C19" s="361">
        <v>4479</v>
      </c>
      <c r="D19" s="361">
        <v>6813</v>
      </c>
      <c r="E19" s="361">
        <v>3639</v>
      </c>
      <c r="F19" s="361">
        <v>5092</v>
      </c>
      <c r="G19" s="361">
        <v>8053</v>
      </c>
      <c r="H19" s="361">
        <v>9756</v>
      </c>
      <c r="I19" s="361">
        <v>11713</v>
      </c>
      <c r="J19" s="361">
        <v>6395</v>
      </c>
      <c r="K19" s="361">
        <v>11142</v>
      </c>
      <c r="L19" s="361">
        <v>12066</v>
      </c>
      <c r="M19" s="357">
        <v>11897</v>
      </c>
      <c r="N19" s="361">
        <v>6130</v>
      </c>
      <c r="O19" s="361">
        <v>7968</v>
      </c>
      <c r="P19" s="361">
        <v>9983</v>
      </c>
      <c r="Q19" s="361">
        <f t="shared" si="9"/>
        <v>3564.9616570655267</v>
      </c>
      <c r="R19" s="361">
        <f t="shared" si="10"/>
        <v>13961.186814442093</v>
      </c>
      <c r="S19" s="361">
        <f t="shared" si="11"/>
        <v>12467.502428746839</v>
      </c>
      <c r="U19" s="355" t="s">
        <v>125</v>
      </c>
      <c r="V19" s="156">
        <f t="shared" si="13"/>
        <v>0.99848369977255491</v>
      </c>
      <c r="W19" s="156">
        <f t="shared" si="14"/>
        <v>0.99509803921568629</v>
      </c>
      <c r="X19" s="156">
        <f t="shared" si="14"/>
        <v>1</v>
      </c>
      <c r="Y19" s="156">
        <f t="shared" si="14"/>
        <v>0.8363518758085382</v>
      </c>
      <c r="Z19" s="156">
        <f t="shared" si="14"/>
        <v>1</v>
      </c>
      <c r="AA19" s="156">
        <v>0</v>
      </c>
      <c r="AB19" s="156">
        <v>0</v>
      </c>
      <c r="AC19" s="156">
        <f t="shared" si="15"/>
        <v>1.9509993552546745</v>
      </c>
      <c r="AD19" s="156">
        <f t="shared" si="15"/>
        <v>1</v>
      </c>
      <c r="AE19" s="156">
        <v>0</v>
      </c>
      <c r="AF19" s="156">
        <v>0</v>
      </c>
      <c r="AG19" s="156">
        <f t="shared" si="16"/>
        <v>0.9413540319103062</v>
      </c>
      <c r="AH19" s="156">
        <f t="shared" si="16"/>
        <v>1.0424581005586593</v>
      </c>
      <c r="AI19" s="156">
        <f t="shared" si="16"/>
        <v>1.0442768120695309</v>
      </c>
      <c r="AJ19" s="156">
        <f t="shared" si="16"/>
        <v>1.0335491465567981</v>
      </c>
      <c r="AK19" s="229">
        <f t="shared" si="17"/>
        <v>1.0335491465567981</v>
      </c>
      <c r="AL19" s="229">
        <f t="shared" ref="AL19:AL20" si="18">AVERAGE(AJ19,AI19,AG19,AC19,V19:Y19)</f>
        <v>1.1000141200735112</v>
      </c>
      <c r="AM19" s="229">
        <f t="shared" ref="AM19:AM20" si="19">AVERAGE(AL19,AI19:AJ19,AG19,AC19,Z19,V19:Y19)</f>
        <v>1.0900127080661601</v>
      </c>
    </row>
    <row r="20" spans="1:64" ht="26.25" thickBot="1" x14ac:dyDescent="0.75">
      <c r="A20" s="355" t="s">
        <v>124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>
        <v>6004</v>
      </c>
      <c r="N20" s="361"/>
      <c r="O20" s="361"/>
      <c r="P20" s="361">
        <v>4634.6000000000004</v>
      </c>
      <c r="Q20" s="361">
        <f>R20-P20</f>
        <v>14289.4</v>
      </c>
      <c r="R20" s="361">
        <f>R10</f>
        <v>18924</v>
      </c>
      <c r="S20" s="361">
        <f>R20</f>
        <v>18924</v>
      </c>
      <c r="U20" s="97" t="s">
        <v>86</v>
      </c>
      <c r="V20" s="156">
        <f t="shared" si="13"/>
        <v>1.0009535918626828</v>
      </c>
      <c r="W20" s="156">
        <f t="shared" si="14"/>
        <v>0.9098110907982937</v>
      </c>
      <c r="X20" s="156">
        <f t="shared" si="14"/>
        <v>1</v>
      </c>
      <c r="Y20" s="156">
        <f t="shared" si="14"/>
        <v>0.29072461452424703</v>
      </c>
      <c r="Z20" s="156">
        <f t="shared" si="14"/>
        <v>1</v>
      </c>
      <c r="AA20" s="156">
        <v>0</v>
      </c>
      <c r="AB20" s="156">
        <v>0</v>
      </c>
      <c r="AC20" s="156">
        <f t="shared" si="15"/>
        <v>1.0447774507180447</v>
      </c>
      <c r="AD20" s="156">
        <f t="shared" si="15"/>
        <v>1</v>
      </c>
      <c r="AE20" s="156">
        <v>0</v>
      </c>
      <c r="AF20" s="156">
        <v>0</v>
      </c>
      <c r="AG20" s="156">
        <f t="shared" si="16"/>
        <v>1.0260457093574817</v>
      </c>
      <c r="AH20" s="156">
        <f t="shared" si="16"/>
        <v>1.2859240612544578</v>
      </c>
      <c r="AI20" s="156">
        <f t="shared" si="16"/>
        <v>0.98140165044956273</v>
      </c>
      <c r="AJ20" s="156">
        <f t="shared" si="16"/>
        <v>0.73824014434987095</v>
      </c>
      <c r="AK20" s="229">
        <f t="shared" si="17"/>
        <v>0.73824014434987095</v>
      </c>
      <c r="AL20" s="229">
        <f t="shared" si="18"/>
        <v>0.87399428150752301</v>
      </c>
      <c r="AM20" s="229">
        <f t="shared" si="19"/>
        <v>0.88659485335677068</v>
      </c>
      <c r="AO20" s="365"/>
      <c r="AP20" s="364"/>
      <c r="AQ20" s="365"/>
      <c r="AR20" s="365"/>
      <c r="AS20" s="365"/>
      <c r="AT20" s="365"/>
      <c r="AU20" s="364"/>
      <c r="AV20" s="365"/>
      <c r="AW20" s="365"/>
      <c r="AX20" s="365"/>
      <c r="AY20" s="365"/>
    </row>
    <row r="21" spans="1:64" x14ac:dyDescent="0.6">
      <c r="A21" s="355" t="s">
        <v>128</v>
      </c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>
        <v>126</v>
      </c>
      <c r="Q21" s="361">
        <f>R21-P21</f>
        <v>222874</v>
      </c>
      <c r="R21" s="361">
        <f>R11</f>
        <v>223000</v>
      </c>
      <c r="S21" s="361">
        <f>R21</f>
        <v>223000</v>
      </c>
      <c r="AO21" s="365"/>
      <c r="AP21" s="364"/>
      <c r="AQ21" s="365"/>
      <c r="AR21" s="365"/>
      <c r="AS21" s="366"/>
      <c r="AT21" s="365"/>
      <c r="AU21" s="364"/>
      <c r="AV21" s="365"/>
      <c r="AW21" s="365"/>
      <c r="AX21" s="366"/>
      <c r="AY21" s="366"/>
    </row>
    <row r="22" spans="1:64" x14ac:dyDescent="0.6">
      <c r="A22" s="355" t="s">
        <v>129</v>
      </c>
      <c r="B22" s="361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>
        <v>8667</v>
      </c>
      <c r="R22" s="361"/>
      <c r="S22" s="361"/>
      <c r="W22" s="371"/>
      <c r="X22" s="371"/>
      <c r="Y22" s="371"/>
    </row>
    <row r="23" spans="1:64" x14ac:dyDescent="0.6">
      <c r="A23" s="355" t="s">
        <v>126</v>
      </c>
      <c r="B23" s="361">
        <v>50368</v>
      </c>
      <c r="C23" s="361">
        <v>82938</v>
      </c>
      <c r="D23" s="361">
        <v>32291</v>
      </c>
      <c r="E23" s="361">
        <v>49630</v>
      </c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>
        <v>19904</v>
      </c>
      <c r="Q23" s="361">
        <f t="shared" si="9"/>
        <v>0</v>
      </c>
      <c r="R23" s="361">
        <v>19904</v>
      </c>
      <c r="S23" s="361">
        <v>19904</v>
      </c>
      <c r="AE23" s="371"/>
      <c r="AF23" s="371"/>
      <c r="AO23" s="365"/>
      <c r="AQ23" s="365"/>
      <c r="AR23" s="365"/>
      <c r="AS23" s="365"/>
      <c r="AT23" s="365"/>
      <c r="AV23" s="365"/>
      <c r="AW23" s="365"/>
      <c r="AX23" s="365"/>
      <c r="AY23" s="365"/>
    </row>
    <row r="24" spans="1:64" ht="23.25" thickBot="1" x14ac:dyDescent="0.65">
      <c r="A24" s="368" t="s">
        <v>127</v>
      </c>
      <c r="B24" s="361"/>
      <c r="C24" s="361"/>
      <c r="D24" s="361"/>
      <c r="E24" s="361"/>
      <c r="F24" s="361">
        <v>0</v>
      </c>
      <c r="G24" s="361">
        <v>0</v>
      </c>
      <c r="H24" s="361">
        <v>3450</v>
      </c>
      <c r="I24" s="361">
        <v>14808</v>
      </c>
      <c r="J24" s="361">
        <v>4084</v>
      </c>
      <c r="K24" s="361">
        <v>4033</v>
      </c>
      <c r="L24" s="361">
        <v>6004</v>
      </c>
      <c r="M24" s="361">
        <v>7038</v>
      </c>
      <c r="N24" s="361"/>
      <c r="O24" s="361"/>
      <c r="P24" s="361">
        <v>0</v>
      </c>
      <c r="Q24" s="361">
        <f t="shared" si="9"/>
        <v>0</v>
      </c>
      <c r="R24" s="361">
        <f>AVERAGE(M24,I24)</f>
        <v>10923</v>
      </c>
      <c r="S24" s="361">
        <f>AVERAGE(R24,M24,I24)</f>
        <v>10923</v>
      </c>
      <c r="T24" s="365"/>
      <c r="U24" s="364"/>
      <c r="V24" s="365"/>
      <c r="W24" s="371"/>
      <c r="X24" s="371"/>
      <c r="AE24" s="371"/>
      <c r="AF24" s="371"/>
    </row>
    <row r="25" spans="1:64" ht="23.25" thickBot="1" x14ac:dyDescent="0.65">
      <c r="A25" s="357"/>
      <c r="O25" s="357"/>
      <c r="T25" s="366"/>
      <c r="V25" s="366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7"/>
      <c r="AL25" s="357"/>
      <c r="AM25" s="357"/>
      <c r="AN25" s="357"/>
      <c r="AO25" s="357"/>
      <c r="AP25" s="357"/>
      <c r="AQ25" s="357"/>
      <c r="AR25" s="357"/>
      <c r="AS25" s="357"/>
      <c r="AT25" s="357"/>
      <c r="AU25" s="357"/>
      <c r="AV25" s="357"/>
      <c r="AW25" s="357"/>
      <c r="AX25" s="357"/>
      <c r="AY25" s="357"/>
      <c r="AZ25" s="357"/>
      <c r="BA25" s="357"/>
      <c r="BB25" s="357"/>
      <c r="BC25" s="357"/>
      <c r="BD25" s="357"/>
      <c r="BE25" s="357"/>
      <c r="BF25" s="357"/>
      <c r="BG25" s="357"/>
      <c r="BH25" s="357"/>
      <c r="BI25" s="357"/>
      <c r="BJ25" s="357"/>
      <c r="BK25" s="357"/>
      <c r="BL25" s="357"/>
    </row>
    <row r="26" spans="1:64" x14ac:dyDescent="0.6">
      <c r="A26" s="356" t="s">
        <v>99</v>
      </c>
      <c r="B26" s="349" t="s">
        <v>132</v>
      </c>
      <c r="C26" s="349" t="s">
        <v>133</v>
      </c>
      <c r="D26" s="349" t="s">
        <v>134</v>
      </c>
      <c r="E26" s="350" t="s">
        <v>135</v>
      </c>
      <c r="F26" s="350" t="s">
        <v>136</v>
      </c>
      <c r="G26" s="350" t="s">
        <v>137</v>
      </c>
      <c r="H26" s="350" t="s">
        <v>154</v>
      </c>
      <c r="I26" s="350" t="s">
        <v>138</v>
      </c>
      <c r="J26" s="350" t="s">
        <v>139</v>
      </c>
      <c r="K26" s="350" t="s">
        <v>140</v>
      </c>
      <c r="L26" s="350" t="s">
        <v>141</v>
      </c>
      <c r="M26" s="350" t="s">
        <v>142</v>
      </c>
      <c r="N26" s="350" t="s">
        <v>143</v>
      </c>
      <c r="O26" s="349" t="s">
        <v>144</v>
      </c>
      <c r="P26" s="350" t="s">
        <v>145</v>
      </c>
      <c r="Q26" s="350" t="s">
        <v>2520</v>
      </c>
      <c r="R26" s="350" t="s">
        <v>147</v>
      </c>
      <c r="S26" s="351" t="s">
        <v>2522</v>
      </c>
      <c r="T26" s="365"/>
      <c r="U26" s="364"/>
      <c r="V26" s="365"/>
    </row>
    <row r="27" spans="1:64" x14ac:dyDescent="0.6">
      <c r="A27" s="355"/>
      <c r="B27" s="352" t="s">
        <v>106</v>
      </c>
      <c r="C27" s="352" t="s">
        <v>97</v>
      </c>
      <c r="D27" s="352" t="s">
        <v>96</v>
      </c>
      <c r="E27" s="353" t="s">
        <v>62</v>
      </c>
      <c r="F27" s="353" t="s">
        <v>107</v>
      </c>
      <c r="G27" s="353" t="s">
        <v>108</v>
      </c>
      <c r="H27" s="353" t="s">
        <v>109</v>
      </c>
      <c r="I27" s="353" t="s">
        <v>40</v>
      </c>
      <c r="J27" s="353" t="s">
        <v>55</v>
      </c>
      <c r="K27" s="353" t="s">
        <v>95</v>
      </c>
      <c r="L27" s="353" t="s">
        <v>94</v>
      </c>
      <c r="M27" s="353" t="s">
        <v>39</v>
      </c>
      <c r="N27" s="353" t="s">
        <v>54</v>
      </c>
      <c r="O27" s="352" t="s">
        <v>148</v>
      </c>
      <c r="P27" s="353" t="s">
        <v>149</v>
      </c>
      <c r="Q27" s="353" t="s">
        <v>146</v>
      </c>
      <c r="R27" s="353" t="s">
        <v>160</v>
      </c>
      <c r="S27" s="354" t="s">
        <v>2523</v>
      </c>
      <c r="T27" s="365"/>
      <c r="U27" s="364"/>
      <c r="V27" s="365"/>
      <c r="AO27" s="366"/>
      <c r="AQ27" s="366"/>
      <c r="AR27" s="366"/>
      <c r="AS27" s="366"/>
      <c r="AT27" s="366"/>
      <c r="AV27" s="366"/>
      <c r="AW27" s="366"/>
      <c r="AX27" s="366"/>
      <c r="AY27" s="366"/>
    </row>
    <row r="28" spans="1:64" x14ac:dyDescent="0.6">
      <c r="A28" s="355" t="s">
        <v>121</v>
      </c>
      <c r="B28" s="361">
        <v>299192</v>
      </c>
      <c r="C28" s="361">
        <v>361662</v>
      </c>
      <c r="D28" s="361">
        <v>730119</v>
      </c>
      <c r="E28" s="361">
        <v>975446</v>
      </c>
      <c r="F28" s="361">
        <v>378178</v>
      </c>
      <c r="G28" s="361">
        <v>1024743</v>
      </c>
      <c r="H28" s="361">
        <v>1310919</v>
      </c>
      <c r="I28" s="361">
        <v>1627088</v>
      </c>
      <c r="J28" s="361">
        <v>314023</v>
      </c>
      <c r="K28" s="361">
        <v>795112</v>
      </c>
      <c r="L28" s="361">
        <v>1238984</v>
      </c>
      <c r="M28" s="372">
        <v>1776628.94</v>
      </c>
      <c r="N28" s="361">
        <v>788914</v>
      </c>
      <c r="O28" s="361">
        <v>1588257</v>
      </c>
      <c r="P28" s="361">
        <v>1587252</v>
      </c>
      <c r="Q28" s="361">
        <f t="shared" ref="Q28:Q35" si="20">Q16*Q42/1000000</f>
        <v>374701.4767227901</v>
      </c>
      <c r="R28" s="361"/>
      <c r="S28" s="362">
        <f>S16*S42/1000000</f>
        <v>2606874.7423501178</v>
      </c>
      <c r="T28" s="365"/>
      <c r="U28" s="364"/>
      <c r="V28" s="365"/>
    </row>
    <row r="29" spans="1:64" x14ac:dyDescent="0.6">
      <c r="A29" s="355" t="s">
        <v>89</v>
      </c>
      <c r="B29" s="361">
        <v>45318</v>
      </c>
      <c r="C29" s="361">
        <v>39246</v>
      </c>
      <c r="D29" s="361">
        <v>89593</v>
      </c>
      <c r="E29" s="361">
        <v>87232</v>
      </c>
      <c r="F29" s="361">
        <v>73292</v>
      </c>
      <c r="G29" s="361">
        <v>83792</v>
      </c>
      <c r="H29" s="361">
        <v>106850</v>
      </c>
      <c r="I29" s="361">
        <v>161350</v>
      </c>
      <c r="J29" s="361">
        <v>108722</v>
      </c>
      <c r="K29" s="361">
        <v>158522</v>
      </c>
      <c r="L29" s="361">
        <v>192765</v>
      </c>
      <c r="M29" s="372">
        <v>225480</v>
      </c>
      <c r="N29" s="361">
        <v>165647</v>
      </c>
      <c r="O29" s="361">
        <v>182037</v>
      </c>
      <c r="P29" s="361">
        <v>299728</v>
      </c>
      <c r="Q29" s="361">
        <f t="shared" si="20"/>
        <v>40137.034859190302</v>
      </c>
      <c r="R29" s="361"/>
      <c r="S29" s="362">
        <f t="shared" ref="S29:S35" si="21">S17*S43/1000000</f>
        <v>429573.49880404596</v>
      </c>
      <c r="T29" s="365"/>
      <c r="U29" s="364"/>
      <c r="V29" s="365"/>
      <c r="AQ29" s="366"/>
      <c r="AR29" s="366"/>
      <c r="AS29" s="366"/>
      <c r="AV29" s="366"/>
      <c r="AW29" s="366"/>
      <c r="AX29" s="366"/>
    </row>
    <row r="30" spans="1:64" x14ac:dyDescent="0.6">
      <c r="A30" s="355" t="s">
        <v>125</v>
      </c>
      <c r="B30" s="361">
        <v>1099</v>
      </c>
      <c r="C30" s="361">
        <v>664</v>
      </c>
      <c r="D30" s="361">
        <v>2425</v>
      </c>
      <c r="E30" s="361">
        <v>2005</v>
      </c>
      <c r="F30" s="361">
        <v>726</v>
      </c>
      <c r="G30" s="361">
        <v>1961</v>
      </c>
      <c r="H30" s="361">
        <v>2398</v>
      </c>
      <c r="I30" s="361">
        <v>3117</v>
      </c>
      <c r="J30" s="361">
        <v>1535</v>
      </c>
      <c r="K30" s="361">
        <v>7141</v>
      </c>
      <c r="L30" s="361">
        <v>7671</v>
      </c>
      <c r="M30" s="372">
        <v>3625.4</v>
      </c>
      <c r="N30" s="361">
        <v>7106</v>
      </c>
      <c r="O30" s="361">
        <v>7936</v>
      </c>
      <c r="P30" s="361">
        <v>8446</v>
      </c>
      <c r="Q30" s="361">
        <f t="shared" si="20"/>
        <v>2172.6312215747212</v>
      </c>
      <c r="R30" s="361"/>
      <c r="S30" s="362">
        <f t="shared" si="21"/>
        <v>10791.399078807761</v>
      </c>
      <c r="T30" s="366"/>
      <c r="U30" s="364"/>
      <c r="V30" s="365"/>
    </row>
    <row r="31" spans="1:64" x14ac:dyDescent="0.6">
      <c r="A31" s="355" t="s">
        <v>86</v>
      </c>
      <c r="B31" s="361">
        <v>11489</v>
      </c>
      <c r="C31" s="361">
        <v>25893</v>
      </c>
      <c r="D31" s="361">
        <v>28140</v>
      </c>
      <c r="E31" s="361">
        <v>40795</v>
      </c>
      <c r="F31" s="361">
        <v>14728</v>
      </c>
      <c r="G31" s="361">
        <v>22181</v>
      </c>
      <c r="H31" s="361">
        <v>28223</v>
      </c>
      <c r="I31" s="361">
        <v>33880</v>
      </c>
      <c r="J31" s="361">
        <v>22384</v>
      </c>
      <c r="K31" s="361">
        <v>33743</v>
      </c>
      <c r="L31" s="361">
        <v>41024</v>
      </c>
      <c r="M31" s="372">
        <v>40275</v>
      </c>
      <c r="N31" s="361">
        <v>45525</v>
      </c>
      <c r="O31" s="361">
        <v>61602</v>
      </c>
      <c r="P31" s="361">
        <v>105462</v>
      </c>
      <c r="Q31" s="361">
        <f t="shared" si="20"/>
        <v>37660.822025187277</v>
      </c>
      <c r="R31" s="361"/>
      <c r="S31" s="362">
        <f t="shared" si="21"/>
        <v>169437.34891026322</v>
      </c>
      <c r="T31" s="364"/>
      <c r="U31" s="364"/>
      <c r="V31" s="365"/>
      <c r="AE31" s="371"/>
      <c r="AO31" s="366"/>
      <c r="AQ31" s="366"/>
      <c r="AR31" s="366"/>
      <c r="AS31" s="366"/>
      <c r="AT31" s="366"/>
      <c r="AV31" s="366"/>
      <c r="AW31" s="366"/>
      <c r="AX31" s="366"/>
      <c r="AY31" s="366"/>
    </row>
    <row r="32" spans="1:64" x14ac:dyDescent="0.6">
      <c r="A32" s="355" t="s">
        <v>124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72">
        <v>151300.79999999999</v>
      </c>
      <c r="N32" s="361"/>
      <c r="O32" s="361"/>
      <c r="P32" s="361">
        <v>139040</v>
      </c>
      <c r="Q32" s="361">
        <f>Q20*Q46/1000000</f>
        <v>428688.16640055232</v>
      </c>
      <c r="R32" s="361"/>
      <c r="S32" s="362">
        <f t="shared" si="21"/>
        <v>730356.99881941441</v>
      </c>
      <c r="W32" s="371"/>
      <c r="X32" s="371"/>
      <c r="AE32" s="371"/>
      <c r="AF32" s="371"/>
      <c r="AO32" s="366"/>
      <c r="AQ32" s="366"/>
      <c r="AR32" s="366"/>
      <c r="AS32" s="366"/>
      <c r="AT32" s="366"/>
      <c r="AV32" s="366"/>
      <c r="AW32" s="366"/>
      <c r="AX32" s="366"/>
      <c r="AY32" s="366"/>
    </row>
    <row r="33" spans="1:64" x14ac:dyDescent="0.6">
      <c r="A33" s="355" t="s">
        <v>128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7"/>
      <c r="N33" s="361"/>
      <c r="O33" s="361"/>
      <c r="P33" s="361">
        <v>5398</v>
      </c>
      <c r="Q33" s="361">
        <f>Q21*Q47/1000000</f>
        <v>1203.073852</v>
      </c>
      <c r="R33" s="361"/>
      <c r="S33" s="362">
        <f t="shared" si="21"/>
        <v>1548.5759044348345</v>
      </c>
      <c r="W33" s="371"/>
      <c r="X33" s="371"/>
      <c r="AQ33" s="366"/>
      <c r="AR33" s="366"/>
      <c r="AS33" s="366"/>
      <c r="AT33" s="366"/>
      <c r="AU33" s="366"/>
      <c r="AV33" s="366"/>
      <c r="AW33" s="366"/>
      <c r="AX33" s="366"/>
      <c r="AY33" s="366"/>
    </row>
    <row r="34" spans="1:64" x14ac:dyDescent="0.6">
      <c r="A34" s="355" t="s">
        <v>129</v>
      </c>
      <c r="B34" s="361"/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>
        <v>8967</v>
      </c>
      <c r="Q34" s="361">
        <v>10171</v>
      </c>
      <c r="R34" s="361"/>
      <c r="S34" s="362">
        <f t="shared" si="21"/>
        <v>0</v>
      </c>
      <c r="W34" s="371"/>
      <c r="X34" s="371"/>
      <c r="AO34" s="365"/>
      <c r="AQ34" s="365"/>
      <c r="AR34" s="365"/>
      <c r="AS34" s="365"/>
      <c r="AT34" s="365"/>
      <c r="AV34" s="365"/>
      <c r="AW34" s="365"/>
      <c r="AX34" s="365"/>
      <c r="AY34" s="365"/>
    </row>
    <row r="35" spans="1:64" x14ac:dyDescent="0.6">
      <c r="A35" s="355" t="s">
        <v>126</v>
      </c>
      <c r="B35" s="361">
        <v>43973</v>
      </c>
      <c r="C35" s="361">
        <v>78457</v>
      </c>
      <c r="D35" s="361">
        <v>34188</v>
      </c>
      <c r="E35" s="361">
        <v>51275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>
        <v>43192</v>
      </c>
      <c r="Q35" s="361">
        <f t="shared" si="20"/>
        <v>0</v>
      </c>
      <c r="R35" s="361"/>
      <c r="S35" s="362">
        <f t="shared" si="21"/>
        <v>55564.584179449761</v>
      </c>
      <c r="X35" s="371"/>
    </row>
    <row r="36" spans="1:64" x14ac:dyDescent="0.6">
      <c r="A36" s="355" t="s">
        <v>127</v>
      </c>
      <c r="B36" s="361">
        <v>0</v>
      </c>
      <c r="C36" s="361">
        <v>87975</v>
      </c>
      <c r="D36" s="361"/>
      <c r="E36" s="361"/>
      <c r="F36" s="361">
        <v>0</v>
      </c>
      <c r="G36" s="361">
        <v>0</v>
      </c>
      <c r="H36" s="361">
        <v>86940</v>
      </c>
      <c r="I36" s="361">
        <v>378939</v>
      </c>
      <c r="J36" s="361">
        <v>102917</v>
      </c>
      <c r="K36" s="361">
        <v>101631</v>
      </c>
      <c r="L36" s="361">
        <v>151301</v>
      </c>
      <c r="M36" s="361">
        <v>177358</v>
      </c>
      <c r="N36" s="361"/>
      <c r="O36" s="361"/>
      <c r="P36" s="361"/>
      <c r="Q36" s="361"/>
      <c r="R36" s="361"/>
      <c r="S36" s="362"/>
      <c r="X36" s="371"/>
    </row>
    <row r="37" spans="1:64" ht="23.25" thickBot="1" x14ac:dyDescent="0.65">
      <c r="A37" s="368" t="s">
        <v>64</v>
      </c>
      <c r="B37" s="369">
        <f>SUM(B28:B36)</f>
        <v>401071</v>
      </c>
      <c r="C37" s="369">
        <f t="shared" ref="C37:S37" si="22">SUM(C28:C36)</f>
        <v>593897</v>
      </c>
      <c r="D37" s="369">
        <f t="shared" si="22"/>
        <v>884465</v>
      </c>
      <c r="E37" s="369">
        <f t="shared" si="22"/>
        <v>1156753</v>
      </c>
      <c r="F37" s="369">
        <f t="shared" si="22"/>
        <v>466924</v>
      </c>
      <c r="G37" s="369">
        <f t="shared" si="22"/>
        <v>1132677</v>
      </c>
      <c r="H37" s="369">
        <f t="shared" si="22"/>
        <v>1535330</v>
      </c>
      <c r="I37" s="369">
        <f t="shared" si="22"/>
        <v>2204374</v>
      </c>
      <c r="J37" s="369">
        <f t="shared" si="22"/>
        <v>549581</v>
      </c>
      <c r="K37" s="369">
        <f t="shared" si="22"/>
        <v>1096149</v>
      </c>
      <c r="L37" s="369">
        <f t="shared" si="22"/>
        <v>1631745</v>
      </c>
      <c r="M37" s="369">
        <f t="shared" si="22"/>
        <v>2374668.1399999997</v>
      </c>
      <c r="N37" s="369">
        <f t="shared" si="22"/>
        <v>1007192</v>
      </c>
      <c r="O37" s="369">
        <f t="shared" si="22"/>
        <v>1839832</v>
      </c>
      <c r="P37" s="369">
        <f t="shared" si="22"/>
        <v>2197485</v>
      </c>
      <c r="Q37" s="369">
        <f>SUM(Q28:Q36)</f>
        <v>894734.20508129464</v>
      </c>
      <c r="R37" s="369">
        <f>Q37+P37</f>
        <v>3092219.2050812948</v>
      </c>
      <c r="S37" s="370">
        <f t="shared" si="22"/>
        <v>4004147.148046534</v>
      </c>
      <c r="X37" s="371"/>
    </row>
    <row r="38" spans="1:64" x14ac:dyDescent="0.6">
      <c r="A38" s="373"/>
      <c r="B38" s="374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X38" s="371"/>
    </row>
    <row r="39" spans="1:64" ht="23.25" thickBot="1" x14ac:dyDescent="0.65">
      <c r="A39" s="357"/>
      <c r="O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  <c r="AM39" s="357"/>
      <c r="AN39" s="357"/>
      <c r="AO39" s="357"/>
      <c r="AP39" s="357"/>
      <c r="AQ39" s="357"/>
      <c r="AR39" s="357"/>
      <c r="AS39" s="357"/>
      <c r="AT39" s="357"/>
      <c r="AU39" s="357"/>
      <c r="AV39" s="357"/>
      <c r="AW39" s="357"/>
      <c r="AX39" s="357"/>
      <c r="AY39" s="357"/>
      <c r="AZ39" s="357"/>
      <c r="BA39" s="357"/>
      <c r="BB39" s="357"/>
      <c r="BC39" s="357"/>
      <c r="BD39" s="357"/>
      <c r="BE39" s="357"/>
      <c r="BF39" s="357"/>
      <c r="BG39" s="357"/>
      <c r="BH39" s="357"/>
      <c r="BI39" s="357"/>
      <c r="BJ39" s="357"/>
      <c r="BK39" s="357"/>
      <c r="BL39" s="357"/>
    </row>
    <row r="40" spans="1:64" ht="23.25" thickBot="1" x14ac:dyDescent="0.65">
      <c r="A40" s="356" t="s">
        <v>98</v>
      </c>
      <c r="B40" s="349" t="s">
        <v>132</v>
      </c>
      <c r="C40" s="349" t="s">
        <v>133</v>
      </c>
      <c r="D40" s="349" t="s">
        <v>134</v>
      </c>
      <c r="E40" s="350" t="s">
        <v>135</v>
      </c>
      <c r="F40" s="350" t="s">
        <v>136</v>
      </c>
      <c r="G40" s="350" t="s">
        <v>137</v>
      </c>
      <c r="H40" s="350" t="s">
        <v>154</v>
      </c>
      <c r="I40" s="350" t="s">
        <v>138</v>
      </c>
      <c r="J40" s="350" t="s">
        <v>139</v>
      </c>
      <c r="K40" s="350" t="s">
        <v>140</v>
      </c>
      <c r="L40" s="350" t="s">
        <v>141</v>
      </c>
      <c r="M40" s="350" t="s">
        <v>142</v>
      </c>
      <c r="N40" s="350" t="s">
        <v>143</v>
      </c>
      <c r="O40" s="349" t="s">
        <v>144</v>
      </c>
      <c r="P40" s="350" t="s">
        <v>145</v>
      </c>
      <c r="Q40" s="350" t="s">
        <v>2520</v>
      </c>
      <c r="R40" s="350" t="s">
        <v>147</v>
      </c>
      <c r="S40" s="351" t="s">
        <v>2522</v>
      </c>
      <c r="U40" s="356" t="s">
        <v>98</v>
      </c>
      <c r="V40" s="349" t="s">
        <v>132</v>
      </c>
      <c r="W40" s="349" t="s">
        <v>133</v>
      </c>
      <c r="X40" s="349" t="s">
        <v>134</v>
      </c>
      <c r="Y40" s="350" t="s">
        <v>135</v>
      </c>
      <c r="Z40" s="350" t="s">
        <v>136</v>
      </c>
      <c r="AA40" s="350" t="s">
        <v>137</v>
      </c>
      <c r="AB40" s="350" t="s">
        <v>154</v>
      </c>
      <c r="AC40" s="350" t="s">
        <v>138</v>
      </c>
      <c r="AD40" s="350" t="s">
        <v>139</v>
      </c>
      <c r="AE40" s="350" t="s">
        <v>140</v>
      </c>
      <c r="AF40" s="350" t="s">
        <v>141</v>
      </c>
      <c r="AG40" s="350" t="s">
        <v>142</v>
      </c>
      <c r="AH40" s="350" t="s">
        <v>143</v>
      </c>
      <c r="AI40" s="349" t="s">
        <v>144</v>
      </c>
      <c r="AJ40" s="349" t="s">
        <v>145</v>
      </c>
      <c r="AK40" s="350" t="s">
        <v>2520</v>
      </c>
      <c r="AL40" s="350" t="s">
        <v>147</v>
      </c>
      <c r="AM40" s="351" t="s">
        <v>2522</v>
      </c>
    </row>
    <row r="41" spans="1:64" x14ac:dyDescent="0.6">
      <c r="A41" s="356"/>
      <c r="B41" s="352" t="s">
        <v>106</v>
      </c>
      <c r="C41" s="352" t="s">
        <v>97</v>
      </c>
      <c r="D41" s="352" t="s">
        <v>96</v>
      </c>
      <c r="E41" s="353" t="s">
        <v>62</v>
      </c>
      <c r="F41" s="353" t="s">
        <v>107</v>
      </c>
      <c r="G41" s="353" t="s">
        <v>108</v>
      </c>
      <c r="H41" s="353" t="s">
        <v>109</v>
      </c>
      <c r="I41" s="353" t="s">
        <v>40</v>
      </c>
      <c r="J41" s="353" t="s">
        <v>55</v>
      </c>
      <c r="K41" s="353" t="s">
        <v>95</v>
      </c>
      <c r="L41" s="353" t="s">
        <v>94</v>
      </c>
      <c r="M41" s="353" t="s">
        <v>39</v>
      </c>
      <c r="N41" s="353" t="s">
        <v>54</v>
      </c>
      <c r="O41" s="352" t="s">
        <v>148</v>
      </c>
      <c r="P41" s="353" t="s">
        <v>149</v>
      </c>
      <c r="Q41" s="353" t="s">
        <v>146</v>
      </c>
      <c r="R41" s="353" t="s">
        <v>160</v>
      </c>
      <c r="S41" s="354" t="s">
        <v>2523</v>
      </c>
      <c r="U41" s="355"/>
      <c r="V41" s="352" t="s">
        <v>106</v>
      </c>
      <c r="W41" s="352" t="s">
        <v>97</v>
      </c>
      <c r="X41" s="352" t="s">
        <v>96</v>
      </c>
      <c r="Y41" s="353" t="s">
        <v>62</v>
      </c>
      <c r="Z41" s="353" t="s">
        <v>107</v>
      </c>
      <c r="AA41" s="353" t="s">
        <v>108</v>
      </c>
      <c r="AB41" s="353" t="s">
        <v>109</v>
      </c>
      <c r="AC41" s="353" t="s">
        <v>40</v>
      </c>
      <c r="AD41" s="353" t="s">
        <v>55</v>
      </c>
      <c r="AE41" s="353" t="s">
        <v>95</v>
      </c>
      <c r="AF41" s="353" t="s">
        <v>94</v>
      </c>
      <c r="AG41" s="353" t="s">
        <v>39</v>
      </c>
      <c r="AH41" s="353" t="s">
        <v>54</v>
      </c>
      <c r="AI41" s="352" t="s">
        <v>148</v>
      </c>
      <c r="AJ41" s="352" t="s">
        <v>149</v>
      </c>
      <c r="AK41" s="353" t="s">
        <v>146</v>
      </c>
      <c r="AL41" s="353" t="s">
        <v>160</v>
      </c>
      <c r="AM41" s="354" t="s">
        <v>2523</v>
      </c>
    </row>
    <row r="42" spans="1:64" x14ac:dyDescent="0.6">
      <c r="A42" s="355" t="s">
        <v>121</v>
      </c>
      <c r="B42" s="361">
        <f t="shared" ref="B42:P42" si="23">B28*1000000/B16</f>
        <v>12916249.352443447</v>
      </c>
      <c r="C42" s="361">
        <f t="shared" si="23"/>
        <v>19157855.705053501</v>
      </c>
      <c r="D42" s="361">
        <f t="shared" si="23"/>
        <v>22484571.322985958</v>
      </c>
      <c r="E42" s="361">
        <f t="shared" si="23"/>
        <v>27088949.984726042</v>
      </c>
      <c r="F42" s="361">
        <f t="shared" si="23"/>
        <v>27559976.679784287</v>
      </c>
      <c r="G42" s="361">
        <f t="shared" si="23"/>
        <v>28042114.768902387</v>
      </c>
      <c r="H42" s="361">
        <f t="shared" si="23"/>
        <v>27559421.447642274</v>
      </c>
      <c r="I42" s="361">
        <f t="shared" si="23"/>
        <v>26335955.456281766</v>
      </c>
      <c r="J42" s="361">
        <f t="shared" si="23"/>
        <v>28609967.201166179</v>
      </c>
      <c r="K42" s="361">
        <f t="shared" si="23"/>
        <v>29319370.183266345</v>
      </c>
      <c r="L42" s="361">
        <f t="shared" si="23"/>
        <v>28609984.759617604</v>
      </c>
      <c r="M42" s="361">
        <f t="shared" si="23"/>
        <v>26830000</v>
      </c>
      <c r="N42" s="361">
        <f t="shared" si="23"/>
        <v>30956013.341181088</v>
      </c>
      <c r="O42" s="361">
        <f t="shared" si="23"/>
        <v>31795027.325686146</v>
      </c>
      <c r="P42" s="361">
        <f t="shared" si="23"/>
        <v>31481851.719623946</v>
      </c>
      <c r="Q42" s="361">
        <f>B142</f>
        <v>31481851.719623946</v>
      </c>
      <c r="R42" s="361"/>
      <c r="S42" s="372">
        <f>B150</f>
        <v>40500000</v>
      </c>
      <c r="U42" s="355" t="s">
        <v>121</v>
      </c>
      <c r="V42" s="375">
        <f>B42/B42</f>
        <v>1</v>
      </c>
      <c r="W42" s="375">
        <f t="shared" ref="W42:AI42" si="24">C42/C42</f>
        <v>1</v>
      </c>
      <c r="X42" s="375">
        <f t="shared" si="24"/>
        <v>1</v>
      </c>
      <c r="Y42" s="375">
        <f t="shared" si="24"/>
        <v>1</v>
      </c>
      <c r="Z42" s="375">
        <f t="shared" si="24"/>
        <v>1</v>
      </c>
      <c r="AA42" s="375">
        <f t="shared" si="24"/>
        <v>1</v>
      </c>
      <c r="AB42" s="375">
        <f t="shared" si="24"/>
        <v>1</v>
      </c>
      <c r="AC42" s="375">
        <f t="shared" si="24"/>
        <v>1</v>
      </c>
      <c r="AD42" s="375">
        <f t="shared" si="24"/>
        <v>1</v>
      </c>
      <c r="AE42" s="375">
        <f t="shared" si="24"/>
        <v>1</v>
      </c>
      <c r="AF42" s="375">
        <f t="shared" si="24"/>
        <v>1</v>
      </c>
      <c r="AG42" s="375">
        <f t="shared" si="24"/>
        <v>1</v>
      </c>
      <c r="AH42" s="375">
        <f t="shared" si="24"/>
        <v>1</v>
      </c>
      <c r="AI42" s="375">
        <f t="shared" si="24"/>
        <v>1</v>
      </c>
      <c r="AJ42" s="375">
        <f>P42/$P$42</f>
        <v>1</v>
      </c>
      <c r="AK42" s="367"/>
      <c r="AL42" s="367"/>
      <c r="AM42" s="376"/>
      <c r="AN42" s="365"/>
      <c r="AO42" s="365"/>
      <c r="AP42" s="365"/>
      <c r="AQ42" s="365"/>
      <c r="AR42" s="366"/>
      <c r="AS42" s="366"/>
      <c r="AT42" s="366"/>
      <c r="AU42" s="365"/>
      <c r="AV42" s="365"/>
      <c r="AW42" s="365"/>
      <c r="AX42" s="365"/>
      <c r="AY42" s="365"/>
      <c r="AZ42" s="366"/>
      <c r="BA42" s="365"/>
      <c r="BB42" s="365"/>
      <c r="BC42" s="365"/>
      <c r="BD42" s="365"/>
      <c r="BE42" s="365"/>
      <c r="BF42" s="365"/>
    </row>
    <row r="43" spans="1:64" x14ac:dyDescent="0.6">
      <c r="A43" s="355" t="s">
        <v>89</v>
      </c>
      <c r="B43" s="361">
        <f t="shared" ref="B43:P43" si="25">B29*1000000/B17</f>
        <v>3778704.2441424164</v>
      </c>
      <c r="C43" s="361">
        <f t="shared" si="25"/>
        <v>4472478.632478632</v>
      </c>
      <c r="D43" s="361">
        <f t="shared" si="25"/>
        <v>7998660.8338541202</v>
      </c>
      <c r="E43" s="361">
        <f t="shared" si="25"/>
        <v>4259790.9952143766</v>
      </c>
      <c r="F43" s="361">
        <f t="shared" si="25"/>
        <v>7306549.6959425779</v>
      </c>
      <c r="G43" s="361">
        <f t="shared" si="25"/>
        <v>4760368.1399840927</v>
      </c>
      <c r="H43" s="361">
        <f t="shared" si="25"/>
        <v>7305982.905982906</v>
      </c>
      <c r="I43" s="361">
        <f t="shared" si="25"/>
        <v>7306525.3815151928</v>
      </c>
      <c r="J43" s="361">
        <f t="shared" si="25"/>
        <v>8499882.7300445624</v>
      </c>
      <c r="K43" s="361">
        <f t="shared" si="25"/>
        <v>8226789.1431833515</v>
      </c>
      <c r="L43" s="361">
        <f t="shared" si="25"/>
        <v>8299892.3573735198</v>
      </c>
      <c r="M43" s="361">
        <f t="shared" si="25"/>
        <v>8479879.6540052649</v>
      </c>
      <c r="N43" s="361">
        <f t="shared" si="25"/>
        <v>10488634.205027543</v>
      </c>
      <c r="O43" s="361">
        <f t="shared" si="25"/>
        <v>9064233.4312602691</v>
      </c>
      <c r="P43" s="361">
        <f t="shared" si="25"/>
        <v>11417774.560969107</v>
      </c>
      <c r="Q43" s="361">
        <f>$Q$42*AK43</f>
        <v>11417774.560969107</v>
      </c>
      <c r="R43" s="361"/>
      <c r="S43" s="372">
        <f>$S$42*AM43</f>
        <v>14688458.412088998</v>
      </c>
      <c r="U43" s="355" t="s">
        <v>89</v>
      </c>
      <c r="V43" s="375">
        <f>B43/B42</f>
        <v>0.29255429660991916</v>
      </c>
      <c r="W43" s="375">
        <f t="shared" ref="W43:AI43" si="26">C43/C42</f>
        <v>0.23345403062509087</v>
      </c>
      <c r="X43" s="375">
        <f t="shared" si="26"/>
        <v>0.35573997471221946</v>
      </c>
      <c r="Y43" s="375">
        <f t="shared" si="26"/>
        <v>0.15725197904002322</v>
      </c>
      <c r="Z43" s="375">
        <f t="shared" si="26"/>
        <v>0.26511450937845155</v>
      </c>
      <c r="AA43" s="375">
        <f t="shared" si="26"/>
        <v>0.16975781531509726</v>
      </c>
      <c r="AB43" s="375">
        <f t="shared" si="26"/>
        <v>0.26509928446295222</v>
      </c>
      <c r="AC43" s="375">
        <f t="shared" si="26"/>
        <v>0.27743536374232469</v>
      </c>
      <c r="AD43" s="375">
        <f t="shared" si="26"/>
        <v>0.29709515814118431</v>
      </c>
      <c r="AE43" s="375">
        <f t="shared" si="26"/>
        <v>0.28059228734315328</v>
      </c>
      <c r="AF43" s="375">
        <f t="shared" si="26"/>
        <v>0.29010474584693396</v>
      </c>
      <c r="AG43" s="375">
        <f t="shared" si="26"/>
        <v>0.31605962184141873</v>
      </c>
      <c r="AH43" s="375">
        <f t="shared" si="26"/>
        <v>0.33882380426146186</v>
      </c>
      <c r="AI43" s="375">
        <f t="shared" si="26"/>
        <v>0.2850833666036065</v>
      </c>
      <c r="AJ43" s="375">
        <f t="shared" ref="AJ43:AJ49" si="27">P43/$P$42</f>
        <v>0.36267798548367897</v>
      </c>
      <c r="AK43" s="377">
        <f>AJ43</f>
        <v>0.36267798548367897</v>
      </c>
      <c r="AL43" s="377">
        <f>AK43</f>
        <v>0.36267798548367897</v>
      </c>
      <c r="AM43" s="377">
        <f>AL43</f>
        <v>0.36267798548367897</v>
      </c>
      <c r="AN43" s="365"/>
      <c r="AO43" s="365"/>
      <c r="AP43" s="365"/>
      <c r="AQ43" s="365"/>
      <c r="AR43" s="366"/>
      <c r="AS43" s="366"/>
      <c r="AT43" s="366"/>
      <c r="AU43" s="365"/>
      <c r="AV43" s="365"/>
      <c r="AW43" s="365"/>
      <c r="AX43" s="365"/>
      <c r="AY43" s="365"/>
      <c r="AZ43" s="365"/>
      <c r="BA43" s="365"/>
      <c r="BB43" s="365"/>
      <c r="BC43" s="365"/>
      <c r="BD43" s="365"/>
      <c r="BE43" s="365"/>
      <c r="BF43" s="365"/>
    </row>
    <row r="44" spans="1:64" x14ac:dyDescent="0.6">
      <c r="A44" s="355" t="s">
        <v>125</v>
      </c>
      <c r="B44" s="361">
        <f t="shared" ref="B44:P44" si="28">B30*1000000/B18</f>
        <v>834472.28549734247</v>
      </c>
      <c r="C44" s="361">
        <f t="shared" si="28"/>
        <v>1090311.9868637109</v>
      </c>
      <c r="D44" s="361">
        <f t="shared" si="28"/>
        <v>1819204.8012003</v>
      </c>
      <c r="E44" s="361">
        <f t="shared" si="28"/>
        <v>1550657.3859242073</v>
      </c>
      <c r="F44" s="361">
        <f t="shared" si="28"/>
        <v>1029787.2340425532</v>
      </c>
      <c r="G44" s="361">
        <f t="shared" si="28"/>
        <v>1290131.5789473683</v>
      </c>
      <c r="H44" s="361">
        <f t="shared" si="28"/>
        <v>1030068.7285223368</v>
      </c>
      <c r="I44" s="361">
        <f t="shared" si="28"/>
        <v>1030072.7032385988</v>
      </c>
      <c r="J44" s="361">
        <f t="shared" si="28"/>
        <v>1200156.3721657544</v>
      </c>
      <c r="K44" s="361">
        <f t="shared" si="28"/>
        <v>1302389.2029910632</v>
      </c>
      <c r="L44" s="361">
        <f t="shared" si="28"/>
        <v>1279993.3255464709</v>
      </c>
      <c r="M44" s="361">
        <f t="shared" si="28"/>
        <v>1660742.0980302335</v>
      </c>
      <c r="N44" s="361">
        <f t="shared" si="28"/>
        <v>3808145.7663451233</v>
      </c>
      <c r="O44" s="361">
        <f t="shared" si="28"/>
        <v>2492462.3115577889</v>
      </c>
      <c r="P44" s="361">
        <f t="shared" si="28"/>
        <v>2404897.4943052391</v>
      </c>
      <c r="Q44" s="361">
        <f t="shared" ref="Q44:Q45" si="29">$Q$42*AK44</f>
        <v>2404897.4943052391</v>
      </c>
      <c r="R44" s="361"/>
      <c r="S44" s="372">
        <f t="shared" ref="S44:S49" si="30">$S$42*AM44</f>
        <v>3093793.5095682358</v>
      </c>
      <c r="U44" s="355" t="s">
        <v>125</v>
      </c>
      <c r="V44" s="375">
        <f>B44/B42</f>
        <v>6.4606393290129543E-2</v>
      </c>
      <c r="W44" s="375">
        <f t="shared" ref="W44:AI44" si="31">C44/C42</f>
        <v>5.6912005375220884E-2</v>
      </c>
      <c r="X44" s="375">
        <f t="shared" si="31"/>
        <v>8.0909027575746056E-2</v>
      </c>
      <c r="Y44" s="375">
        <f t="shared" si="31"/>
        <v>5.7243170621177161E-2</v>
      </c>
      <c r="Z44" s="375">
        <f t="shared" si="31"/>
        <v>3.736531587118213E-2</v>
      </c>
      <c r="AA44" s="375">
        <f t="shared" si="31"/>
        <v>4.600692884896377E-2</v>
      </c>
      <c r="AB44" s="375">
        <f t="shared" si="31"/>
        <v>3.7376282752498054E-2</v>
      </c>
      <c r="AC44" s="375">
        <f t="shared" si="31"/>
        <v>3.9112790304818859E-2</v>
      </c>
      <c r="AD44" s="375">
        <f t="shared" si="31"/>
        <v>4.1948890179672578E-2</v>
      </c>
      <c r="AE44" s="375">
        <f t="shared" si="31"/>
        <v>4.442077694200898E-2</v>
      </c>
      <c r="AF44" s="375">
        <f t="shared" si="31"/>
        <v>4.4739392079409801E-2</v>
      </c>
      <c r="AG44" s="375">
        <f t="shared" si="31"/>
        <v>6.1898699143877509E-2</v>
      </c>
      <c r="AH44" s="375">
        <f t="shared" si="31"/>
        <v>0.123017965019388</v>
      </c>
      <c r="AI44" s="375">
        <f t="shared" si="31"/>
        <v>7.8391576331315535E-2</v>
      </c>
      <c r="AJ44" s="375">
        <f t="shared" si="27"/>
        <v>7.6389963199215705E-2</v>
      </c>
      <c r="AK44" s="377">
        <f t="shared" ref="AK44:AL49" si="32">AJ44</f>
        <v>7.6389963199215705E-2</v>
      </c>
      <c r="AL44" s="377">
        <f t="shared" si="32"/>
        <v>7.6389963199215705E-2</v>
      </c>
      <c r="AM44" s="377">
        <f t="shared" ref="AM44" si="33">AL44</f>
        <v>7.6389963199215705E-2</v>
      </c>
      <c r="AN44" s="365"/>
      <c r="AO44" s="365"/>
      <c r="AP44" s="365"/>
      <c r="AQ44" s="365"/>
      <c r="AR44" s="366"/>
      <c r="AS44" s="366"/>
      <c r="AT44" s="366"/>
      <c r="AU44" s="365"/>
      <c r="AV44" s="365"/>
      <c r="AW44" s="365"/>
      <c r="AX44" s="365"/>
      <c r="AY44" s="366"/>
      <c r="AZ44" s="366"/>
      <c r="BA44" s="366"/>
      <c r="BB44" s="366"/>
      <c r="BC44" s="365"/>
      <c r="BD44" s="365"/>
      <c r="BE44" s="365"/>
      <c r="BF44" s="365"/>
    </row>
    <row r="45" spans="1:64" x14ac:dyDescent="0.6">
      <c r="A45" s="355" t="s">
        <v>86</v>
      </c>
      <c r="B45" s="361">
        <f t="shared" ref="B45:P45" si="34">B31*1000000/B19</f>
        <v>1824229.9142584947</v>
      </c>
      <c r="C45" s="361">
        <f t="shared" si="34"/>
        <v>5780977.8968519755</v>
      </c>
      <c r="D45" s="361">
        <f t="shared" si="34"/>
        <v>4130339.0576838399</v>
      </c>
      <c r="E45" s="361">
        <f t="shared" si="34"/>
        <v>11210497.389392691</v>
      </c>
      <c r="F45" s="361">
        <f t="shared" si="34"/>
        <v>2892380.2042419482</v>
      </c>
      <c r="G45" s="361">
        <f t="shared" si="34"/>
        <v>2754377.2507140194</v>
      </c>
      <c r="H45" s="361">
        <f t="shared" si="34"/>
        <v>2892886.4288642886</v>
      </c>
      <c r="I45" s="361">
        <f t="shared" si="34"/>
        <v>2892512.5928455563</v>
      </c>
      <c r="J45" s="361">
        <f t="shared" si="34"/>
        <v>3500234.5582486317</v>
      </c>
      <c r="K45" s="361">
        <f t="shared" si="34"/>
        <v>3028450.9064799855</v>
      </c>
      <c r="L45" s="361">
        <f t="shared" si="34"/>
        <v>3399966.8489971822</v>
      </c>
      <c r="M45" s="361">
        <f t="shared" si="34"/>
        <v>3385307.2203076407</v>
      </c>
      <c r="N45" s="361">
        <f t="shared" si="34"/>
        <v>7426590.5383360526</v>
      </c>
      <c r="O45" s="361">
        <f t="shared" si="34"/>
        <v>7731174.6987951808</v>
      </c>
      <c r="P45" s="361">
        <f t="shared" si="34"/>
        <v>10564159.070419714</v>
      </c>
      <c r="Q45" s="361">
        <f t="shared" si="29"/>
        <v>10564159.070419714</v>
      </c>
      <c r="R45" s="361"/>
      <c r="S45" s="372">
        <f t="shared" si="30"/>
        <v>13590320.104496989</v>
      </c>
      <c r="U45" s="355" t="s">
        <v>86</v>
      </c>
      <c r="V45" s="375">
        <f>B45/B42</f>
        <v>0.14123526609629861</v>
      </c>
      <c r="W45" s="375">
        <f t="shared" ref="W45:AI48" si="35">C45/C42</f>
        <v>0.30175495555732035</v>
      </c>
      <c r="X45" s="375">
        <f t="shared" si="35"/>
        <v>0.1836965890233094</v>
      </c>
      <c r="Y45" s="375">
        <f t="shared" si="35"/>
        <v>0.41384023359021554</v>
      </c>
      <c r="Z45" s="375">
        <f t="shared" si="35"/>
        <v>0.10494857226652003</v>
      </c>
      <c r="AA45" s="375">
        <f t="shared" si="35"/>
        <v>9.8222879173453653E-2</v>
      </c>
      <c r="AB45" s="375">
        <f t="shared" si="35"/>
        <v>0.10496905511460862</v>
      </c>
      <c r="AC45" s="375">
        <f t="shared" si="35"/>
        <v>0.10983131398620366</v>
      </c>
      <c r="AD45" s="375">
        <f t="shared" si="35"/>
        <v>0.12234318668166658</v>
      </c>
      <c r="AE45" s="375">
        <f t="shared" si="35"/>
        <v>0.10329181314435039</v>
      </c>
      <c r="AF45" s="375">
        <f t="shared" si="35"/>
        <v>0.11883847116885446</v>
      </c>
      <c r="AG45" s="375">
        <f t="shared" si="35"/>
        <v>0.12617619158805965</v>
      </c>
      <c r="AH45" s="375">
        <f t="shared" si="35"/>
        <v>0.23990784783828692</v>
      </c>
      <c r="AI45" s="375">
        <f t="shared" si="35"/>
        <v>0.24315672446519401</v>
      </c>
      <c r="AJ45" s="375">
        <f t="shared" si="27"/>
        <v>0.33556345937029602</v>
      </c>
      <c r="AK45" s="377">
        <f t="shared" si="32"/>
        <v>0.33556345937029602</v>
      </c>
      <c r="AL45" s="377">
        <f t="shared" si="32"/>
        <v>0.33556345937029602</v>
      </c>
      <c r="AM45" s="377">
        <f t="shared" ref="AM45" si="36">AL45</f>
        <v>0.33556345937029602</v>
      </c>
      <c r="AN45" s="365"/>
      <c r="AO45" s="365"/>
      <c r="AP45" s="365"/>
      <c r="AQ45" s="365"/>
      <c r="AR45" s="366"/>
      <c r="AS45" s="366"/>
      <c r="AT45" s="366"/>
      <c r="AU45" s="365"/>
      <c r="AV45" s="365"/>
      <c r="AW45" s="365"/>
      <c r="AX45" s="365"/>
      <c r="AY45" s="365"/>
      <c r="AZ45" s="366"/>
      <c r="BA45" s="365"/>
      <c r="BB45" s="366"/>
      <c r="BC45" s="365"/>
      <c r="BD45" s="365"/>
      <c r="BE45" s="365"/>
      <c r="BF45" s="365"/>
    </row>
    <row r="46" spans="1:64" x14ac:dyDescent="0.6">
      <c r="A46" s="355" t="s">
        <v>124</v>
      </c>
      <c r="B46" s="361"/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>
        <f t="shared" ref="P46" si="37">P32*1000000/P20</f>
        <v>30000431.536702193</v>
      </c>
      <c r="Q46" s="361">
        <f t="shared" ref="Q46:Q49" si="38">P46</f>
        <v>30000431.536702193</v>
      </c>
      <c r="R46" s="361"/>
      <c r="S46" s="372">
        <f t="shared" si="30"/>
        <v>38594218.918802284</v>
      </c>
      <c r="U46" s="355" t="s">
        <v>124</v>
      </c>
      <c r="V46" s="367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75">
        <f t="shared" si="35"/>
        <v>0</v>
      </c>
      <c r="AJ46" s="375">
        <f t="shared" si="27"/>
        <v>0.95294367700746385</v>
      </c>
      <c r="AK46" s="377">
        <f t="shared" si="32"/>
        <v>0.95294367700746385</v>
      </c>
      <c r="AL46" s="377">
        <f t="shared" si="32"/>
        <v>0.95294367700746385</v>
      </c>
      <c r="AM46" s="377">
        <f t="shared" ref="AM46" si="39">AL46</f>
        <v>0.95294367700746385</v>
      </c>
      <c r="AN46" s="365"/>
      <c r="AO46" s="365"/>
      <c r="AP46" s="365"/>
      <c r="AQ46" s="365"/>
      <c r="AR46" s="366"/>
      <c r="AS46" s="366"/>
      <c r="AT46" s="366"/>
      <c r="AU46" s="365"/>
      <c r="AV46" s="365"/>
      <c r="AW46" s="365"/>
      <c r="AX46" s="365"/>
      <c r="AY46" s="366"/>
      <c r="AZ46" s="365"/>
      <c r="BA46" s="365"/>
      <c r="BB46" s="365"/>
      <c r="BC46" s="365"/>
      <c r="BD46" s="365"/>
      <c r="BE46" s="365"/>
      <c r="BF46" s="365"/>
    </row>
    <row r="47" spans="1:64" x14ac:dyDescent="0.6">
      <c r="A47" s="355" t="s">
        <v>128</v>
      </c>
      <c r="B47" s="361"/>
      <c r="C47" s="361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>
        <v>5398</v>
      </c>
      <c r="Q47" s="361">
        <f t="shared" si="38"/>
        <v>5398</v>
      </c>
      <c r="R47" s="361"/>
      <c r="S47" s="372">
        <f t="shared" si="30"/>
        <v>6944.2865669723515</v>
      </c>
      <c r="U47" s="355" t="s">
        <v>128</v>
      </c>
      <c r="V47" s="367"/>
      <c r="W47" s="378"/>
      <c r="X47" s="378"/>
      <c r="Y47" s="367"/>
      <c r="Z47" s="367"/>
      <c r="AA47" s="367"/>
      <c r="AB47" s="367"/>
      <c r="AC47" s="367"/>
      <c r="AD47" s="367"/>
      <c r="AE47" s="367"/>
      <c r="AF47" s="367"/>
      <c r="AG47" s="367"/>
      <c r="AH47" s="367"/>
      <c r="AI47" s="375">
        <f t="shared" si="35"/>
        <v>0</v>
      </c>
      <c r="AJ47" s="375">
        <f t="shared" si="27"/>
        <v>1.7146386585116917E-4</v>
      </c>
      <c r="AK47" s="377">
        <f t="shared" si="32"/>
        <v>1.7146386585116917E-4</v>
      </c>
      <c r="AL47" s="377">
        <f t="shared" si="32"/>
        <v>1.7146386585116917E-4</v>
      </c>
      <c r="AM47" s="377">
        <f t="shared" ref="AM47" si="40">AL47</f>
        <v>1.7146386585116917E-4</v>
      </c>
      <c r="AN47" s="365"/>
      <c r="AO47" s="365"/>
      <c r="AP47" s="365"/>
      <c r="AQ47" s="365"/>
      <c r="AR47" s="366"/>
      <c r="AS47" s="366"/>
      <c r="AT47" s="366"/>
      <c r="AU47" s="365"/>
      <c r="AV47" s="365"/>
      <c r="AW47" s="365"/>
      <c r="AX47" s="365"/>
      <c r="AY47" s="365"/>
      <c r="AZ47" s="366"/>
      <c r="BA47" s="366"/>
      <c r="BB47" s="366"/>
      <c r="BC47" s="365"/>
      <c r="BD47" s="365"/>
      <c r="BE47" s="365"/>
      <c r="BF47" s="365"/>
    </row>
    <row r="48" spans="1:64" x14ac:dyDescent="0.6">
      <c r="A48" s="355" t="s">
        <v>129</v>
      </c>
      <c r="B48" s="361"/>
      <c r="C48" s="361"/>
      <c r="D48" s="361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>
        <v>1173532</v>
      </c>
      <c r="R48" s="361"/>
      <c r="S48" s="372"/>
      <c r="U48" s="355" t="s">
        <v>129</v>
      </c>
      <c r="V48" s="367"/>
      <c r="W48" s="367"/>
      <c r="X48" s="367"/>
      <c r="Y48" s="367"/>
      <c r="Z48" s="367"/>
      <c r="AA48" s="367"/>
      <c r="AB48" s="367"/>
      <c r="AC48" s="367"/>
      <c r="AD48" s="367"/>
      <c r="AE48" s="367"/>
      <c r="AF48" s="367"/>
      <c r="AG48" s="367"/>
      <c r="AH48" s="367"/>
      <c r="AI48" s="375">
        <f t="shared" si="35"/>
        <v>0</v>
      </c>
      <c r="AJ48" s="375">
        <f t="shared" si="27"/>
        <v>0</v>
      </c>
      <c r="AK48" s="377">
        <f t="shared" si="32"/>
        <v>0</v>
      </c>
      <c r="AL48" s="377">
        <f t="shared" si="32"/>
        <v>0</v>
      </c>
      <c r="AM48" s="377">
        <f t="shared" ref="AM48" si="41">AL48</f>
        <v>0</v>
      </c>
      <c r="AN48" s="366"/>
      <c r="AO48" s="365"/>
      <c r="AP48" s="365"/>
      <c r="AQ48" s="365"/>
      <c r="AR48" s="366"/>
      <c r="AS48" s="366"/>
      <c r="AT48" s="366"/>
      <c r="AU48" s="366"/>
      <c r="AV48" s="365"/>
      <c r="AW48" s="365"/>
      <c r="AX48" s="365"/>
      <c r="AY48" s="366"/>
      <c r="AZ48" s="365"/>
      <c r="BA48" s="365"/>
      <c r="BB48" s="365"/>
      <c r="BC48" s="366"/>
      <c r="BD48" s="365"/>
      <c r="BE48" s="365"/>
      <c r="BF48" s="365"/>
    </row>
    <row r="49" spans="1:58" x14ac:dyDescent="0.6">
      <c r="A49" s="355" t="s">
        <v>126</v>
      </c>
      <c r="B49" s="361">
        <f>B35*1000000/B23</f>
        <v>873034.46632782719</v>
      </c>
      <c r="C49" s="361">
        <f>C35*1000000/C23</f>
        <v>945971.68969591742</v>
      </c>
      <c r="D49" s="361">
        <f>D35*1000000/D23</f>
        <v>1058747.0192933015</v>
      </c>
      <c r="E49" s="361">
        <f>E35*1000000/E23</f>
        <v>1033145.2750352609</v>
      </c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>
        <f t="shared" ref="P49" si="42">P35*1000000/P23</f>
        <v>2170016.0771704181</v>
      </c>
      <c r="Q49" s="361">
        <f t="shared" si="38"/>
        <v>2170016.0771704181</v>
      </c>
      <c r="R49" s="361"/>
      <c r="S49" s="372">
        <f t="shared" si="30"/>
        <v>2791629.0283083683</v>
      </c>
      <c r="U49" s="355" t="s">
        <v>126</v>
      </c>
      <c r="V49" s="367"/>
      <c r="W49" s="367"/>
      <c r="X49" s="367"/>
      <c r="Y49" s="367"/>
      <c r="Z49" s="367"/>
      <c r="AA49" s="367"/>
      <c r="AB49" s="367"/>
      <c r="AC49" s="367"/>
      <c r="AD49" s="367"/>
      <c r="AE49" s="378"/>
      <c r="AF49" s="367"/>
      <c r="AG49" s="367"/>
      <c r="AH49" s="367"/>
      <c r="AI49" s="375"/>
      <c r="AJ49" s="375">
        <f t="shared" si="27"/>
        <v>6.8929111810083168E-2</v>
      </c>
      <c r="AK49" s="377">
        <f t="shared" si="32"/>
        <v>6.8929111810083168E-2</v>
      </c>
      <c r="AL49" s="377">
        <f t="shared" si="32"/>
        <v>6.8929111810083168E-2</v>
      </c>
      <c r="AM49" s="377">
        <f t="shared" ref="AM49" si="43">AL49</f>
        <v>6.8929111810083168E-2</v>
      </c>
      <c r="AQ49" s="365"/>
      <c r="AT49" s="366"/>
      <c r="AX49" s="365"/>
      <c r="BB49" s="365"/>
      <c r="BF49" s="365"/>
    </row>
    <row r="50" spans="1:58" ht="23.25" thickBot="1" x14ac:dyDescent="0.65">
      <c r="A50" s="368" t="s">
        <v>127</v>
      </c>
      <c r="B50" s="361"/>
      <c r="C50" s="361"/>
      <c r="D50" s="361"/>
      <c r="E50" s="361"/>
      <c r="F50" s="361"/>
      <c r="G50" s="361"/>
      <c r="H50" s="361">
        <f t="shared" ref="H50:M50" si="44">H36*1000000/H24</f>
        <v>25200000</v>
      </c>
      <c r="I50" s="361">
        <f t="shared" si="44"/>
        <v>25590153.970826581</v>
      </c>
      <c r="J50" s="361">
        <f t="shared" si="44"/>
        <v>25200048.971596476</v>
      </c>
      <c r="K50" s="361">
        <f t="shared" si="44"/>
        <v>25199851.227374163</v>
      </c>
      <c r="L50" s="361">
        <f t="shared" si="44"/>
        <v>25200033.311125915</v>
      </c>
      <c r="M50" s="361">
        <f t="shared" si="44"/>
        <v>25200056.834327932</v>
      </c>
      <c r="N50" s="361"/>
      <c r="O50" s="361"/>
      <c r="P50" s="361"/>
      <c r="Q50" s="361"/>
      <c r="R50" s="361"/>
      <c r="S50" s="361"/>
      <c r="U50" s="368" t="s">
        <v>127</v>
      </c>
      <c r="V50" s="379"/>
      <c r="W50" s="379"/>
      <c r="X50" s="379"/>
      <c r="Y50" s="379"/>
      <c r="Z50" s="379"/>
      <c r="AA50" s="379"/>
      <c r="AB50" s="379"/>
      <c r="AC50" s="379"/>
      <c r="AD50" s="379"/>
      <c r="AE50" s="380"/>
      <c r="AF50" s="380"/>
      <c r="AG50" s="379"/>
      <c r="AH50" s="379"/>
      <c r="AI50" s="379"/>
      <c r="AJ50" s="379"/>
      <c r="AK50" s="379"/>
      <c r="AL50" s="379"/>
      <c r="AM50" s="381"/>
    </row>
    <row r="51" spans="1:58" x14ac:dyDescent="0.6">
      <c r="A51" s="382"/>
      <c r="B51" s="360"/>
      <c r="C51" s="360"/>
      <c r="D51" s="360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83"/>
      <c r="P51" s="360"/>
      <c r="Q51" s="360"/>
      <c r="W51" s="371"/>
      <c r="X51" s="371"/>
    </row>
    <row r="52" spans="1:58" ht="23.25" thickBot="1" x14ac:dyDescent="0.65">
      <c r="A52" s="382"/>
      <c r="B52" s="360"/>
      <c r="C52" s="371"/>
      <c r="D52" s="366"/>
      <c r="E52" s="366"/>
      <c r="F52" s="365"/>
      <c r="G52" s="364"/>
      <c r="H52" s="365"/>
      <c r="I52" s="365"/>
      <c r="J52" s="366"/>
      <c r="K52" s="366"/>
      <c r="L52" s="365"/>
      <c r="M52" s="366"/>
      <c r="N52" s="366"/>
      <c r="O52" s="384"/>
      <c r="P52" s="366"/>
      <c r="Q52" s="365"/>
      <c r="AN52" s="371"/>
      <c r="AO52" s="371"/>
      <c r="AP52" s="371"/>
      <c r="AQ52" s="371"/>
      <c r="AR52" s="371"/>
      <c r="AS52" s="371"/>
      <c r="AT52" s="371"/>
      <c r="AU52" s="371"/>
    </row>
    <row r="53" spans="1:58" x14ac:dyDescent="0.6">
      <c r="A53" s="356" t="s">
        <v>111</v>
      </c>
      <c r="B53" s="350" t="s">
        <v>140</v>
      </c>
      <c r="C53" s="350" t="s">
        <v>141</v>
      </c>
      <c r="D53" s="350" t="s">
        <v>142</v>
      </c>
      <c r="E53" s="350" t="s">
        <v>143</v>
      </c>
      <c r="F53" s="349" t="s">
        <v>144</v>
      </c>
      <c r="G53" s="350" t="s">
        <v>145</v>
      </c>
      <c r="H53" s="350" t="s">
        <v>146</v>
      </c>
      <c r="I53" s="350" t="s">
        <v>147</v>
      </c>
      <c r="J53" s="351" t="s">
        <v>2522</v>
      </c>
      <c r="N53" s="365"/>
      <c r="O53" s="385"/>
      <c r="P53" s="365"/>
      <c r="Q53" s="365"/>
      <c r="AN53" s="371"/>
      <c r="AO53" s="371"/>
      <c r="AP53" s="371"/>
      <c r="AQ53" s="371"/>
      <c r="AR53" s="371"/>
      <c r="AS53" s="371"/>
      <c r="AT53" s="371"/>
      <c r="AU53" s="371"/>
    </row>
    <row r="54" spans="1:58" x14ac:dyDescent="0.6">
      <c r="A54" s="355" t="s">
        <v>58</v>
      </c>
      <c r="B54" s="353" t="s">
        <v>95</v>
      </c>
      <c r="C54" s="353" t="s">
        <v>94</v>
      </c>
      <c r="D54" s="353" t="s">
        <v>39</v>
      </c>
      <c r="E54" s="353" t="s">
        <v>54</v>
      </c>
      <c r="F54" s="352" t="s">
        <v>148</v>
      </c>
      <c r="G54" s="353" t="s">
        <v>149</v>
      </c>
      <c r="H54" s="353" t="s">
        <v>146</v>
      </c>
      <c r="I54" s="353" t="s">
        <v>150</v>
      </c>
      <c r="J54" s="354" t="s">
        <v>2523</v>
      </c>
      <c r="N54" s="365"/>
      <c r="AQ54" s="371"/>
      <c r="AU54" s="371"/>
    </row>
    <row r="55" spans="1:58" x14ac:dyDescent="0.6">
      <c r="A55" s="355" t="s">
        <v>82</v>
      </c>
      <c r="B55" s="386">
        <v>1114462</v>
      </c>
      <c r="C55" s="386">
        <v>1449414</v>
      </c>
      <c r="D55" s="386">
        <v>1591145</v>
      </c>
      <c r="E55" s="386">
        <v>976279</v>
      </c>
      <c r="F55" s="386">
        <v>1085536</v>
      </c>
      <c r="G55" s="386">
        <v>1367321</v>
      </c>
      <c r="H55" s="386">
        <f>H81</f>
        <v>247858.5895627896</v>
      </c>
      <c r="I55" s="386">
        <f>H55+G55</f>
        <v>1615179.5895627895</v>
      </c>
      <c r="J55" s="387">
        <f>J81</f>
        <v>3200480.0559800989</v>
      </c>
      <c r="N55" s="365"/>
      <c r="P55" s="388"/>
      <c r="Q55" s="388"/>
    </row>
    <row r="56" spans="1:58" x14ac:dyDescent="0.6">
      <c r="A56" s="355" t="s">
        <v>81</v>
      </c>
      <c r="B56" s="386">
        <v>47938</v>
      </c>
      <c r="C56" s="386">
        <v>79463.46283783784</v>
      </c>
      <c r="D56" s="386">
        <v>103731</v>
      </c>
      <c r="E56" s="386">
        <v>34377</v>
      </c>
      <c r="F56" s="386">
        <v>53439</v>
      </c>
      <c r="G56" s="386">
        <v>99909</v>
      </c>
      <c r="H56" s="386">
        <f>I56-G56</f>
        <v>24568.199999999997</v>
      </c>
      <c r="I56" s="386">
        <f>D56*1.2</f>
        <v>124477.2</v>
      </c>
      <c r="J56" s="387">
        <f>I56*1.2</f>
        <v>149372.63999999998</v>
      </c>
      <c r="N56" s="365"/>
      <c r="P56" s="388"/>
      <c r="Q56" s="388"/>
      <c r="X56" s="371"/>
    </row>
    <row r="57" spans="1:58" x14ac:dyDescent="0.6">
      <c r="A57" s="355" t="s">
        <v>80</v>
      </c>
      <c r="B57" s="386">
        <v>89584</v>
      </c>
      <c r="C57" s="386">
        <v>112732.1858161595</v>
      </c>
      <c r="D57" s="386">
        <v>183322</v>
      </c>
      <c r="E57" s="386">
        <v>72114</v>
      </c>
      <c r="F57" s="386">
        <v>120854</v>
      </c>
      <c r="G57" s="386">
        <v>151489</v>
      </c>
      <c r="H57" s="386">
        <f>J101</f>
        <v>86829.6</v>
      </c>
      <c r="I57" s="386">
        <f>H57+G57</f>
        <v>238318.6</v>
      </c>
      <c r="J57" s="387">
        <f>L101</f>
        <v>309814.18</v>
      </c>
      <c r="N57" s="365"/>
      <c r="P57" s="388"/>
      <c r="Q57" s="388"/>
      <c r="W57" s="371"/>
      <c r="X57" s="371"/>
    </row>
    <row r="58" spans="1:58" x14ac:dyDescent="0.6">
      <c r="A58" s="355" t="s">
        <v>42</v>
      </c>
      <c r="B58" s="407">
        <f t="shared" ref="B58:I58" si="45">SUM(B55:B57)</f>
        <v>1251984</v>
      </c>
      <c r="C58" s="407">
        <f t="shared" si="45"/>
        <v>1641609.6486539973</v>
      </c>
      <c r="D58" s="407">
        <f t="shared" si="45"/>
        <v>1878198</v>
      </c>
      <c r="E58" s="407">
        <f t="shared" si="45"/>
        <v>1082770</v>
      </c>
      <c r="F58" s="407">
        <f t="shared" si="45"/>
        <v>1259829</v>
      </c>
      <c r="G58" s="407">
        <f t="shared" si="45"/>
        <v>1618719</v>
      </c>
      <c r="H58" s="407">
        <f t="shared" si="45"/>
        <v>359256.38956278958</v>
      </c>
      <c r="I58" s="407">
        <f t="shared" si="45"/>
        <v>1977975.3895627896</v>
      </c>
      <c r="J58" s="408">
        <f>SUM(J55:J57)</f>
        <v>3659666.8759800992</v>
      </c>
      <c r="N58" s="365"/>
      <c r="P58" s="388"/>
      <c r="Q58" s="388"/>
      <c r="W58" s="371"/>
      <c r="X58" s="371"/>
    </row>
    <row r="59" spans="1:58" x14ac:dyDescent="0.6">
      <c r="A59" s="355" t="s">
        <v>79</v>
      </c>
      <c r="B59" s="386">
        <v>-183251</v>
      </c>
      <c r="C59" s="386">
        <v>-241460.13559000002</v>
      </c>
      <c r="D59" s="386">
        <v>0</v>
      </c>
      <c r="E59" s="386">
        <v>0</v>
      </c>
      <c r="F59" s="386">
        <v>0</v>
      </c>
      <c r="G59" s="386">
        <v>0</v>
      </c>
      <c r="H59" s="386">
        <v>0</v>
      </c>
      <c r="I59" s="386">
        <v>0</v>
      </c>
      <c r="J59" s="387">
        <v>0</v>
      </c>
      <c r="N59" s="365"/>
      <c r="P59" s="389"/>
      <c r="Q59" s="389"/>
      <c r="S59" s="388"/>
      <c r="W59" s="371"/>
      <c r="X59" s="371"/>
      <c r="Y59" s="366"/>
      <c r="Z59" s="365"/>
      <c r="AA59" s="364"/>
      <c r="AB59" s="365"/>
      <c r="AC59" s="365"/>
      <c r="AD59" s="365"/>
      <c r="AH59" s="365"/>
      <c r="AI59" s="365"/>
      <c r="AJ59" s="365"/>
      <c r="AK59" s="365"/>
      <c r="AN59" s="365"/>
      <c r="AO59" s="365"/>
      <c r="AP59" s="365"/>
      <c r="AQ59" s="365"/>
      <c r="AR59" s="366"/>
      <c r="AS59" s="366"/>
      <c r="AT59" s="365"/>
      <c r="AU59" s="365"/>
      <c r="AV59" s="365"/>
      <c r="AW59" s="365"/>
      <c r="AX59" s="365"/>
      <c r="AY59" s="365"/>
      <c r="AZ59" s="366"/>
      <c r="BA59" s="365"/>
      <c r="BB59" s="366"/>
      <c r="BC59" s="365"/>
      <c r="BD59" s="365"/>
      <c r="BE59" s="365"/>
      <c r="BF59" s="365"/>
    </row>
    <row r="60" spans="1:58" x14ac:dyDescent="0.6">
      <c r="A60" s="355" t="s">
        <v>78</v>
      </c>
      <c r="B60" s="407">
        <f t="shared" ref="B60:I60" si="46">SUM(B58:B59)</f>
        <v>1068733</v>
      </c>
      <c r="C60" s="407">
        <f t="shared" si="46"/>
        <v>1400149.5130639973</v>
      </c>
      <c r="D60" s="407">
        <f t="shared" si="46"/>
        <v>1878198</v>
      </c>
      <c r="E60" s="407">
        <f t="shared" si="46"/>
        <v>1082770</v>
      </c>
      <c r="F60" s="407">
        <f t="shared" si="46"/>
        <v>1259829</v>
      </c>
      <c r="G60" s="407">
        <f t="shared" si="46"/>
        <v>1618719</v>
      </c>
      <c r="H60" s="407">
        <f t="shared" si="46"/>
        <v>359256.38956278958</v>
      </c>
      <c r="I60" s="407">
        <f t="shared" si="46"/>
        <v>1977975.3895627896</v>
      </c>
      <c r="J60" s="408">
        <f>SUM(J58:J59)</f>
        <v>3659666.8759800992</v>
      </c>
      <c r="N60" s="365"/>
      <c r="P60" s="388"/>
      <c r="Q60" s="388"/>
      <c r="S60" s="388"/>
      <c r="X60" s="371"/>
      <c r="Y60" s="366"/>
      <c r="Z60" s="365"/>
      <c r="AA60" s="364"/>
      <c r="AB60" s="365"/>
      <c r="AC60" s="365"/>
      <c r="AD60" s="366"/>
      <c r="AH60" s="366"/>
      <c r="AI60" s="366"/>
      <c r="AJ60" s="366"/>
      <c r="AK60" s="365"/>
      <c r="AN60" s="365"/>
      <c r="AO60" s="365"/>
      <c r="AP60" s="365"/>
      <c r="AQ60" s="365"/>
      <c r="AR60" s="366"/>
      <c r="AS60" s="365"/>
      <c r="AT60" s="365"/>
      <c r="AU60" s="365"/>
      <c r="AV60" s="365"/>
      <c r="AW60" s="365"/>
      <c r="AX60" s="365"/>
      <c r="AY60" s="365"/>
      <c r="AZ60" s="365"/>
      <c r="BA60" s="365"/>
      <c r="BB60" s="365"/>
      <c r="BC60" s="365"/>
      <c r="BD60" s="365"/>
      <c r="BE60" s="365"/>
      <c r="BF60" s="365"/>
    </row>
    <row r="61" spans="1:58" x14ac:dyDescent="0.6">
      <c r="A61" s="355" t="s">
        <v>77</v>
      </c>
      <c r="B61" s="386">
        <v>0</v>
      </c>
      <c r="C61" s="386">
        <v>0</v>
      </c>
      <c r="D61" s="386">
        <v>6596</v>
      </c>
      <c r="E61" s="386">
        <v>5912</v>
      </c>
      <c r="F61" s="386">
        <v>5912</v>
      </c>
      <c r="G61" s="386">
        <v>5912</v>
      </c>
      <c r="H61" s="386">
        <f>G61</f>
        <v>5912</v>
      </c>
      <c r="I61" s="386">
        <f>H61</f>
        <v>5912</v>
      </c>
      <c r="J61" s="387">
        <f>D61</f>
        <v>6596</v>
      </c>
      <c r="N61" s="366"/>
      <c r="P61" s="388"/>
      <c r="Q61" s="388"/>
      <c r="S61" s="388"/>
      <c r="W61" s="371"/>
      <c r="X61" s="371"/>
      <c r="Y61" s="366"/>
      <c r="Z61" s="365"/>
      <c r="AA61" s="364"/>
      <c r="AB61" s="365"/>
      <c r="AC61" s="365"/>
      <c r="AD61" s="366"/>
      <c r="AH61" s="365"/>
      <c r="AI61" s="365"/>
      <c r="AJ61" s="365"/>
      <c r="AK61" s="365"/>
      <c r="AN61" s="365"/>
      <c r="AO61" s="365"/>
      <c r="AP61" s="365"/>
      <c r="AQ61" s="365"/>
      <c r="AR61" s="366"/>
      <c r="AS61" s="366"/>
      <c r="AT61" s="366"/>
      <c r="AU61" s="365"/>
      <c r="AV61" s="365"/>
      <c r="AW61" s="365"/>
      <c r="AX61" s="365"/>
      <c r="AY61" s="366"/>
      <c r="AZ61" s="366"/>
      <c r="BA61" s="365"/>
      <c r="BB61" s="366"/>
      <c r="BC61" s="365"/>
      <c r="BD61" s="365"/>
      <c r="BE61" s="365"/>
      <c r="BF61" s="365"/>
    </row>
    <row r="62" spans="1:58" x14ac:dyDescent="0.6">
      <c r="A62" s="355" t="s">
        <v>76</v>
      </c>
      <c r="B62" s="386">
        <v>6596</v>
      </c>
      <c r="C62" s="386">
        <v>6596</v>
      </c>
      <c r="D62" s="386">
        <v>-5912</v>
      </c>
      <c r="E62" s="386">
        <v>-5754</v>
      </c>
      <c r="F62" s="386">
        <v>-1724</v>
      </c>
      <c r="G62" s="386">
        <v>-5477</v>
      </c>
      <c r="H62" s="386">
        <f>G62</f>
        <v>-5477</v>
      </c>
      <c r="I62" s="386">
        <f>H62</f>
        <v>-5477</v>
      </c>
      <c r="J62" s="387">
        <f>D62</f>
        <v>-5912</v>
      </c>
      <c r="N62" s="366"/>
      <c r="P62" s="388"/>
      <c r="Q62" s="388"/>
      <c r="S62" s="388"/>
      <c r="W62" s="371"/>
      <c r="X62" s="371"/>
      <c r="Y62" s="366"/>
      <c r="Z62" s="365"/>
      <c r="AA62" s="364"/>
      <c r="AB62" s="365"/>
      <c r="AC62" s="365"/>
      <c r="AD62" s="366"/>
      <c r="AH62" s="365"/>
      <c r="AI62" s="366"/>
      <c r="AJ62" s="366"/>
      <c r="AK62" s="366"/>
      <c r="AN62" s="365"/>
      <c r="AO62" s="365"/>
      <c r="AP62" s="365"/>
      <c r="AQ62" s="365"/>
      <c r="AR62" s="366"/>
      <c r="AS62" s="366"/>
      <c r="AT62" s="366"/>
      <c r="AU62" s="365"/>
      <c r="AV62" s="365"/>
      <c r="AW62" s="365"/>
      <c r="AX62" s="365"/>
      <c r="AY62" s="365"/>
      <c r="AZ62" s="365"/>
      <c r="BA62" s="365"/>
      <c r="BB62" s="365"/>
      <c r="BC62" s="365"/>
      <c r="BD62" s="365"/>
      <c r="BE62" s="365"/>
      <c r="BF62" s="365"/>
    </row>
    <row r="63" spans="1:58" x14ac:dyDescent="0.6">
      <c r="A63" s="355" t="s">
        <v>75</v>
      </c>
      <c r="B63" s="386">
        <v>0</v>
      </c>
      <c r="C63" s="386">
        <v>0</v>
      </c>
      <c r="D63" s="386">
        <v>0</v>
      </c>
      <c r="E63" s="386">
        <v>0</v>
      </c>
      <c r="F63" s="386">
        <v>0</v>
      </c>
      <c r="G63" s="386">
        <v>0</v>
      </c>
      <c r="H63" s="386">
        <v>0</v>
      </c>
      <c r="I63" s="386">
        <v>0</v>
      </c>
      <c r="J63" s="376">
        <v>0</v>
      </c>
      <c r="N63" s="366"/>
      <c r="P63" s="389"/>
      <c r="Q63" s="389"/>
      <c r="S63" s="411"/>
      <c r="W63" s="371"/>
      <c r="X63" s="371"/>
      <c r="Y63" s="366"/>
      <c r="Z63" s="365"/>
      <c r="AA63" s="364"/>
      <c r="AB63" s="365"/>
      <c r="AC63" s="365"/>
      <c r="AD63" s="366"/>
      <c r="AH63" s="365"/>
      <c r="AI63" s="366"/>
      <c r="AJ63" s="365"/>
      <c r="AK63" s="365"/>
      <c r="AN63" s="365"/>
      <c r="AO63" s="365"/>
      <c r="AP63" s="365"/>
      <c r="AQ63" s="365"/>
      <c r="AR63" s="366"/>
      <c r="AS63" s="366"/>
      <c r="AT63" s="365"/>
      <c r="AU63" s="365"/>
      <c r="AV63" s="365"/>
      <c r="AW63" s="365"/>
      <c r="AX63" s="365"/>
      <c r="AY63" s="365"/>
      <c r="AZ63" s="365"/>
      <c r="BA63" s="365"/>
      <c r="BB63" s="365"/>
      <c r="BC63" s="365"/>
      <c r="BD63" s="365"/>
      <c r="BE63" s="365"/>
      <c r="BF63" s="365"/>
    </row>
    <row r="64" spans="1:58" x14ac:dyDescent="0.6">
      <c r="A64" s="355" t="s">
        <v>74</v>
      </c>
      <c r="B64" s="407">
        <f t="shared" ref="B64:I64" si="47">SUM(B60:B62)</f>
        <v>1075329</v>
      </c>
      <c r="C64" s="407">
        <f t="shared" si="47"/>
        <v>1406745.5130639973</v>
      </c>
      <c r="D64" s="407">
        <f t="shared" si="47"/>
        <v>1878882</v>
      </c>
      <c r="E64" s="407">
        <f t="shared" si="47"/>
        <v>1082928</v>
      </c>
      <c r="F64" s="407">
        <f t="shared" si="47"/>
        <v>1264017</v>
      </c>
      <c r="G64" s="407">
        <f t="shared" si="47"/>
        <v>1619154</v>
      </c>
      <c r="H64" s="407">
        <f t="shared" si="47"/>
        <v>359691.38956278958</v>
      </c>
      <c r="I64" s="407">
        <f t="shared" si="47"/>
        <v>1978410.3895627896</v>
      </c>
      <c r="J64" s="408">
        <f>SUM(J60:J62)</f>
        <v>3660350.8759800992</v>
      </c>
      <c r="N64" s="366"/>
      <c r="P64" s="388"/>
      <c r="Q64" s="388"/>
      <c r="S64" s="389"/>
      <c r="X64" s="366"/>
      <c r="Y64" s="366"/>
      <c r="Z64" s="366"/>
      <c r="AB64" s="366"/>
      <c r="AC64" s="366"/>
      <c r="AD64" s="366"/>
      <c r="AH64" s="365"/>
      <c r="AI64" s="365"/>
      <c r="AJ64" s="365"/>
      <c r="AK64" s="366"/>
      <c r="AN64" s="365"/>
      <c r="AO64" s="365"/>
      <c r="AP64" s="365"/>
      <c r="AQ64" s="365"/>
      <c r="AR64" s="366"/>
      <c r="AS64" s="366"/>
      <c r="AT64" s="366"/>
      <c r="AU64" s="365"/>
      <c r="AV64" s="365"/>
      <c r="AW64" s="365"/>
      <c r="AX64" s="365"/>
      <c r="AY64" s="366"/>
      <c r="AZ64" s="366"/>
      <c r="BA64" s="365"/>
      <c r="BB64" s="366"/>
      <c r="BC64" s="365"/>
      <c r="BD64" s="365"/>
      <c r="BE64" s="365"/>
      <c r="BF64" s="365"/>
    </row>
    <row r="65" spans="1:58" x14ac:dyDescent="0.6">
      <c r="A65" s="355" t="s">
        <v>73</v>
      </c>
      <c r="B65" s="386">
        <v>172644</v>
      </c>
      <c r="C65" s="386">
        <v>172644</v>
      </c>
      <c r="D65" s="386">
        <v>188800</v>
      </c>
      <c r="E65" s="386">
        <v>134050</v>
      </c>
      <c r="F65" s="386">
        <v>134050</v>
      </c>
      <c r="G65" s="386">
        <v>134051</v>
      </c>
      <c r="H65" s="386">
        <f>G65</f>
        <v>134051</v>
      </c>
      <c r="I65" s="386">
        <f>H65</f>
        <v>134051</v>
      </c>
      <c r="J65" s="387">
        <f>H65</f>
        <v>134051</v>
      </c>
      <c r="N65" s="366"/>
      <c r="P65" s="388"/>
      <c r="Q65" s="388"/>
      <c r="X65" s="371"/>
      <c r="Y65" s="366"/>
      <c r="Z65" s="366"/>
      <c r="AB65" s="366"/>
      <c r="AC65" s="366"/>
      <c r="AD65" s="366"/>
      <c r="AH65" s="365"/>
      <c r="AI65" s="365"/>
      <c r="AJ65" s="366"/>
      <c r="AK65" s="366"/>
      <c r="AN65" s="366"/>
      <c r="AO65" s="366"/>
      <c r="AP65" s="366"/>
      <c r="AQ65" s="366"/>
      <c r="AR65" s="366"/>
      <c r="AS65" s="365"/>
      <c r="AT65" s="365"/>
      <c r="AU65" s="366"/>
      <c r="AV65" s="365"/>
      <c r="AW65" s="365"/>
      <c r="AX65" s="365"/>
      <c r="AY65" s="366"/>
      <c r="AZ65" s="366"/>
      <c r="BA65" s="365"/>
      <c r="BB65" s="366"/>
      <c r="BC65" s="366"/>
      <c r="BD65" s="365"/>
      <c r="BE65" s="365"/>
      <c r="BF65" s="365"/>
    </row>
    <row r="66" spans="1:58" x14ac:dyDescent="0.6">
      <c r="A66" s="355" t="s">
        <v>72</v>
      </c>
      <c r="B66" s="386">
        <v>-527874</v>
      </c>
      <c r="C66" s="386">
        <v>-427291.47533092828</v>
      </c>
      <c r="D66" s="386">
        <v>-134051</v>
      </c>
      <c r="E66" s="386">
        <v>-431547</v>
      </c>
      <c r="F66" s="386">
        <v>-36523</v>
      </c>
      <c r="G66" s="386">
        <v>-267696</v>
      </c>
      <c r="H66" s="386">
        <f>G66</f>
        <v>-267696</v>
      </c>
      <c r="I66" s="386">
        <f>F66</f>
        <v>-36523</v>
      </c>
      <c r="J66" s="387">
        <v>0</v>
      </c>
      <c r="L66" s="390"/>
      <c r="M66" s="390"/>
      <c r="N66" s="366"/>
      <c r="P66" s="388"/>
      <c r="Q66" s="388"/>
      <c r="S66" s="388"/>
      <c r="W66" s="371"/>
      <c r="X66" s="366"/>
      <c r="Y66" s="366"/>
      <c r="Z66" s="366"/>
      <c r="AB66" s="366"/>
      <c r="AC66" s="366"/>
      <c r="AD66" s="366"/>
      <c r="AH66" s="365"/>
      <c r="AI66" s="366"/>
      <c r="AJ66" s="365"/>
      <c r="AK66" s="366"/>
      <c r="AQ66" s="365"/>
      <c r="AT66" s="365"/>
      <c r="AX66" s="365"/>
      <c r="BB66" s="365"/>
      <c r="BF66" s="365"/>
    </row>
    <row r="67" spans="1:58" ht="18" customHeight="1" x14ac:dyDescent="0.6">
      <c r="A67" s="355" t="s">
        <v>71</v>
      </c>
      <c r="B67" s="386">
        <f t="shared" ref="B67:G67" si="48">SUM(B64:B66)</f>
        <v>720099</v>
      </c>
      <c r="C67" s="386">
        <f t="shared" si="48"/>
        <v>1152098.0377330689</v>
      </c>
      <c r="D67" s="386">
        <f t="shared" si="48"/>
        <v>1933631</v>
      </c>
      <c r="E67" s="386">
        <f t="shared" si="48"/>
        <v>785431</v>
      </c>
      <c r="F67" s="386">
        <f t="shared" si="48"/>
        <v>1361544</v>
      </c>
      <c r="G67" s="386">
        <f t="shared" si="48"/>
        <v>1485509</v>
      </c>
      <c r="H67" s="386">
        <f>SUM(H64:H66)</f>
        <v>226046.38956278958</v>
      </c>
      <c r="I67" s="386">
        <f t="shared" ref="I67" si="49">SUM(I64:I66)</f>
        <v>2075938.3895627894</v>
      </c>
      <c r="J67" s="391">
        <f t="shared" ref="J67" si="50">SUM(J64:J66)</f>
        <v>3794401.8759800992</v>
      </c>
      <c r="N67" s="366"/>
      <c r="P67" s="388"/>
      <c r="Q67" s="388"/>
      <c r="S67" s="389"/>
    </row>
    <row r="68" spans="1:58" ht="18" customHeight="1" x14ac:dyDescent="0.6">
      <c r="A68" s="355" t="s">
        <v>70</v>
      </c>
      <c r="B68" s="386">
        <v>0</v>
      </c>
      <c r="C68" s="386">
        <v>0</v>
      </c>
      <c r="D68" s="386">
        <v>0</v>
      </c>
      <c r="E68" s="386">
        <v>0</v>
      </c>
      <c r="F68" s="386">
        <v>0</v>
      </c>
      <c r="G68" s="386">
        <v>140167</v>
      </c>
      <c r="H68" s="386">
        <v>0</v>
      </c>
      <c r="I68" s="386">
        <v>0</v>
      </c>
      <c r="J68" s="387">
        <v>0</v>
      </c>
      <c r="N68" s="366"/>
      <c r="P68" s="389"/>
      <c r="Q68" s="389"/>
      <c r="W68" s="371"/>
      <c r="X68" s="371"/>
      <c r="Y68" s="366"/>
      <c r="Z68" s="365"/>
      <c r="AB68" s="365"/>
      <c r="AC68" s="365"/>
      <c r="AD68" s="365"/>
      <c r="AE68" s="364"/>
      <c r="AG68" s="365"/>
      <c r="AH68" s="365"/>
      <c r="AI68" s="365"/>
      <c r="AJ68" s="365"/>
      <c r="AK68" s="365"/>
    </row>
    <row r="69" spans="1:58" ht="23.25" thickBot="1" x14ac:dyDescent="0.65">
      <c r="A69" s="368" t="s">
        <v>69</v>
      </c>
      <c r="B69" s="409">
        <f t="shared" ref="B69:H69" si="51">SUM(B67:B68)</f>
        <v>720099</v>
      </c>
      <c r="C69" s="409">
        <f t="shared" si="51"/>
        <v>1152098.0377330689</v>
      </c>
      <c r="D69" s="409">
        <f t="shared" si="51"/>
        <v>1933631</v>
      </c>
      <c r="E69" s="409">
        <f t="shared" si="51"/>
        <v>785431</v>
      </c>
      <c r="F69" s="409">
        <f t="shared" si="51"/>
        <v>1361544</v>
      </c>
      <c r="G69" s="409">
        <f t="shared" si="51"/>
        <v>1625676</v>
      </c>
      <c r="H69" s="409">
        <f t="shared" si="51"/>
        <v>226046.38956278958</v>
      </c>
      <c r="I69" s="409">
        <f>H69+G69</f>
        <v>1851722.3895627896</v>
      </c>
      <c r="J69" s="410">
        <f>SUM(J67:J68)</f>
        <v>3794401.8759800992</v>
      </c>
      <c r="N69" s="366"/>
      <c r="O69" s="384"/>
      <c r="P69" s="366"/>
      <c r="Q69" s="366"/>
      <c r="W69" s="371"/>
    </row>
    <row r="70" spans="1:58" x14ac:dyDescent="0.6">
      <c r="A70" s="382"/>
      <c r="B70" s="365"/>
      <c r="C70" s="360"/>
      <c r="D70" s="365"/>
      <c r="E70" s="365"/>
      <c r="F70" s="365"/>
      <c r="G70" s="364"/>
      <c r="H70" s="360"/>
      <c r="I70" s="365"/>
      <c r="N70" s="365"/>
      <c r="O70" s="385"/>
      <c r="P70" s="365"/>
      <c r="Q70" s="365"/>
    </row>
    <row r="71" spans="1:58" ht="23.25" thickBot="1" x14ac:dyDescent="0.65">
      <c r="A71" s="382"/>
      <c r="B71" s="371"/>
      <c r="C71" s="360"/>
      <c r="D71" s="360"/>
      <c r="E71" s="360"/>
      <c r="F71" s="360"/>
      <c r="G71" s="360"/>
      <c r="H71" s="360"/>
      <c r="I71" s="360"/>
      <c r="N71" s="360"/>
      <c r="O71" s="383"/>
      <c r="P71" s="360"/>
      <c r="Q71" s="360"/>
      <c r="W71" s="371"/>
      <c r="X71" s="371"/>
      <c r="Y71" s="366"/>
      <c r="Z71" s="366"/>
      <c r="AB71" s="366"/>
      <c r="AC71" s="366"/>
      <c r="AD71" s="366"/>
      <c r="AE71" s="366"/>
      <c r="AG71" s="366"/>
      <c r="AH71" s="366"/>
      <c r="AI71" s="366"/>
      <c r="AJ71" s="366"/>
      <c r="AK71" s="366"/>
    </row>
    <row r="72" spans="1:58" x14ac:dyDescent="0.6">
      <c r="A72" s="356" t="s">
        <v>114</v>
      </c>
      <c r="B72" s="350" t="s">
        <v>140</v>
      </c>
      <c r="C72" s="350" t="s">
        <v>141</v>
      </c>
      <c r="D72" s="350" t="s">
        <v>142</v>
      </c>
      <c r="E72" s="350" t="s">
        <v>143</v>
      </c>
      <c r="F72" s="349" t="s">
        <v>144</v>
      </c>
      <c r="G72" s="350" t="s">
        <v>145</v>
      </c>
      <c r="H72" s="350" t="s">
        <v>146</v>
      </c>
      <c r="I72" s="350" t="s">
        <v>147</v>
      </c>
      <c r="J72" s="351" t="s">
        <v>2522</v>
      </c>
      <c r="N72" s="360"/>
      <c r="O72" s="383"/>
      <c r="P72" s="360"/>
      <c r="Q72" s="360"/>
    </row>
    <row r="73" spans="1:58" x14ac:dyDescent="0.6">
      <c r="A73" s="355"/>
      <c r="B73" s="353" t="s">
        <v>95</v>
      </c>
      <c r="C73" s="353" t="s">
        <v>94</v>
      </c>
      <c r="D73" s="353" t="s">
        <v>39</v>
      </c>
      <c r="E73" s="353" t="s">
        <v>54</v>
      </c>
      <c r="F73" s="352" t="s">
        <v>148</v>
      </c>
      <c r="G73" s="353" t="s">
        <v>149</v>
      </c>
      <c r="H73" s="353" t="s">
        <v>146</v>
      </c>
      <c r="I73" s="353" t="s">
        <v>150</v>
      </c>
      <c r="J73" s="354" t="s">
        <v>2523</v>
      </c>
      <c r="N73" s="360"/>
      <c r="O73" s="383"/>
      <c r="P73" s="360"/>
      <c r="Q73" s="360"/>
      <c r="Y73" s="366"/>
      <c r="AB73" s="366"/>
      <c r="AC73" s="366"/>
      <c r="AD73" s="366"/>
      <c r="AG73" s="366"/>
      <c r="AH73" s="366"/>
      <c r="AI73" s="366"/>
    </row>
    <row r="74" spans="1:58" x14ac:dyDescent="0.6">
      <c r="A74" s="355"/>
      <c r="B74" s="372">
        <v>293800</v>
      </c>
      <c r="C74" s="372">
        <v>401770</v>
      </c>
      <c r="D74" s="372">
        <v>440808</v>
      </c>
      <c r="E74" s="372">
        <v>241038</v>
      </c>
      <c r="F74" s="372">
        <v>340404</v>
      </c>
      <c r="G74" s="372">
        <v>451558</v>
      </c>
      <c r="H74" s="372">
        <f>I74-G74</f>
        <v>81855.342663349817</v>
      </c>
      <c r="I74" s="372">
        <f>B144</f>
        <v>533413.34266334982</v>
      </c>
      <c r="J74" s="392">
        <f>B152</f>
        <v>533413.34266334982</v>
      </c>
      <c r="O74" s="385"/>
      <c r="P74" s="365"/>
      <c r="Q74" s="365"/>
      <c r="R74" s="388"/>
      <c r="S74" s="388"/>
      <c r="T74" s="365"/>
      <c r="U74" s="365"/>
      <c r="V74" s="365"/>
      <c r="W74" s="365"/>
    </row>
    <row r="75" spans="1:58" ht="25.5" x14ac:dyDescent="0.7">
      <c r="A75" s="300" t="s">
        <v>67</v>
      </c>
      <c r="B75" s="393">
        <f>K5</f>
        <v>44652</v>
      </c>
      <c r="C75" s="393">
        <f t="shared" ref="C75:G75" si="52">L5</f>
        <v>55877</v>
      </c>
      <c r="D75" s="393">
        <f t="shared" si="52"/>
        <v>66006</v>
      </c>
      <c r="E75" s="393">
        <f t="shared" si="52"/>
        <v>32928</v>
      </c>
      <c r="F75" s="393">
        <f t="shared" si="52"/>
        <v>49953</v>
      </c>
      <c r="G75" s="393">
        <f t="shared" si="52"/>
        <v>56411.4</v>
      </c>
      <c r="H75" s="393"/>
      <c r="I75" s="393"/>
      <c r="J75" s="376"/>
      <c r="O75" s="385"/>
      <c r="P75" s="365"/>
      <c r="Q75" s="365"/>
      <c r="R75" s="388"/>
      <c r="S75" s="388"/>
      <c r="T75" s="365"/>
      <c r="U75" s="365"/>
      <c r="V75" s="365"/>
      <c r="W75" s="365"/>
      <c r="X75" s="366"/>
      <c r="Y75" s="366"/>
      <c r="Z75" s="366"/>
      <c r="AB75" s="366"/>
      <c r="AC75" s="366"/>
      <c r="AD75" s="366"/>
      <c r="AE75" s="366"/>
      <c r="AG75" s="366"/>
      <c r="AH75" s="366"/>
      <c r="AI75" s="366"/>
      <c r="AJ75" s="366"/>
      <c r="AK75" s="366"/>
    </row>
    <row r="76" spans="1:58" ht="26.25" thickBot="1" x14ac:dyDescent="0.75">
      <c r="A76" s="227" t="s">
        <v>66</v>
      </c>
      <c r="B76" s="394">
        <f>B74/B75</f>
        <v>6.5797724625996592</v>
      </c>
      <c r="C76" s="394">
        <f t="shared" ref="C76:G76" si="53">C74/C75</f>
        <v>7.1902571720027915</v>
      </c>
      <c r="D76" s="394">
        <f t="shared" si="53"/>
        <v>6.67830197254795</v>
      </c>
      <c r="E76" s="394">
        <f t="shared" si="53"/>
        <v>7.3201530612244898</v>
      </c>
      <c r="F76" s="394">
        <f t="shared" si="53"/>
        <v>6.8144856164794909</v>
      </c>
      <c r="G76" s="394">
        <f t="shared" si="53"/>
        <v>8.0047295404829519</v>
      </c>
      <c r="H76" s="395">
        <f>G76</f>
        <v>8.0047295404829519</v>
      </c>
      <c r="I76" s="394">
        <f>AVERAGE(B76:G76)</f>
        <v>7.0979499708895561</v>
      </c>
      <c r="J76" s="396">
        <f>I76</f>
        <v>7.0979499708895561</v>
      </c>
      <c r="O76" s="385"/>
      <c r="P76" s="365"/>
      <c r="Q76" s="365"/>
      <c r="R76" s="388"/>
      <c r="S76" s="388"/>
      <c r="T76" s="365"/>
      <c r="U76" s="365"/>
      <c r="V76" s="365"/>
      <c r="W76" s="365"/>
      <c r="X76" s="366"/>
      <c r="Y76" s="366"/>
      <c r="Z76" s="366"/>
      <c r="AB76" s="366"/>
      <c r="AC76" s="366"/>
      <c r="AD76" s="366"/>
      <c r="AE76" s="366"/>
      <c r="AG76" s="366"/>
      <c r="AH76" s="366"/>
      <c r="AI76" s="366"/>
      <c r="AJ76" s="366"/>
      <c r="AK76" s="366"/>
    </row>
    <row r="77" spans="1:58" x14ac:dyDescent="0.6">
      <c r="A77" s="382"/>
      <c r="B77" s="397"/>
      <c r="C77" s="397"/>
      <c r="D77" s="397"/>
      <c r="E77" s="397"/>
      <c r="F77" s="397"/>
      <c r="G77" s="397"/>
      <c r="H77" s="397"/>
      <c r="I77" s="397"/>
      <c r="O77" s="385"/>
      <c r="P77" s="365"/>
      <c r="Q77" s="365"/>
      <c r="R77" s="388"/>
      <c r="S77" s="388"/>
      <c r="T77" s="365"/>
      <c r="U77" s="366"/>
      <c r="V77" s="365"/>
      <c r="W77" s="366"/>
      <c r="X77" s="366"/>
      <c r="Y77" s="366"/>
      <c r="AB77" s="366"/>
      <c r="AC77" s="366"/>
      <c r="AD77" s="366"/>
      <c r="AE77" s="366"/>
      <c r="AF77" s="366"/>
      <c r="AG77" s="366"/>
      <c r="AH77" s="366"/>
      <c r="AI77" s="366"/>
      <c r="AJ77" s="366"/>
      <c r="AK77" s="366"/>
    </row>
    <row r="78" spans="1:58" ht="23.25" thickBot="1" x14ac:dyDescent="0.65">
      <c r="A78" s="382"/>
      <c r="B78" s="371"/>
      <c r="C78" s="360"/>
      <c r="D78" s="360"/>
      <c r="E78" s="360"/>
      <c r="F78" s="360"/>
      <c r="G78" s="360"/>
      <c r="H78" s="360"/>
      <c r="I78" s="360"/>
      <c r="O78" s="385"/>
      <c r="P78" s="365"/>
      <c r="Q78" s="365"/>
      <c r="R78" s="388"/>
      <c r="S78" s="388"/>
      <c r="T78" s="366"/>
      <c r="U78" s="366"/>
      <c r="V78" s="366"/>
      <c r="W78" s="366"/>
      <c r="X78" s="366"/>
      <c r="Y78" s="366"/>
      <c r="Z78" s="365"/>
      <c r="AB78" s="365"/>
      <c r="AC78" s="365"/>
      <c r="AD78" s="365"/>
      <c r="AE78" s="364"/>
      <c r="AG78" s="365"/>
      <c r="AH78" s="365"/>
      <c r="AI78" s="365"/>
      <c r="AJ78" s="365"/>
      <c r="AK78" s="365"/>
    </row>
    <row r="79" spans="1:58" x14ac:dyDescent="0.6">
      <c r="A79" s="356" t="s">
        <v>155</v>
      </c>
      <c r="B79" s="350" t="s">
        <v>140</v>
      </c>
      <c r="C79" s="350" t="s">
        <v>141</v>
      </c>
      <c r="D79" s="350" t="s">
        <v>142</v>
      </c>
      <c r="E79" s="350" t="s">
        <v>143</v>
      </c>
      <c r="F79" s="349" t="s">
        <v>144</v>
      </c>
      <c r="G79" s="350" t="s">
        <v>145</v>
      </c>
      <c r="H79" s="350" t="s">
        <v>146</v>
      </c>
      <c r="I79" s="350" t="s">
        <v>147</v>
      </c>
      <c r="J79" s="351" t="s">
        <v>2522</v>
      </c>
      <c r="O79" s="385"/>
      <c r="P79" s="365"/>
      <c r="Q79" s="365"/>
      <c r="R79" s="388"/>
      <c r="S79" s="388"/>
      <c r="T79" s="366"/>
      <c r="U79" s="366"/>
      <c r="V79" s="366"/>
      <c r="W79" s="366"/>
    </row>
    <row r="80" spans="1:58" x14ac:dyDescent="0.6">
      <c r="A80" s="355"/>
      <c r="B80" s="353" t="s">
        <v>95</v>
      </c>
      <c r="C80" s="353" t="s">
        <v>94</v>
      </c>
      <c r="D80" s="353" t="s">
        <v>39</v>
      </c>
      <c r="E80" s="353" t="s">
        <v>54</v>
      </c>
      <c r="F80" s="352" t="s">
        <v>148</v>
      </c>
      <c r="G80" s="353" t="s">
        <v>149</v>
      </c>
      <c r="H80" s="353" t="s">
        <v>146</v>
      </c>
      <c r="I80" s="353" t="s">
        <v>150</v>
      </c>
      <c r="J80" s="354" t="s">
        <v>2523</v>
      </c>
      <c r="O80" s="385"/>
      <c r="P80" s="364"/>
      <c r="Q80" s="365"/>
      <c r="R80" s="389"/>
      <c r="S80" s="389"/>
      <c r="T80" s="366"/>
      <c r="U80" s="366"/>
      <c r="V80" s="366"/>
      <c r="W80" s="366"/>
      <c r="X80" s="365"/>
      <c r="Y80" s="365"/>
      <c r="Z80" s="366"/>
      <c r="AB80" s="366"/>
    </row>
    <row r="81" spans="1:41" ht="23.25" thickBot="1" x14ac:dyDescent="0.65">
      <c r="A81" s="368"/>
      <c r="B81" s="369">
        <v>981317.68</v>
      </c>
      <c r="C81" s="369">
        <v>1207954.0044869231</v>
      </c>
      <c r="D81" s="369">
        <v>1272085</v>
      </c>
      <c r="E81" s="369">
        <v>754385</v>
      </c>
      <c r="F81" s="369">
        <v>1085536</v>
      </c>
      <c r="G81" s="369">
        <v>1367321</v>
      </c>
      <c r="H81" s="369">
        <f>H74*H86/1000000</f>
        <v>247858.5895627896</v>
      </c>
      <c r="I81" s="369">
        <f>H81+G81</f>
        <v>1615179.5895627895</v>
      </c>
      <c r="J81" s="381">
        <f>J74*J86/1000000</f>
        <v>3200480.0559800989</v>
      </c>
      <c r="O81" s="385"/>
      <c r="P81" s="364"/>
      <c r="Q81" s="365"/>
      <c r="R81" s="389"/>
      <c r="S81" s="389"/>
      <c r="T81" s="366"/>
      <c r="U81" s="366"/>
      <c r="V81" s="366"/>
      <c r="W81" s="366"/>
    </row>
    <row r="82" spans="1:41" x14ac:dyDescent="0.6">
      <c r="A82" s="382"/>
      <c r="B82" s="397"/>
      <c r="C82" s="397"/>
      <c r="D82" s="397"/>
      <c r="E82" s="397"/>
      <c r="F82" s="397"/>
      <c r="G82" s="397"/>
      <c r="H82" s="397"/>
      <c r="I82" s="397"/>
      <c r="O82" s="384"/>
      <c r="P82" s="364"/>
      <c r="Q82" s="366"/>
      <c r="R82" s="389"/>
      <c r="S82" s="389"/>
      <c r="T82" s="366"/>
      <c r="U82" s="366"/>
      <c r="V82" s="366"/>
      <c r="W82" s="366"/>
      <c r="X82" s="365"/>
      <c r="Y82" s="365"/>
      <c r="Z82" s="366"/>
      <c r="AA82" s="366"/>
      <c r="AB82" s="366"/>
    </row>
    <row r="83" spans="1:41" ht="23.25" thickBot="1" x14ac:dyDescent="0.65">
      <c r="O83" s="398"/>
      <c r="P83" s="364"/>
      <c r="Q83" s="365"/>
      <c r="R83" s="389"/>
      <c r="S83" s="389"/>
      <c r="U83" s="366"/>
      <c r="V83" s="366"/>
      <c r="W83" s="366"/>
      <c r="X83" s="365"/>
      <c r="Y83" s="365"/>
      <c r="Z83" s="365"/>
      <c r="AA83" s="366"/>
      <c r="AB83" s="366"/>
      <c r="AC83" s="366"/>
      <c r="AD83" s="365"/>
      <c r="AE83" s="365"/>
      <c r="AF83" s="365"/>
      <c r="AG83" s="365"/>
      <c r="AH83" s="365"/>
      <c r="AI83" s="366"/>
      <c r="AJ83" s="365"/>
      <c r="AK83" s="365"/>
      <c r="AL83" s="365"/>
      <c r="AM83" s="365"/>
      <c r="AN83" s="365"/>
      <c r="AO83" s="365"/>
    </row>
    <row r="84" spans="1:41" x14ac:dyDescent="0.6">
      <c r="A84" s="356" t="s">
        <v>117</v>
      </c>
      <c r="B84" s="350" t="s">
        <v>140</v>
      </c>
      <c r="C84" s="350" t="s">
        <v>141</v>
      </c>
      <c r="D84" s="350" t="s">
        <v>142</v>
      </c>
      <c r="E84" s="350" t="s">
        <v>143</v>
      </c>
      <c r="F84" s="349" t="s">
        <v>144</v>
      </c>
      <c r="G84" s="350" t="s">
        <v>145</v>
      </c>
      <c r="H84" s="350" t="s">
        <v>146</v>
      </c>
      <c r="I84" s="350" t="s">
        <v>147</v>
      </c>
      <c r="J84" s="351" t="s">
        <v>2522</v>
      </c>
      <c r="O84" s="398"/>
      <c r="P84" s="366"/>
      <c r="Q84" s="366"/>
      <c r="R84" s="389"/>
      <c r="S84" s="389"/>
      <c r="U84" s="365"/>
      <c r="V84" s="365"/>
      <c r="W84" s="366"/>
      <c r="X84" s="365"/>
      <c r="Y84" s="365"/>
      <c r="Z84" s="365"/>
      <c r="AA84" s="366"/>
      <c r="AB84" s="366"/>
      <c r="AC84" s="366"/>
      <c r="AD84" s="365"/>
      <c r="AE84" s="365"/>
      <c r="AF84" s="365"/>
      <c r="AG84" s="365"/>
      <c r="AH84" s="365"/>
      <c r="AI84" s="365"/>
      <c r="AJ84" s="365"/>
      <c r="AK84" s="365"/>
      <c r="AL84" s="365"/>
      <c r="AM84" s="365"/>
      <c r="AN84" s="365"/>
      <c r="AO84" s="365"/>
    </row>
    <row r="85" spans="1:41" x14ac:dyDescent="0.6">
      <c r="A85" s="355"/>
      <c r="B85" s="353" t="s">
        <v>95</v>
      </c>
      <c r="C85" s="353" t="s">
        <v>94</v>
      </c>
      <c r="D85" s="353" t="s">
        <v>39</v>
      </c>
      <c r="E85" s="353" t="s">
        <v>54</v>
      </c>
      <c r="F85" s="352" t="s">
        <v>148</v>
      </c>
      <c r="G85" s="353" t="s">
        <v>149</v>
      </c>
      <c r="H85" s="353" t="s">
        <v>146</v>
      </c>
      <c r="I85" s="353" t="s">
        <v>150</v>
      </c>
      <c r="J85" s="354" t="s">
        <v>2523</v>
      </c>
      <c r="O85" s="399"/>
      <c r="P85" s="365"/>
      <c r="Q85" s="366"/>
      <c r="R85" s="388"/>
      <c r="S85" s="389"/>
      <c r="U85" s="365"/>
      <c r="V85" s="365"/>
      <c r="W85" s="365"/>
      <c r="X85" s="366"/>
      <c r="Y85" s="366"/>
      <c r="Z85" s="366"/>
      <c r="AA85" s="366"/>
      <c r="AB85" s="366"/>
      <c r="AC85" s="366"/>
      <c r="AD85" s="365"/>
      <c r="AE85" s="365"/>
      <c r="AF85" s="365"/>
      <c r="AG85" s="365"/>
      <c r="AH85" s="366"/>
      <c r="AI85" s="366"/>
      <c r="AJ85" s="366"/>
      <c r="AK85" s="366"/>
      <c r="AL85" s="365"/>
      <c r="AM85" s="365"/>
      <c r="AN85" s="365"/>
      <c r="AO85" s="365"/>
    </row>
    <row r="86" spans="1:41" ht="23.25" thickBot="1" x14ac:dyDescent="0.65">
      <c r="A86" s="400"/>
      <c r="B86" s="369">
        <f>B81*1000000/B74</f>
        <v>3340087.406398911</v>
      </c>
      <c r="C86" s="369">
        <f t="shared" ref="C86:G86" si="54">C81*1000000/C74</f>
        <v>3006580.8907756256</v>
      </c>
      <c r="D86" s="369">
        <f t="shared" si="54"/>
        <v>2885802.8892397597</v>
      </c>
      <c r="E86" s="369">
        <f t="shared" si="54"/>
        <v>3129734.7306233873</v>
      </c>
      <c r="F86" s="369">
        <f t="shared" si="54"/>
        <v>3188963.7019541487</v>
      </c>
      <c r="G86" s="369">
        <f t="shared" si="54"/>
        <v>3028007.4763374804</v>
      </c>
      <c r="H86" s="369">
        <f>G86</f>
        <v>3028007.4763374804</v>
      </c>
      <c r="I86" s="369"/>
      <c r="J86" s="401">
        <f>B153</f>
        <v>6000000</v>
      </c>
      <c r="O86" s="399"/>
      <c r="P86" s="365"/>
      <c r="Q86" s="366"/>
      <c r="R86" s="388"/>
      <c r="S86" s="389"/>
      <c r="U86" s="365"/>
      <c r="V86" s="365"/>
      <c r="W86" s="365"/>
      <c r="X86" s="365"/>
      <c r="Y86" s="365"/>
      <c r="Z86" s="365"/>
      <c r="AA86" s="366"/>
      <c r="AB86" s="366"/>
      <c r="AC86" s="366"/>
      <c r="AD86" s="365"/>
      <c r="AE86" s="365"/>
      <c r="AF86" s="365"/>
      <c r="AG86" s="365"/>
      <c r="AH86" s="365"/>
      <c r="AI86" s="366"/>
      <c r="AJ86" s="365"/>
      <c r="AK86" s="366"/>
      <c r="AL86" s="365"/>
      <c r="AM86" s="365"/>
      <c r="AN86" s="365"/>
      <c r="AO86" s="365"/>
    </row>
    <row r="87" spans="1:41" x14ac:dyDescent="0.6">
      <c r="P87" s="360"/>
      <c r="Q87" s="360"/>
      <c r="S87" s="389"/>
      <c r="W87" s="365"/>
      <c r="X87" s="365"/>
      <c r="Y87" s="365"/>
      <c r="Z87" s="365"/>
      <c r="AA87" s="366"/>
      <c r="AB87" s="366"/>
      <c r="AC87" s="366"/>
      <c r="AD87" s="365"/>
      <c r="AE87" s="365"/>
      <c r="AF87" s="365"/>
      <c r="AG87" s="365"/>
      <c r="AH87" s="366"/>
      <c r="AI87" s="365"/>
      <c r="AJ87" s="365"/>
      <c r="AK87" s="365"/>
      <c r="AL87" s="365"/>
      <c r="AM87" s="365"/>
      <c r="AN87" s="365"/>
      <c r="AO87" s="365"/>
    </row>
    <row r="88" spans="1:41" ht="23.25" thickBot="1" x14ac:dyDescent="0.65">
      <c r="P88" s="360"/>
      <c r="Q88" s="365"/>
      <c r="S88" s="389"/>
      <c r="W88" s="365"/>
      <c r="X88" s="365"/>
      <c r="Y88" s="365"/>
      <c r="Z88" s="365"/>
      <c r="AA88" s="366"/>
      <c r="AB88" s="366"/>
      <c r="AC88" s="366"/>
      <c r="AD88" s="365"/>
      <c r="AE88" s="365"/>
      <c r="AF88" s="365"/>
      <c r="AG88" s="365"/>
      <c r="AH88" s="365"/>
      <c r="AI88" s="366"/>
      <c r="AJ88" s="366"/>
      <c r="AK88" s="366"/>
      <c r="AL88" s="365"/>
      <c r="AM88" s="365"/>
      <c r="AN88" s="365"/>
      <c r="AO88" s="365"/>
    </row>
    <row r="89" spans="1:41" x14ac:dyDescent="0.6">
      <c r="A89" s="356" t="s">
        <v>57</v>
      </c>
      <c r="B89" s="350" t="s">
        <v>135</v>
      </c>
      <c r="C89" s="350" t="s">
        <v>138</v>
      </c>
      <c r="D89" s="350" t="s">
        <v>140</v>
      </c>
      <c r="E89" s="350" t="s">
        <v>141</v>
      </c>
      <c r="F89" s="350" t="s">
        <v>142</v>
      </c>
      <c r="G89" s="350" t="s">
        <v>143</v>
      </c>
      <c r="H89" s="349" t="s">
        <v>144</v>
      </c>
      <c r="I89" s="350" t="s">
        <v>145</v>
      </c>
      <c r="J89" s="350" t="s">
        <v>146</v>
      </c>
      <c r="K89" s="351" t="s">
        <v>147</v>
      </c>
      <c r="L89" s="351" t="s">
        <v>2522</v>
      </c>
      <c r="P89" s="360"/>
      <c r="Q89" s="360"/>
      <c r="S89" s="389"/>
      <c r="W89" s="366"/>
      <c r="X89" s="365"/>
      <c r="Y89" s="365"/>
      <c r="Z89" s="365"/>
      <c r="AA89" s="366"/>
      <c r="AB89" s="366"/>
      <c r="AC89" s="366"/>
      <c r="AD89" s="366"/>
      <c r="AE89" s="365"/>
      <c r="AF89" s="365"/>
      <c r="AG89" s="365"/>
      <c r="AH89" s="366"/>
      <c r="AI89" s="365"/>
      <c r="AJ89" s="365"/>
      <c r="AK89" s="365"/>
      <c r="AL89" s="366"/>
      <c r="AM89" s="365"/>
      <c r="AN89" s="365"/>
      <c r="AO89" s="365"/>
    </row>
    <row r="90" spans="1:41" x14ac:dyDescent="0.6">
      <c r="A90" s="355"/>
      <c r="B90" s="353" t="s">
        <v>62</v>
      </c>
      <c r="C90" s="353" t="s">
        <v>40</v>
      </c>
      <c r="D90" s="353" t="s">
        <v>95</v>
      </c>
      <c r="E90" s="353" t="s">
        <v>94</v>
      </c>
      <c r="F90" s="353" t="s">
        <v>39</v>
      </c>
      <c r="G90" s="353" t="s">
        <v>54</v>
      </c>
      <c r="H90" s="352" t="s">
        <v>148</v>
      </c>
      <c r="I90" s="353" t="s">
        <v>149</v>
      </c>
      <c r="J90" s="353" t="s">
        <v>146</v>
      </c>
      <c r="K90" s="354" t="s">
        <v>150</v>
      </c>
      <c r="L90" s="354" t="s">
        <v>2523</v>
      </c>
      <c r="P90" s="360"/>
      <c r="Z90" s="365"/>
      <c r="AC90" s="366"/>
      <c r="AG90" s="365"/>
      <c r="AK90" s="365"/>
      <c r="AO90" s="365"/>
    </row>
    <row r="91" spans="1:41" x14ac:dyDescent="0.6">
      <c r="A91" s="355" t="s">
        <v>52</v>
      </c>
      <c r="B91" s="361">
        <v>37988</v>
      </c>
      <c r="C91" s="361">
        <v>41748</v>
      </c>
      <c r="D91" s="361">
        <v>21744.505458</v>
      </c>
      <c r="E91" s="361">
        <v>27812.211993243243</v>
      </c>
      <c r="F91" s="361">
        <v>45111</v>
      </c>
      <c r="G91" s="361">
        <v>12032</v>
      </c>
      <c r="H91" s="361">
        <v>32368</v>
      </c>
      <c r="I91" s="361">
        <v>41153</v>
      </c>
      <c r="J91" s="361"/>
      <c r="K91" s="361"/>
      <c r="L91" s="361"/>
      <c r="P91" s="360"/>
    </row>
    <row r="92" spans="1:41" x14ac:dyDescent="0.6">
      <c r="A92" s="355" t="s">
        <v>51</v>
      </c>
      <c r="B92" s="361">
        <v>15963</v>
      </c>
      <c r="C92" s="361">
        <v>10107</v>
      </c>
      <c r="D92" s="361">
        <v>7204.5061679999999</v>
      </c>
      <c r="E92" s="361">
        <v>14204.869712596879</v>
      </c>
      <c r="F92" s="361">
        <v>16105</v>
      </c>
      <c r="G92" s="361">
        <v>4429</v>
      </c>
      <c r="H92" s="361">
        <v>8011</v>
      </c>
      <c r="I92" s="361">
        <v>12096</v>
      </c>
      <c r="J92" s="361"/>
      <c r="K92" s="361"/>
      <c r="L92" s="361"/>
      <c r="P92" s="360"/>
    </row>
    <row r="93" spans="1:41" x14ac:dyDescent="0.6">
      <c r="A93" s="355" t="s">
        <v>50</v>
      </c>
      <c r="B93" s="361">
        <v>41068</v>
      </c>
      <c r="C93" s="361">
        <v>40132</v>
      </c>
      <c r="D93" s="361">
        <v>32442</v>
      </c>
      <c r="E93" s="361">
        <v>41274.379680407124</v>
      </c>
      <c r="F93" s="361">
        <v>48524</v>
      </c>
      <c r="G93" s="361">
        <v>33223</v>
      </c>
      <c r="H93" s="361">
        <v>34859</v>
      </c>
      <c r="I93" s="361">
        <v>40733</v>
      </c>
      <c r="J93" s="361"/>
      <c r="K93" s="361"/>
      <c r="L93" s="361"/>
      <c r="N93" s="365"/>
      <c r="O93" s="384"/>
      <c r="P93" s="360"/>
    </row>
    <row r="94" spans="1:41" x14ac:dyDescent="0.6">
      <c r="A94" s="355" t="s">
        <v>49</v>
      </c>
      <c r="B94" s="361">
        <v>18426</v>
      </c>
      <c r="C94" s="361">
        <v>23286</v>
      </c>
      <c r="D94" s="361">
        <v>15682.781921</v>
      </c>
      <c r="E94" s="361">
        <v>17266.906940018547</v>
      </c>
      <c r="F94" s="361">
        <v>47833</v>
      </c>
      <c r="G94" s="361">
        <v>18982</v>
      </c>
      <c r="H94" s="361">
        <v>27035</v>
      </c>
      <c r="I94" s="361">
        <v>29022</v>
      </c>
      <c r="J94" s="361"/>
      <c r="K94" s="361"/>
      <c r="L94" s="361"/>
      <c r="N94" s="366"/>
      <c r="O94" s="384"/>
      <c r="P94" s="360"/>
    </row>
    <row r="95" spans="1:41" x14ac:dyDescent="0.6">
      <c r="A95" s="355" t="s">
        <v>48</v>
      </c>
      <c r="B95" s="361">
        <v>0</v>
      </c>
      <c r="C95" s="361">
        <v>0</v>
      </c>
      <c r="D95" s="361">
        <v>0</v>
      </c>
      <c r="E95" s="361">
        <v>0</v>
      </c>
      <c r="F95" s="361">
        <v>0</v>
      </c>
      <c r="G95" s="361">
        <v>0</v>
      </c>
      <c r="H95" s="361">
        <v>0</v>
      </c>
      <c r="I95" s="361">
        <v>0</v>
      </c>
      <c r="J95" s="361"/>
      <c r="K95" s="361"/>
      <c r="L95" s="361"/>
      <c r="N95" s="366"/>
      <c r="O95" s="384"/>
      <c r="P95" s="360"/>
    </row>
    <row r="96" spans="1:41" x14ac:dyDescent="0.6">
      <c r="A96" s="355" t="s">
        <v>47</v>
      </c>
      <c r="B96" s="361">
        <v>0</v>
      </c>
      <c r="C96" s="361">
        <v>0</v>
      </c>
      <c r="D96" s="361">
        <v>0</v>
      </c>
      <c r="E96" s="361">
        <v>0</v>
      </c>
      <c r="F96" s="361">
        <v>0</v>
      </c>
      <c r="G96" s="361">
        <v>0</v>
      </c>
      <c r="H96" s="361">
        <v>0</v>
      </c>
      <c r="I96" s="361">
        <v>0</v>
      </c>
      <c r="J96" s="361"/>
      <c r="K96" s="361"/>
      <c r="L96" s="361"/>
      <c r="M96" s="402"/>
      <c r="N96" s="402"/>
      <c r="O96" s="384"/>
      <c r="P96" s="360"/>
    </row>
    <row r="97" spans="1:16" x14ac:dyDescent="0.6">
      <c r="A97" s="355" t="s">
        <v>118</v>
      </c>
      <c r="B97" s="361">
        <v>0</v>
      </c>
      <c r="C97" s="361">
        <v>0</v>
      </c>
      <c r="D97" s="361">
        <v>0</v>
      </c>
      <c r="E97" s="361">
        <v>0</v>
      </c>
      <c r="F97" s="361">
        <v>0</v>
      </c>
      <c r="G97" s="361">
        <v>0</v>
      </c>
      <c r="H97" s="361">
        <v>0</v>
      </c>
      <c r="I97" s="361">
        <v>0</v>
      </c>
      <c r="J97" s="361"/>
      <c r="K97" s="361"/>
      <c r="L97" s="361"/>
      <c r="N97" s="403"/>
      <c r="O97" s="383"/>
      <c r="P97" s="360"/>
    </row>
    <row r="98" spans="1:16" x14ac:dyDescent="0.6">
      <c r="A98" s="355" t="s">
        <v>45</v>
      </c>
      <c r="B98" s="361">
        <v>0</v>
      </c>
      <c r="C98" s="361">
        <v>0</v>
      </c>
      <c r="D98" s="361">
        <v>0</v>
      </c>
      <c r="E98" s="361">
        <v>0</v>
      </c>
      <c r="F98" s="361">
        <v>0</v>
      </c>
      <c r="G98" s="361">
        <v>0</v>
      </c>
      <c r="H98" s="361">
        <v>0</v>
      </c>
      <c r="I98" s="361">
        <v>0</v>
      </c>
      <c r="J98" s="361"/>
      <c r="K98" s="361"/>
      <c r="L98" s="361"/>
      <c r="N98" s="365"/>
      <c r="O98" s="383"/>
      <c r="P98" s="360"/>
    </row>
    <row r="99" spans="1:16" x14ac:dyDescent="0.6">
      <c r="A99" s="355" t="s">
        <v>44</v>
      </c>
      <c r="B99" s="361">
        <v>0</v>
      </c>
      <c r="C99" s="361">
        <v>0</v>
      </c>
      <c r="D99" s="361">
        <v>0</v>
      </c>
      <c r="E99" s="361">
        <v>0</v>
      </c>
      <c r="F99" s="361">
        <v>0</v>
      </c>
      <c r="G99" s="361">
        <v>0</v>
      </c>
      <c r="H99" s="361">
        <v>0</v>
      </c>
      <c r="I99" s="361">
        <v>0</v>
      </c>
      <c r="J99" s="361"/>
      <c r="K99" s="361"/>
      <c r="L99" s="361"/>
      <c r="N99" s="366"/>
      <c r="O99" s="383"/>
      <c r="P99" s="360"/>
    </row>
    <row r="100" spans="1:16" x14ac:dyDescent="0.6">
      <c r="A100" s="355" t="s">
        <v>43</v>
      </c>
      <c r="B100" s="361">
        <v>10365</v>
      </c>
      <c r="C100" s="361">
        <v>14898</v>
      </c>
      <c r="D100" s="361">
        <v>12510.617974999996</v>
      </c>
      <c r="E100" s="361">
        <v>12173.817489893714</v>
      </c>
      <c r="F100" s="361">
        <v>25749</v>
      </c>
      <c r="G100" s="361">
        <v>3448</v>
      </c>
      <c r="H100" s="361">
        <v>18581</v>
      </c>
      <c r="I100" s="361">
        <v>28485</v>
      </c>
      <c r="J100" s="361"/>
      <c r="K100" s="361"/>
      <c r="L100" s="361"/>
      <c r="M100" s="402"/>
      <c r="N100" s="402"/>
      <c r="O100" s="383"/>
      <c r="P100" s="360"/>
    </row>
    <row r="101" spans="1:16" x14ac:dyDescent="0.6">
      <c r="A101" s="355" t="s">
        <v>42</v>
      </c>
      <c r="B101" s="361">
        <v>92564</v>
      </c>
      <c r="C101" s="361">
        <v>144909</v>
      </c>
      <c r="D101" s="361">
        <v>89584.411521999995</v>
      </c>
      <c r="E101" s="361">
        <f>SUM(E91:E100)</f>
        <v>112732.18581615952</v>
      </c>
      <c r="F101" s="361">
        <v>183322</v>
      </c>
      <c r="G101" s="361">
        <v>72114</v>
      </c>
      <c r="H101" s="361">
        <v>120854</v>
      </c>
      <c r="I101" s="361">
        <v>151489</v>
      </c>
      <c r="J101" s="361">
        <f>K101-I101</f>
        <v>86829.6</v>
      </c>
      <c r="K101" s="361">
        <f>F101*1.3</f>
        <v>238318.6</v>
      </c>
      <c r="L101" s="361">
        <f>K101*1.3</f>
        <v>309814.18</v>
      </c>
      <c r="N101" s="366"/>
      <c r="O101" s="383"/>
      <c r="P101" s="360"/>
    </row>
    <row r="102" spans="1:16" x14ac:dyDescent="0.6">
      <c r="A102" s="382"/>
      <c r="D102" s="360"/>
      <c r="E102" s="360"/>
      <c r="F102" s="360"/>
      <c r="G102" s="360"/>
      <c r="H102" s="360"/>
      <c r="I102" s="360"/>
      <c r="J102" s="360"/>
      <c r="K102" s="360"/>
      <c r="N102" s="360"/>
      <c r="O102" s="383"/>
      <c r="P102" s="360"/>
    </row>
    <row r="103" spans="1:16" ht="23.25" thickBot="1" x14ac:dyDescent="0.65">
      <c r="A103" s="382"/>
      <c r="D103" s="360"/>
      <c r="E103" s="360"/>
      <c r="F103" s="360"/>
      <c r="G103" s="360"/>
      <c r="H103" s="360"/>
      <c r="I103" s="360"/>
      <c r="J103" s="360"/>
      <c r="K103" s="360"/>
      <c r="N103" s="360"/>
      <c r="O103" s="383"/>
      <c r="P103" s="360"/>
    </row>
    <row r="104" spans="1:16" x14ac:dyDescent="0.6">
      <c r="A104" s="356" t="s">
        <v>56</v>
      </c>
      <c r="B104" s="350" t="s">
        <v>135</v>
      </c>
      <c r="C104" s="350" t="s">
        <v>138</v>
      </c>
      <c r="D104" s="350" t="s">
        <v>140</v>
      </c>
      <c r="E104" s="350" t="s">
        <v>141</v>
      </c>
      <c r="F104" s="350" t="s">
        <v>142</v>
      </c>
      <c r="G104" s="350" t="s">
        <v>143</v>
      </c>
      <c r="H104" s="349" t="s">
        <v>144</v>
      </c>
      <c r="I104" s="350" t="s">
        <v>145</v>
      </c>
      <c r="J104" s="350" t="s">
        <v>146</v>
      </c>
      <c r="K104" s="351" t="s">
        <v>147</v>
      </c>
      <c r="L104" s="351" t="s">
        <v>2522</v>
      </c>
      <c r="N104" s="366"/>
      <c r="O104" s="383"/>
      <c r="P104" s="360"/>
    </row>
    <row r="105" spans="1:16" x14ac:dyDescent="0.6">
      <c r="A105" s="355"/>
      <c r="B105" s="353" t="s">
        <v>62</v>
      </c>
      <c r="C105" s="353" t="s">
        <v>40</v>
      </c>
      <c r="D105" s="353" t="s">
        <v>95</v>
      </c>
      <c r="E105" s="353" t="s">
        <v>94</v>
      </c>
      <c r="F105" s="353" t="s">
        <v>39</v>
      </c>
      <c r="G105" s="353" t="s">
        <v>54</v>
      </c>
      <c r="H105" s="352" t="s">
        <v>148</v>
      </c>
      <c r="I105" s="353" t="s">
        <v>149</v>
      </c>
      <c r="J105" s="353" t="s">
        <v>146</v>
      </c>
      <c r="K105" s="354" t="s">
        <v>150</v>
      </c>
      <c r="L105" s="354" t="s">
        <v>2523</v>
      </c>
      <c r="N105" s="366"/>
      <c r="O105" s="383"/>
      <c r="P105" s="360"/>
    </row>
    <row r="106" spans="1:16" x14ac:dyDescent="0.6">
      <c r="A106" s="355" t="s">
        <v>52</v>
      </c>
      <c r="B106" s="361"/>
      <c r="C106" s="361"/>
      <c r="D106" s="361">
        <v>12416.248883</v>
      </c>
      <c r="E106" s="361">
        <v>14023.787827414655</v>
      </c>
      <c r="F106" s="361">
        <v>25050</v>
      </c>
      <c r="G106" s="361">
        <v>6821</v>
      </c>
      <c r="H106" s="361">
        <v>14023</v>
      </c>
      <c r="I106" s="361">
        <v>14240</v>
      </c>
      <c r="J106" s="361"/>
      <c r="K106" s="361"/>
      <c r="L106" s="361"/>
      <c r="N106" s="360"/>
      <c r="O106" s="383"/>
      <c r="P106" s="360"/>
    </row>
    <row r="107" spans="1:16" x14ac:dyDescent="0.6">
      <c r="A107" s="355" t="s">
        <v>51</v>
      </c>
      <c r="B107" s="361"/>
      <c r="C107" s="361"/>
      <c r="D107" s="361">
        <v>220</v>
      </c>
      <c r="E107" s="361">
        <v>390.63391709641422</v>
      </c>
      <c r="F107" s="361">
        <v>1440</v>
      </c>
      <c r="G107" s="361">
        <v>396</v>
      </c>
      <c r="H107" s="361">
        <v>851</v>
      </c>
      <c r="I107" s="361">
        <v>802</v>
      </c>
      <c r="J107" s="361"/>
      <c r="K107" s="361"/>
      <c r="L107" s="361"/>
      <c r="N107" s="360"/>
      <c r="O107" s="383"/>
      <c r="P107" s="360"/>
    </row>
    <row r="108" spans="1:16" x14ac:dyDescent="0.6">
      <c r="A108" s="355" t="s">
        <v>50</v>
      </c>
      <c r="B108" s="361"/>
      <c r="C108" s="361"/>
      <c r="D108" s="361">
        <v>0</v>
      </c>
      <c r="E108" s="361">
        <v>0</v>
      </c>
      <c r="F108" s="361">
        <v>0</v>
      </c>
      <c r="G108" s="361">
        <v>0</v>
      </c>
      <c r="H108" s="361">
        <v>0</v>
      </c>
      <c r="I108" s="361">
        <v>0</v>
      </c>
      <c r="J108" s="361"/>
      <c r="K108" s="361"/>
      <c r="L108" s="361"/>
      <c r="N108" s="360"/>
      <c r="O108" s="383"/>
      <c r="P108" s="360"/>
    </row>
    <row r="109" spans="1:16" x14ac:dyDescent="0.6">
      <c r="A109" s="355" t="s">
        <v>49</v>
      </c>
      <c r="B109" s="361"/>
      <c r="C109" s="361"/>
      <c r="D109" s="361">
        <v>0</v>
      </c>
      <c r="E109" s="361">
        <v>0</v>
      </c>
      <c r="F109" s="361">
        <v>0</v>
      </c>
      <c r="G109" s="361">
        <v>0</v>
      </c>
      <c r="H109" s="361">
        <v>0</v>
      </c>
      <c r="I109" s="361">
        <v>0</v>
      </c>
      <c r="J109" s="361"/>
      <c r="K109" s="361"/>
      <c r="L109" s="361"/>
      <c r="N109" s="360"/>
      <c r="O109" s="383"/>
      <c r="P109" s="360"/>
    </row>
    <row r="110" spans="1:16" x14ac:dyDescent="0.6">
      <c r="A110" s="355" t="s">
        <v>48</v>
      </c>
      <c r="B110" s="361"/>
      <c r="C110" s="361"/>
      <c r="D110" s="361">
        <v>0</v>
      </c>
      <c r="E110" s="361">
        <v>0</v>
      </c>
      <c r="F110" s="361">
        <v>0</v>
      </c>
      <c r="G110" s="361">
        <v>0</v>
      </c>
      <c r="H110" s="361">
        <v>0</v>
      </c>
      <c r="I110" s="361">
        <v>0</v>
      </c>
      <c r="J110" s="361"/>
      <c r="K110" s="361"/>
      <c r="L110" s="361"/>
      <c r="N110" s="360"/>
      <c r="O110" s="383"/>
      <c r="P110" s="360"/>
    </row>
    <row r="111" spans="1:16" x14ac:dyDescent="0.6">
      <c r="A111" s="355" t="s">
        <v>47</v>
      </c>
      <c r="B111" s="361"/>
      <c r="C111" s="361"/>
      <c r="D111" s="361">
        <v>0</v>
      </c>
      <c r="E111" s="361">
        <v>0</v>
      </c>
      <c r="F111" s="361">
        <v>0</v>
      </c>
      <c r="G111" s="361">
        <v>0</v>
      </c>
      <c r="H111" s="361">
        <v>0</v>
      </c>
      <c r="I111" s="361">
        <v>0</v>
      </c>
      <c r="J111" s="361"/>
      <c r="K111" s="361"/>
      <c r="L111" s="361"/>
      <c r="N111" s="360"/>
      <c r="O111" s="383"/>
      <c r="P111" s="360"/>
    </row>
    <row r="112" spans="1:16" x14ac:dyDescent="0.6">
      <c r="A112" s="355" t="s">
        <v>118</v>
      </c>
      <c r="B112" s="361"/>
      <c r="C112" s="361"/>
      <c r="D112" s="361">
        <v>0</v>
      </c>
      <c r="E112" s="361">
        <v>0</v>
      </c>
      <c r="F112" s="361">
        <v>0</v>
      </c>
      <c r="G112" s="361">
        <v>0</v>
      </c>
      <c r="H112" s="361">
        <v>0</v>
      </c>
      <c r="I112" s="361">
        <v>0</v>
      </c>
      <c r="J112" s="361"/>
      <c r="K112" s="361"/>
      <c r="L112" s="361"/>
      <c r="N112" s="360"/>
      <c r="O112" s="383"/>
      <c r="P112" s="360"/>
    </row>
    <row r="113" spans="1:24" x14ac:dyDescent="0.6">
      <c r="A113" s="355" t="s">
        <v>45</v>
      </c>
      <c r="B113" s="361"/>
      <c r="C113" s="361"/>
      <c r="D113" s="361">
        <v>0</v>
      </c>
      <c r="E113" s="361">
        <v>0</v>
      </c>
      <c r="F113" s="361">
        <v>0</v>
      </c>
      <c r="G113" s="361">
        <v>0</v>
      </c>
      <c r="H113" s="361">
        <v>0</v>
      </c>
      <c r="I113" s="361">
        <v>0</v>
      </c>
      <c r="J113" s="361"/>
      <c r="K113" s="361"/>
      <c r="L113" s="361"/>
      <c r="N113" s="360"/>
      <c r="O113" s="383"/>
      <c r="P113" s="360"/>
    </row>
    <row r="114" spans="1:24" x14ac:dyDescent="0.6">
      <c r="A114" s="355" t="s">
        <v>44</v>
      </c>
      <c r="B114" s="361"/>
      <c r="C114" s="361"/>
      <c r="D114" s="361"/>
      <c r="E114" s="361"/>
      <c r="F114" s="361">
        <v>1075</v>
      </c>
      <c r="G114" s="361">
        <v>433</v>
      </c>
      <c r="H114" s="361">
        <v>784</v>
      </c>
      <c r="I114" s="361">
        <v>1238</v>
      </c>
      <c r="J114" s="361"/>
      <c r="K114" s="361"/>
      <c r="L114" s="361"/>
      <c r="N114" s="360"/>
      <c r="O114" s="383"/>
      <c r="P114" s="360"/>
    </row>
    <row r="115" spans="1:24" x14ac:dyDescent="0.6">
      <c r="A115" s="355" t="s">
        <v>43</v>
      </c>
      <c r="B115" s="361"/>
      <c r="C115" s="361"/>
      <c r="D115" s="361">
        <v>7846.8882646452766</v>
      </c>
      <c r="E115" s="361">
        <v>7294.2005974184949</v>
      </c>
      <c r="F115" s="361">
        <v>11912</v>
      </c>
      <c r="G115" s="361">
        <v>12529</v>
      </c>
      <c r="H115" s="361">
        <v>13995</v>
      </c>
      <c r="I115" s="361">
        <v>22757</v>
      </c>
      <c r="J115" s="361"/>
      <c r="K115" s="361"/>
      <c r="L115" s="361"/>
      <c r="N115" s="360"/>
      <c r="O115" s="383"/>
      <c r="P115" s="360"/>
    </row>
    <row r="116" spans="1:24" x14ac:dyDescent="0.6">
      <c r="A116" s="355" t="s">
        <v>42</v>
      </c>
      <c r="B116" s="361">
        <v>26629</v>
      </c>
      <c r="C116" s="367">
        <v>52296</v>
      </c>
      <c r="D116" s="361">
        <v>20483.137147645277</v>
      </c>
      <c r="E116" s="361">
        <v>21708.622341929564</v>
      </c>
      <c r="F116" s="361">
        <v>39477</v>
      </c>
      <c r="G116" s="361">
        <v>20179</v>
      </c>
      <c r="H116" s="361">
        <v>29653</v>
      </c>
      <c r="I116" s="361">
        <v>39037</v>
      </c>
      <c r="J116" s="361">
        <f>K116-I116</f>
        <v>12283.099999999999</v>
      </c>
      <c r="K116" s="361">
        <f>F116*1.3</f>
        <v>51320.1</v>
      </c>
      <c r="L116" s="361">
        <f>K116*1.3</f>
        <v>66716.13</v>
      </c>
    </row>
    <row r="118" spans="1:24" ht="23.25" thickBot="1" x14ac:dyDescent="0.65"/>
    <row r="119" spans="1:24" x14ac:dyDescent="0.6">
      <c r="A119" s="356"/>
      <c r="B119" s="349" t="s">
        <v>132</v>
      </c>
      <c r="C119" s="349" t="s">
        <v>133</v>
      </c>
      <c r="D119" s="349" t="s">
        <v>134</v>
      </c>
      <c r="E119" s="350" t="s">
        <v>135</v>
      </c>
      <c r="F119" s="350" t="s">
        <v>136</v>
      </c>
      <c r="G119" s="350" t="s">
        <v>137</v>
      </c>
      <c r="H119" s="350" t="s">
        <v>154</v>
      </c>
      <c r="I119" s="350" t="s">
        <v>138</v>
      </c>
      <c r="J119" s="350" t="s">
        <v>139</v>
      </c>
      <c r="K119" s="350" t="s">
        <v>140</v>
      </c>
      <c r="L119" s="350" t="s">
        <v>141</v>
      </c>
      <c r="M119" s="350" t="s">
        <v>142</v>
      </c>
      <c r="N119" s="350" t="s">
        <v>143</v>
      </c>
      <c r="O119" s="349" t="s">
        <v>144</v>
      </c>
      <c r="P119" s="350" t="s">
        <v>145</v>
      </c>
      <c r="Q119" s="350" t="s">
        <v>146</v>
      </c>
      <c r="R119" s="350" t="s">
        <v>147</v>
      </c>
      <c r="S119" s="351" t="s">
        <v>2522</v>
      </c>
      <c r="U119" s="357"/>
    </row>
    <row r="120" spans="1:24" x14ac:dyDescent="0.6">
      <c r="A120" s="355" t="s">
        <v>58</v>
      </c>
      <c r="B120" s="352" t="s">
        <v>106</v>
      </c>
      <c r="C120" s="352" t="s">
        <v>97</v>
      </c>
      <c r="D120" s="352" t="s">
        <v>96</v>
      </c>
      <c r="E120" s="353" t="s">
        <v>62</v>
      </c>
      <c r="F120" s="353" t="s">
        <v>107</v>
      </c>
      <c r="G120" s="353" t="s">
        <v>108</v>
      </c>
      <c r="H120" s="353" t="s">
        <v>109</v>
      </c>
      <c r="I120" s="353" t="s">
        <v>40</v>
      </c>
      <c r="J120" s="353" t="s">
        <v>55</v>
      </c>
      <c r="K120" s="353" t="s">
        <v>95</v>
      </c>
      <c r="L120" s="353" t="s">
        <v>94</v>
      </c>
      <c r="M120" s="353" t="s">
        <v>39</v>
      </c>
      <c r="N120" s="353" t="s">
        <v>54</v>
      </c>
      <c r="O120" s="352" t="s">
        <v>148</v>
      </c>
      <c r="P120" s="353" t="s">
        <v>149</v>
      </c>
      <c r="Q120" s="353" t="s">
        <v>146</v>
      </c>
      <c r="R120" s="353" t="s">
        <v>150</v>
      </c>
      <c r="S120" s="354" t="s">
        <v>2523</v>
      </c>
      <c r="U120" s="357"/>
    </row>
    <row r="121" spans="1:24" x14ac:dyDescent="0.6">
      <c r="A121" s="355" t="s">
        <v>37</v>
      </c>
      <c r="B121" s="386">
        <v>381918</v>
      </c>
      <c r="C121" s="386">
        <v>590375</v>
      </c>
      <c r="D121" s="386">
        <v>872508</v>
      </c>
      <c r="E121" s="386">
        <v>975447</v>
      </c>
      <c r="F121" s="386">
        <v>378178</v>
      </c>
      <c r="G121" s="386">
        <v>1024743</v>
      </c>
      <c r="H121" s="386">
        <v>1397859</v>
      </c>
      <c r="I121" s="386">
        <v>2006027</v>
      </c>
      <c r="J121" s="386">
        <v>476705</v>
      </c>
      <c r="K121" s="386">
        <v>896743</v>
      </c>
      <c r="L121" s="386">
        <v>1390285</v>
      </c>
      <c r="M121" s="386">
        <v>2375659</v>
      </c>
      <c r="N121" s="386">
        <v>1010808</v>
      </c>
      <c r="O121" s="386">
        <v>1839832</v>
      </c>
      <c r="P121" s="386">
        <v>2188518</v>
      </c>
      <c r="Q121" s="386">
        <f>Q37</f>
        <v>894734.20508129464</v>
      </c>
      <c r="R121" s="386">
        <f>Q121+P121</f>
        <v>3083252.2050812948</v>
      </c>
      <c r="S121" s="391">
        <f>S37</f>
        <v>4004147.148046534</v>
      </c>
    </row>
    <row r="122" spans="1:24" x14ac:dyDescent="0.6">
      <c r="A122" s="355" t="s">
        <v>36</v>
      </c>
      <c r="B122" s="386">
        <v>-278721</v>
      </c>
      <c r="C122" s="386">
        <v>-446080</v>
      </c>
      <c r="D122" s="386">
        <v>-707640</v>
      </c>
      <c r="E122" s="386">
        <v>-864213</v>
      </c>
      <c r="F122" s="386">
        <v>-339764</v>
      </c>
      <c r="G122" s="386">
        <v>-854235</v>
      </c>
      <c r="H122" s="386">
        <v>-1201612</v>
      </c>
      <c r="I122" s="386">
        <v>-1730691</v>
      </c>
      <c r="J122" s="386">
        <v>-403261</v>
      </c>
      <c r="K122" s="386">
        <v>-720099</v>
      </c>
      <c r="L122" s="386">
        <v>-1152098</v>
      </c>
      <c r="M122" s="386">
        <v>-1933631</v>
      </c>
      <c r="N122" s="386">
        <v>-785431</v>
      </c>
      <c r="O122" s="386">
        <v>-1361544</v>
      </c>
      <c r="P122" s="386">
        <v>-1625676</v>
      </c>
      <c r="Q122" s="386">
        <f>-H69</f>
        <v>-226046.38956278958</v>
      </c>
      <c r="R122" s="386">
        <f>Q122+P122</f>
        <v>-1851722.3895627896</v>
      </c>
      <c r="S122" s="391">
        <f>-J69</f>
        <v>-3794401.8759800992</v>
      </c>
    </row>
    <row r="123" spans="1:24" x14ac:dyDescent="0.6">
      <c r="A123" s="355" t="s">
        <v>35</v>
      </c>
      <c r="B123" s="386">
        <f>SUM(B121:B122)</f>
        <v>103197</v>
      </c>
      <c r="C123" s="386">
        <f t="shared" ref="C123:S123" si="55">SUM(C121:C122)</f>
        <v>144295</v>
      </c>
      <c r="D123" s="386">
        <f t="shared" si="55"/>
        <v>164868</v>
      </c>
      <c r="E123" s="386">
        <f t="shared" si="55"/>
        <v>111234</v>
      </c>
      <c r="F123" s="386">
        <f t="shared" si="55"/>
        <v>38414</v>
      </c>
      <c r="G123" s="386">
        <f t="shared" si="55"/>
        <v>170508</v>
      </c>
      <c r="H123" s="386">
        <f t="shared" si="55"/>
        <v>196247</v>
      </c>
      <c r="I123" s="386">
        <f t="shared" si="55"/>
        <v>275336</v>
      </c>
      <c r="J123" s="386">
        <f t="shared" si="55"/>
        <v>73444</v>
      </c>
      <c r="K123" s="386">
        <f t="shared" si="55"/>
        <v>176644</v>
      </c>
      <c r="L123" s="386">
        <f t="shared" si="55"/>
        <v>238187</v>
      </c>
      <c r="M123" s="386">
        <f t="shared" si="55"/>
        <v>442028</v>
      </c>
      <c r="N123" s="386">
        <f t="shared" si="55"/>
        <v>225377</v>
      </c>
      <c r="O123" s="386">
        <f t="shared" si="55"/>
        <v>478288</v>
      </c>
      <c r="P123" s="386">
        <f t="shared" si="55"/>
        <v>562842</v>
      </c>
      <c r="Q123" s="386">
        <f t="shared" si="55"/>
        <v>668687.81551850506</v>
      </c>
      <c r="R123" s="386">
        <f>Q123+P123</f>
        <v>1231529.8155185049</v>
      </c>
      <c r="S123" s="391">
        <f t="shared" si="55"/>
        <v>209745.27206643485</v>
      </c>
    </row>
    <row r="124" spans="1:24" x14ac:dyDescent="0.6">
      <c r="A124" s="355" t="s">
        <v>34</v>
      </c>
      <c r="B124" s="386">
        <v>-18430</v>
      </c>
      <c r="C124" s="386">
        <v>-25151</v>
      </c>
      <c r="D124" s="386">
        <v>-26279</v>
      </c>
      <c r="E124" s="386">
        <v>-26629</v>
      </c>
      <c r="F124" s="386">
        <v>-6002</v>
      </c>
      <c r="G124" s="386">
        <v>-41685</v>
      </c>
      <c r="H124" s="386">
        <v>-41322</v>
      </c>
      <c r="I124" s="386">
        <v>-52297</v>
      </c>
      <c r="J124" s="386">
        <v>-13851</v>
      </c>
      <c r="K124" s="386">
        <v>-20483</v>
      </c>
      <c r="L124" s="386">
        <v>-21709</v>
      </c>
      <c r="M124" s="386">
        <v>-39477</v>
      </c>
      <c r="N124" s="386">
        <v>-20179</v>
      </c>
      <c r="O124" s="386">
        <v>-29653</v>
      </c>
      <c r="P124" s="386">
        <v>-39037</v>
      </c>
      <c r="Q124" s="386">
        <f>-J116</f>
        <v>-12283.099999999999</v>
      </c>
      <c r="R124" s="386">
        <f>Q124+P124</f>
        <v>-51320.1</v>
      </c>
      <c r="S124" s="391">
        <f>-L116</f>
        <v>-66716.13</v>
      </c>
    </row>
    <row r="125" spans="1:24" x14ac:dyDescent="0.6">
      <c r="A125" s="355" t="s">
        <v>33</v>
      </c>
      <c r="B125" s="386">
        <v>9533</v>
      </c>
      <c r="C125" s="386">
        <v>3816</v>
      </c>
      <c r="D125" s="386">
        <v>1753</v>
      </c>
      <c r="E125" s="386">
        <v>21876</v>
      </c>
      <c r="F125" s="386">
        <v>0</v>
      </c>
      <c r="G125" s="386">
        <v>3950</v>
      </c>
      <c r="H125" s="386">
        <v>4150</v>
      </c>
      <c r="I125" s="386">
        <v>7860</v>
      </c>
      <c r="J125" s="386">
        <v>1409</v>
      </c>
      <c r="K125" s="386">
        <v>4853</v>
      </c>
      <c r="L125" s="386">
        <v>1247</v>
      </c>
      <c r="M125" s="386">
        <v>15688</v>
      </c>
      <c r="N125" s="386">
        <v>2269</v>
      </c>
      <c r="O125" s="386">
        <v>4090</v>
      </c>
      <c r="P125" s="386">
        <v>4343</v>
      </c>
      <c r="Q125" s="386">
        <f>R125-P125</f>
        <v>11345</v>
      </c>
      <c r="R125" s="386">
        <f>M125</f>
        <v>15688</v>
      </c>
      <c r="S125" s="391">
        <f>R125</f>
        <v>15688</v>
      </c>
      <c r="V125" s="365"/>
      <c r="W125" s="365"/>
      <c r="X125" s="365"/>
    </row>
    <row r="126" spans="1:24" x14ac:dyDescent="0.6">
      <c r="A126" s="355" t="s">
        <v>32</v>
      </c>
      <c r="B126" s="386">
        <v>-8897</v>
      </c>
      <c r="C126" s="386">
        <v>-21335</v>
      </c>
      <c r="D126" s="386">
        <v>0</v>
      </c>
      <c r="E126" s="386">
        <v>0</v>
      </c>
      <c r="F126" s="386">
        <v>0</v>
      </c>
      <c r="G126" s="386">
        <v>0</v>
      </c>
      <c r="H126" s="386">
        <v>0</v>
      </c>
      <c r="I126" s="386">
        <v>0</v>
      </c>
      <c r="J126" s="386">
        <v>0</v>
      </c>
      <c r="K126" s="386">
        <v>0</v>
      </c>
      <c r="L126" s="386">
        <v>0</v>
      </c>
      <c r="M126" s="386">
        <v>0</v>
      </c>
      <c r="N126" s="386">
        <v>0</v>
      </c>
      <c r="O126" s="386">
        <v>0</v>
      </c>
      <c r="P126" s="386">
        <v>0</v>
      </c>
      <c r="Q126" s="386">
        <v>0</v>
      </c>
      <c r="R126" s="386">
        <v>0</v>
      </c>
      <c r="S126" s="391">
        <v>0</v>
      </c>
      <c r="V126" s="365"/>
      <c r="W126" s="365"/>
      <c r="X126" s="365"/>
    </row>
    <row r="127" spans="1:24" x14ac:dyDescent="0.6">
      <c r="A127" s="355" t="s">
        <v>31</v>
      </c>
      <c r="B127" s="386">
        <f>SUM(B123:B126)</f>
        <v>85403</v>
      </c>
      <c r="C127" s="386">
        <f t="shared" ref="C127:R127" si="56">SUM(C123:C126)</f>
        <v>101625</v>
      </c>
      <c r="D127" s="386">
        <f t="shared" si="56"/>
        <v>140342</v>
      </c>
      <c r="E127" s="386">
        <f t="shared" si="56"/>
        <v>106481</v>
      </c>
      <c r="F127" s="386">
        <f t="shared" si="56"/>
        <v>32412</v>
      </c>
      <c r="G127" s="386">
        <f t="shared" si="56"/>
        <v>132773</v>
      </c>
      <c r="H127" s="386">
        <f t="shared" si="56"/>
        <v>159075</v>
      </c>
      <c r="I127" s="386">
        <f t="shared" si="56"/>
        <v>230899</v>
      </c>
      <c r="J127" s="386">
        <f t="shared" si="56"/>
        <v>61002</v>
      </c>
      <c r="K127" s="386">
        <f t="shared" si="56"/>
        <v>161014</v>
      </c>
      <c r="L127" s="386">
        <f t="shared" si="56"/>
        <v>217725</v>
      </c>
      <c r="M127" s="386">
        <f t="shared" si="56"/>
        <v>418239</v>
      </c>
      <c r="N127" s="386">
        <f t="shared" si="56"/>
        <v>207467</v>
      </c>
      <c r="O127" s="386">
        <f t="shared" si="56"/>
        <v>452725</v>
      </c>
      <c r="P127" s="386">
        <f t="shared" si="56"/>
        <v>528148</v>
      </c>
      <c r="Q127" s="386">
        <f t="shared" si="56"/>
        <v>667749.71551850508</v>
      </c>
      <c r="R127" s="386">
        <f t="shared" si="56"/>
        <v>1195897.7155185048</v>
      </c>
      <c r="S127" s="391">
        <f>SUM(S123:S126)</f>
        <v>158717.14206643484</v>
      </c>
      <c r="V127" s="365"/>
      <c r="W127" s="365"/>
      <c r="X127" s="365"/>
    </row>
    <row r="128" spans="1:24" x14ac:dyDescent="0.6">
      <c r="A128" s="355" t="s">
        <v>30</v>
      </c>
      <c r="B128" s="386">
        <v>-2432</v>
      </c>
      <c r="C128" s="386">
        <v>-9079</v>
      </c>
      <c r="D128" s="386">
        <v>-28804</v>
      </c>
      <c r="E128" s="386">
        <v>-20049</v>
      </c>
      <c r="F128" s="386">
        <v>-9000</v>
      </c>
      <c r="G128" s="386">
        <v>-11370</v>
      </c>
      <c r="H128" s="386">
        <v>-19546</v>
      </c>
      <c r="I128" s="386">
        <v>-18362</v>
      </c>
      <c r="J128" s="386">
        <v>-947</v>
      </c>
      <c r="K128" s="386">
        <v>-1177</v>
      </c>
      <c r="L128" s="386">
        <v>-2678</v>
      </c>
      <c r="M128" s="386">
        <v>-3017</v>
      </c>
      <c r="N128" s="386">
        <v>-3933</v>
      </c>
      <c r="O128" s="386">
        <v>-24701</v>
      </c>
      <c r="P128" s="386">
        <v>-35099</v>
      </c>
      <c r="Q128" s="386">
        <f>R128-P128</f>
        <v>-9901</v>
      </c>
      <c r="R128" s="386">
        <f>-45000</f>
        <v>-45000</v>
      </c>
      <c r="S128" s="391">
        <f>R128</f>
        <v>-45000</v>
      </c>
      <c r="V128" s="365"/>
      <c r="W128" s="365"/>
      <c r="X128" s="365"/>
    </row>
    <row r="129" spans="1:26" x14ac:dyDescent="0.6">
      <c r="A129" s="355" t="s">
        <v>29</v>
      </c>
      <c r="C129" s="386"/>
      <c r="D129" s="386">
        <v>0</v>
      </c>
      <c r="E129" s="386">
        <v>0</v>
      </c>
      <c r="F129" s="386">
        <v>0</v>
      </c>
      <c r="G129" s="386">
        <v>0</v>
      </c>
      <c r="H129" s="386">
        <v>0</v>
      </c>
      <c r="I129" s="386">
        <v>0</v>
      </c>
      <c r="J129" s="386">
        <v>0</v>
      </c>
      <c r="K129" s="386">
        <v>0</v>
      </c>
      <c r="L129" s="386">
        <v>0</v>
      </c>
      <c r="M129" s="386">
        <v>0</v>
      </c>
      <c r="N129" s="386">
        <v>0</v>
      </c>
      <c r="O129" s="386">
        <v>0</v>
      </c>
      <c r="P129" s="386">
        <v>0</v>
      </c>
      <c r="Q129" s="386">
        <v>0</v>
      </c>
      <c r="R129" s="386">
        <v>0</v>
      </c>
      <c r="S129" s="391">
        <v>0</v>
      </c>
      <c r="V129" s="365"/>
      <c r="W129" s="365"/>
      <c r="X129" s="365"/>
    </row>
    <row r="130" spans="1:26" x14ac:dyDescent="0.6">
      <c r="A130" s="355" t="s">
        <v>28</v>
      </c>
      <c r="B130" s="386">
        <v>4920</v>
      </c>
      <c r="C130" s="386">
        <v>19272</v>
      </c>
      <c r="D130" s="386">
        <v>6160</v>
      </c>
      <c r="E130" s="386">
        <v>3720</v>
      </c>
      <c r="F130" s="386">
        <v>0</v>
      </c>
      <c r="G130" s="386">
        <v>3068</v>
      </c>
      <c r="H130" s="386">
        <v>424</v>
      </c>
      <c r="I130" s="386">
        <v>8617</v>
      </c>
      <c r="J130" s="386">
        <v>305</v>
      </c>
      <c r="K130" s="386">
        <v>2434</v>
      </c>
      <c r="L130" s="386">
        <v>6917</v>
      </c>
      <c r="M130" s="386">
        <v>24591</v>
      </c>
      <c r="N130" s="386">
        <v>776</v>
      </c>
      <c r="O130" s="386">
        <v>30768</v>
      </c>
      <c r="P130" s="386">
        <v>60151</v>
      </c>
      <c r="Q130" s="386">
        <f>O130</f>
        <v>30768</v>
      </c>
      <c r="R130" s="386">
        <f>Q130+P130</f>
        <v>90919</v>
      </c>
      <c r="S130" s="391">
        <f>R130</f>
        <v>90919</v>
      </c>
      <c r="V130" s="366"/>
      <c r="W130" s="366"/>
      <c r="X130" s="366"/>
    </row>
    <row r="131" spans="1:26" x14ac:dyDescent="0.6">
      <c r="A131" s="355" t="s">
        <v>27</v>
      </c>
      <c r="B131" s="386">
        <v>96788</v>
      </c>
      <c r="C131" s="386">
        <v>133153</v>
      </c>
      <c r="D131" s="386">
        <v>117698</v>
      </c>
      <c r="E131" s="386">
        <v>90152</v>
      </c>
      <c r="F131" s="386">
        <v>23412</v>
      </c>
      <c r="G131" s="386">
        <v>124471</v>
      </c>
      <c r="H131" s="386">
        <v>139953</v>
      </c>
      <c r="I131" s="386">
        <v>221154</v>
      </c>
      <c r="J131" s="386">
        <f>SUM(J127:J130)</f>
        <v>60360</v>
      </c>
      <c r="K131" s="386">
        <f t="shared" ref="K131:R131" si="57">SUM(K127:K130)</f>
        <v>162271</v>
      </c>
      <c r="L131" s="386">
        <f t="shared" si="57"/>
        <v>221964</v>
      </c>
      <c r="M131" s="386">
        <f t="shared" si="57"/>
        <v>439813</v>
      </c>
      <c r="N131" s="386">
        <f t="shared" si="57"/>
        <v>204310</v>
      </c>
      <c r="O131" s="386">
        <f t="shared" si="57"/>
        <v>458792</v>
      </c>
      <c r="P131" s="386">
        <f t="shared" si="57"/>
        <v>553200</v>
      </c>
      <c r="Q131" s="386">
        <f t="shared" si="57"/>
        <v>688616.71551850508</v>
      </c>
      <c r="R131" s="386">
        <f t="shared" si="57"/>
        <v>1241816.7155185048</v>
      </c>
      <c r="S131" s="391">
        <f>SUM(S127:S130)</f>
        <v>204636.14206643484</v>
      </c>
      <c r="V131" s="365"/>
      <c r="W131" s="365"/>
      <c r="X131" s="365"/>
    </row>
    <row r="132" spans="1:26" x14ac:dyDescent="0.6">
      <c r="A132" s="355" t="s">
        <v>26</v>
      </c>
      <c r="B132" s="386">
        <v>-17088</v>
      </c>
      <c r="C132" s="386">
        <v>-22343</v>
      </c>
      <c r="D132" s="386">
        <v>-20958</v>
      </c>
      <c r="E132" s="386">
        <v>-19462</v>
      </c>
      <c r="F132" s="386">
        <v>-702</v>
      </c>
      <c r="G132" s="386">
        <v>-29111</v>
      </c>
      <c r="H132" s="386">
        <v>-27007</v>
      </c>
      <c r="I132" s="386">
        <v>-40108</v>
      </c>
      <c r="J132" s="386">
        <v>-12883</v>
      </c>
      <c r="K132" s="386">
        <v>-47634</v>
      </c>
      <c r="L132" s="386">
        <v>-44275</v>
      </c>
      <c r="M132" s="386">
        <v>-117068</v>
      </c>
      <c r="N132" s="386">
        <v>-45971</v>
      </c>
      <c r="O132" s="386">
        <v>-98937</v>
      </c>
      <c r="P132" s="386">
        <v>-113760</v>
      </c>
      <c r="Q132" s="386">
        <f>R132-P132</f>
        <v>-109767.00879333087</v>
      </c>
      <c r="R132" s="386">
        <f>-R131*0.18</f>
        <v>-223527.00879333087</v>
      </c>
      <c r="S132" s="391">
        <f>-S131*0.18</f>
        <v>-36834.505571958267</v>
      </c>
      <c r="V132" s="365"/>
      <c r="W132" s="365"/>
      <c r="X132" s="365"/>
    </row>
    <row r="133" spans="1:26" x14ac:dyDescent="0.6">
      <c r="A133" s="355" t="s">
        <v>25</v>
      </c>
      <c r="B133" s="386">
        <v>79700</v>
      </c>
      <c r="C133" s="386">
        <v>110810</v>
      </c>
      <c r="D133" s="386">
        <v>96740</v>
      </c>
      <c r="E133" s="386">
        <v>70690</v>
      </c>
      <c r="F133" s="386">
        <v>22710</v>
      </c>
      <c r="G133" s="386">
        <v>95360</v>
      </c>
      <c r="H133" s="386">
        <v>112946</v>
      </c>
      <c r="I133" s="386">
        <v>181046</v>
      </c>
      <c r="J133" s="386">
        <f>SUM(J131:J132)</f>
        <v>47477</v>
      </c>
      <c r="K133" s="386">
        <f t="shared" ref="K133:R133" si="58">SUM(K131:K132)</f>
        <v>114637</v>
      </c>
      <c r="L133" s="386">
        <f t="shared" si="58"/>
        <v>177689</v>
      </c>
      <c r="M133" s="386">
        <f t="shared" si="58"/>
        <v>322745</v>
      </c>
      <c r="N133" s="386">
        <f t="shared" si="58"/>
        <v>158339</v>
      </c>
      <c r="O133" s="386">
        <f t="shared" si="58"/>
        <v>359855</v>
      </c>
      <c r="P133" s="386">
        <f t="shared" si="58"/>
        <v>439440</v>
      </c>
      <c r="Q133" s="386">
        <f t="shared" si="58"/>
        <v>578849.70672517421</v>
      </c>
      <c r="R133" s="386">
        <f t="shared" si="58"/>
        <v>1018289.706725174</v>
      </c>
      <c r="S133" s="391">
        <f>SUM(S131:S132)</f>
        <v>167801.63649447658</v>
      </c>
      <c r="V133" s="366"/>
      <c r="W133" s="366"/>
      <c r="X133" s="366"/>
    </row>
    <row r="134" spans="1:26" x14ac:dyDescent="0.6">
      <c r="A134" s="355" t="s">
        <v>24</v>
      </c>
      <c r="B134" s="386">
        <v>0</v>
      </c>
      <c r="C134" s="386">
        <v>0</v>
      </c>
      <c r="D134" s="386">
        <v>0</v>
      </c>
      <c r="E134" s="386">
        <v>0</v>
      </c>
      <c r="F134" s="386">
        <v>0</v>
      </c>
      <c r="G134" s="386">
        <v>0</v>
      </c>
      <c r="H134" s="386">
        <v>0</v>
      </c>
      <c r="I134" s="386">
        <v>0</v>
      </c>
      <c r="J134" s="386">
        <v>0</v>
      </c>
      <c r="K134" s="386">
        <v>0</v>
      </c>
      <c r="L134" s="386">
        <v>0</v>
      </c>
      <c r="M134" s="386">
        <v>0</v>
      </c>
      <c r="N134" s="386">
        <v>0</v>
      </c>
      <c r="O134" s="386">
        <v>0</v>
      </c>
      <c r="P134" s="386">
        <v>0</v>
      </c>
      <c r="Q134" s="386">
        <v>0</v>
      </c>
      <c r="R134" s="386">
        <v>0</v>
      </c>
      <c r="S134" s="391">
        <v>0</v>
      </c>
      <c r="T134" s="403"/>
      <c r="V134" s="365"/>
      <c r="W134" s="365"/>
      <c r="X134" s="365"/>
    </row>
    <row r="135" spans="1:26" x14ac:dyDescent="0.6">
      <c r="A135" s="355" t="s">
        <v>23</v>
      </c>
      <c r="B135" s="386">
        <v>79700</v>
      </c>
      <c r="C135" s="386">
        <v>110810</v>
      </c>
      <c r="D135" s="386">
        <v>96740</v>
      </c>
      <c r="E135" s="386">
        <v>70690</v>
      </c>
      <c r="F135" s="386">
        <v>22710</v>
      </c>
      <c r="G135" s="386">
        <v>95360</v>
      </c>
      <c r="H135" s="386">
        <v>112946</v>
      </c>
      <c r="I135" s="386">
        <v>181046</v>
      </c>
      <c r="J135" s="386">
        <f>SUM(J133:J134)</f>
        <v>47477</v>
      </c>
      <c r="K135" s="386">
        <f t="shared" ref="K135:R135" si="59">SUM(K133:K134)</f>
        <v>114637</v>
      </c>
      <c r="L135" s="386">
        <f t="shared" si="59"/>
        <v>177689</v>
      </c>
      <c r="M135" s="386">
        <f t="shared" si="59"/>
        <v>322745</v>
      </c>
      <c r="N135" s="386">
        <f t="shared" si="59"/>
        <v>158339</v>
      </c>
      <c r="O135" s="386">
        <f t="shared" si="59"/>
        <v>359855</v>
      </c>
      <c r="P135" s="386">
        <f t="shared" si="59"/>
        <v>439440</v>
      </c>
      <c r="Q135" s="386">
        <f t="shared" si="59"/>
        <v>578849.70672517421</v>
      </c>
      <c r="R135" s="386">
        <f t="shared" si="59"/>
        <v>1018289.706725174</v>
      </c>
      <c r="S135" s="391">
        <f>SUM(S133:S134)</f>
        <v>167801.63649447658</v>
      </c>
      <c r="T135" s="403"/>
      <c r="V135" s="365"/>
      <c r="W135" s="365"/>
      <c r="X135" s="365"/>
    </row>
    <row r="136" spans="1:26" x14ac:dyDescent="0.6">
      <c r="A136" s="355" t="s">
        <v>22</v>
      </c>
      <c r="B136" s="386">
        <f>B135*1000/B137</f>
        <v>291.30116959064327</v>
      </c>
      <c r="C136" s="386">
        <f>C135*1000/C137</f>
        <v>405.00730994152048</v>
      </c>
      <c r="D136" s="386">
        <v>354</v>
      </c>
      <c r="E136" s="386">
        <v>258</v>
      </c>
      <c r="F136" s="386">
        <v>83</v>
      </c>
      <c r="G136" s="386">
        <v>349</v>
      </c>
      <c r="H136" s="386">
        <v>413</v>
      </c>
      <c r="I136" s="386">
        <v>662</v>
      </c>
      <c r="J136" s="386">
        <f>J135*1000/J137</f>
        <v>173.52704678362574</v>
      </c>
      <c r="K136" s="386">
        <f>K135*1000/K137</f>
        <v>418.99488304093569</v>
      </c>
      <c r="L136" s="386">
        <f t="shared" ref="L136:S136" si="60">L135*1000/L137</f>
        <v>649.44809941520464</v>
      </c>
      <c r="M136" s="386">
        <f t="shared" si="60"/>
        <v>1179.6235380116959</v>
      </c>
      <c r="N136" s="386">
        <f t="shared" si="60"/>
        <v>578.72441520467839</v>
      </c>
      <c r="O136" s="386">
        <f t="shared" si="60"/>
        <v>1315.2595029239767</v>
      </c>
      <c r="P136" s="386">
        <f t="shared" si="60"/>
        <v>1606.140350877193</v>
      </c>
      <c r="Q136" s="372">
        <f t="shared" si="60"/>
        <v>2115.6787526504904</v>
      </c>
      <c r="R136" s="386">
        <f>Q136+P136</f>
        <v>3721.8191035276832</v>
      </c>
      <c r="S136" s="391">
        <f t="shared" si="60"/>
        <v>613.31007490671266</v>
      </c>
      <c r="V136" s="365"/>
      <c r="W136" s="365"/>
      <c r="X136" s="365"/>
    </row>
    <row r="137" spans="1:26" ht="23.25" thickBot="1" x14ac:dyDescent="0.65">
      <c r="A137" s="368" t="s">
        <v>21</v>
      </c>
      <c r="B137" s="404">
        <v>273600</v>
      </c>
      <c r="C137" s="404">
        <v>273600</v>
      </c>
      <c r="D137" s="404">
        <v>273600</v>
      </c>
      <c r="E137" s="404">
        <v>273600</v>
      </c>
      <c r="F137" s="404">
        <v>273600</v>
      </c>
      <c r="G137" s="404">
        <v>273600</v>
      </c>
      <c r="H137" s="404">
        <v>273600</v>
      </c>
      <c r="I137" s="404">
        <v>273600</v>
      </c>
      <c r="J137" s="404">
        <v>273600</v>
      </c>
      <c r="K137" s="404">
        <v>273600</v>
      </c>
      <c r="L137" s="404">
        <v>273600</v>
      </c>
      <c r="M137" s="404">
        <v>273600</v>
      </c>
      <c r="N137" s="404">
        <v>273600</v>
      </c>
      <c r="O137" s="404">
        <v>273600</v>
      </c>
      <c r="P137" s="404">
        <v>273600</v>
      </c>
      <c r="Q137" s="404">
        <v>273600</v>
      </c>
      <c r="R137" s="404">
        <v>273600</v>
      </c>
      <c r="S137" s="405">
        <v>273600</v>
      </c>
      <c r="V137" s="366"/>
      <c r="W137" s="366"/>
      <c r="X137" s="366"/>
    </row>
    <row r="138" spans="1:26" ht="23.25" thickBot="1" x14ac:dyDescent="0.65">
      <c r="V138" s="366"/>
      <c r="W138" s="366"/>
      <c r="X138" s="366"/>
    </row>
    <row r="139" spans="1:26" ht="24" thickTop="1" thickBot="1" x14ac:dyDescent="0.65">
      <c r="L139" s="639" t="s">
        <v>150</v>
      </c>
      <c r="M139" s="625" t="s">
        <v>2587</v>
      </c>
      <c r="N139" s="626"/>
      <c r="O139" s="626"/>
      <c r="P139" s="626"/>
      <c r="Q139" s="626"/>
      <c r="R139" s="626"/>
      <c r="S139" s="626"/>
      <c r="T139" s="626"/>
      <c r="U139" s="626"/>
      <c r="V139" s="626"/>
      <c r="W139" s="626"/>
      <c r="X139" s="626"/>
      <c r="Y139" s="626"/>
      <c r="Z139" s="627"/>
    </row>
    <row r="140" spans="1:26" ht="27" thickTop="1" thickBot="1" x14ac:dyDescent="0.65">
      <c r="A140" s="38" t="s">
        <v>150</v>
      </c>
      <c r="B140" s="38"/>
      <c r="C140" s="38" t="s">
        <v>2524</v>
      </c>
      <c r="D140" s="39" t="s">
        <v>18</v>
      </c>
      <c r="E140" s="39" t="s">
        <v>214</v>
      </c>
      <c r="F140" s="39" t="s">
        <v>17</v>
      </c>
      <c r="G140" s="39" t="s">
        <v>2506</v>
      </c>
      <c r="H140" s="39" t="s">
        <v>2508</v>
      </c>
      <c r="I140" s="39" t="s">
        <v>2525</v>
      </c>
      <c r="L140" s="639"/>
      <c r="M140" s="628"/>
      <c r="N140" s="629"/>
      <c r="O140" s="629"/>
      <c r="P140" s="629"/>
      <c r="Q140" s="629"/>
      <c r="R140" s="629"/>
      <c r="S140" s="629"/>
      <c r="T140" s="629"/>
      <c r="U140" s="629"/>
      <c r="V140" s="629"/>
      <c r="W140" s="629"/>
      <c r="X140" s="629"/>
      <c r="Y140" s="629"/>
      <c r="Z140" s="630"/>
    </row>
    <row r="141" spans="1:26" ht="27" thickTop="1" thickBot="1" x14ac:dyDescent="0.65">
      <c r="A141" s="40" t="s">
        <v>2555</v>
      </c>
      <c r="B141" s="41">
        <f>E141</f>
        <v>66637.272373248386</v>
      </c>
      <c r="C141" s="42">
        <f>AVERAGE(M5,I5)</f>
        <v>64888.5</v>
      </c>
      <c r="D141" s="43">
        <v>63255</v>
      </c>
      <c r="E141" s="43">
        <f>P5*M5/L5</f>
        <v>66637.272373248386</v>
      </c>
      <c r="F141" s="43"/>
      <c r="G141" s="44">
        <f>AVERAGE(H141,I141,E141,C141)</f>
        <v>65325.693093312097</v>
      </c>
      <c r="H141" s="44">
        <f>MAX(M5,I5,B5:E5)</f>
        <v>66006</v>
      </c>
      <c r="I141" s="44">
        <f>MIN(M5,I5)</f>
        <v>63771</v>
      </c>
      <c r="L141" s="638" t="s">
        <v>2516</v>
      </c>
      <c r="M141" s="568">
        <f>B146</f>
        <v>3721.8191035276832</v>
      </c>
      <c r="N141" s="569">
        <v>28000000</v>
      </c>
      <c r="O141" s="570">
        <v>29000000</v>
      </c>
      <c r="P141" s="569">
        <v>30000000</v>
      </c>
      <c r="Q141" s="570">
        <v>31000000</v>
      </c>
      <c r="R141" s="569">
        <v>32000000</v>
      </c>
      <c r="S141" s="570">
        <v>33000000</v>
      </c>
      <c r="T141" s="569">
        <v>34000000</v>
      </c>
      <c r="U141" s="570">
        <v>35000000</v>
      </c>
      <c r="V141" s="569">
        <v>36000000</v>
      </c>
      <c r="W141" s="570">
        <v>37000000</v>
      </c>
      <c r="X141" s="569">
        <v>38000000</v>
      </c>
      <c r="Y141" s="570">
        <v>39000000</v>
      </c>
      <c r="Z141" s="571">
        <v>40000000</v>
      </c>
    </row>
    <row r="142" spans="1:26" ht="27" thickTop="1" thickBot="1" x14ac:dyDescent="0.65">
      <c r="A142" s="343" t="s">
        <v>16</v>
      </c>
      <c r="B142" s="41">
        <f>C142</f>
        <v>31481851.719623946</v>
      </c>
      <c r="C142" s="341">
        <f>P42</f>
        <v>31481851.719623946</v>
      </c>
      <c r="D142" s="48"/>
      <c r="E142" s="49">
        <f>P42</f>
        <v>31481851.719623946</v>
      </c>
      <c r="F142" s="49">
        <v>40500000</v>
      </c>
      <c r="G142" s="50"/>
      <c r="H142" s="49">
        <f>MAX(B42:P42)</f>
        <v>31795027.325686146</v>
      </c>
      <c r="I142" s="49">
        <f>MIN(B42:P42)</f>
        <v>12916249.352443447</v>
      </c>
      <c r="L142" s="638"/>
      <c r="M142" s="572">
        <v>55000</v>
      </c>
      <c r="N142" s="397">
        <f t="dataTable" ref="N142:Z149" dt2D="1" dtr="1" r1="B142" r2="B141"/>
        <v>4411.5458352776013</v>
      </c>
      <c r="O142" s="397">
        <v>4454.6541216019023</v>
      </c>
      <c r="P142" s="397">
        <v>4497.7624079262032</v>
      </c>
      <c r="Q142" s="397">
        <v>4540.870694250505</v>
      </c>
      <c r="R142" s="397">
        <v>4583.978980574806</v>
      </c>
      <c r="S142" s="397">
        <v>4627.0872668991069</v>
      </c>
      <c r="T142" s="397">
        <v>4670.1955532234078</v>
      </c>
      <c r="U142" s="397">
        <v>4713.3038395477088</v>
      </c>
      <c r="V142" s="397">
        <v>4756.4121258720106</v>
      </c>
      <c r="W142" s="397">
        <v>4799.5204121963116</v>
      </c>
      <c r="X142" s="397">
        <v>4842.6286985206125</v>
      </c>
      <c r="Y142" s="397">
        <v>4885.7369848449134</v>
      </c>
      <c r="Z142" s="573">
        <v>4928.8452711692153</v>
      </c>
    </row>
    <row r="143" spans="1:26" ht="27" thickTop="1" thickBot="1" x14ac:dyDescent="0.65">
      <c r="A143" s="342" t="s">
        <v>2530</v>
      </c>
      <c r="B143" s="347">
        <f>H143</f>
        <v>8.0047295404829519</v>
      </c>
      <c r="C143" s="299">
        <f>I76</f>
        <v>7.0979499708895561</v>
      </c>
      <c r="D143" s="53"/>
      <c r="E143" s="54">
        <f>G76</f>
        <v>8.0047295404829519</v>
      </c>
      <c r="F143" s="55"/>
      <c r="G143" s="55"/>
      <c r="H143" s="54">
        <f>MAX(B76:G76)</f>
        <v>8.0047295404829519</v>
      </c>
      <c r="I143" s="54">
        <f>MIN(B76:G76)</f>
        <v>6.5797724625996592</v>
      </c>
      <c r="L143" s="638"/>
      <c r="M143" s="572">
        <v>57000</v>
      </c>
      <c r="N143" s="397">
        <v>4267.1068211567344</v>
      </c>
      <c r="O143" s="397">
        <v>4310.2454477070878</v>
      </c>
      <c r="P143" s="397">
        <v>4353.3840742574421</v>
      </c>
      <c r="Q143" s="397">
        <v>4396.5227008077954</v>
      </c>
      <c r="R143" s="397">
        <v>4439.6613273581488</v>
      </c>
      <c r="S143" s="397">
        <v>4482.7999539085031</v>
      </c>
      <c r="T143" s="397">
        <v>4525.9385804588574</v>
      </c>
      <c r="U143" s="397">
        <v>4569.0772070092107</v>
      </c>
      <c r="V143" s="397">
        <v>4612.215833559565</v>
      </c>
      <c r="W143" s="397">
        <v>4655.3544601099193</v>
      </c>
      <c r="X143" s="397">
        <v>4698.4930866602726</v>
      </c>
      <c r="Y143" s="397">
        <v>4741.631713210626</v>
      </c>
      <c r="Z143" s="573">
        <v>4784.7703397609803</v>
      </c>
    </row>
    <row r="144" spans="1:26" ht="27" thickTop="1" thickBot="1" x14ac:dyDescent="0.65">
      <c r="A144" s="56" t="s">
        <v>2532</v>
      </c>
      <c r="B144" s="57">
        <f>B143*B141</f>
        <v>533413.34266334982</v>
      </c>
      <c r="C144" s="58"/>
      <c r="D144" s="59"/>
      <c r="E144" s="60"/>
      <c r="F144" s="60"/>
      <c r="G144" s="60"/>
      <c r="H144" s="60"/>
      <c r="I144" s="60"/>
      <c r="L144" s="638"/>
      <c r="M144" s="572">
        <v>59000</v>
      </c>
      <c r="N144" s="397">
        <v>4122.6678070358676</v>
      </c>
      <c r="O144" s="397">
        <v>4165.8367738122743</v>
      </c>
      <c r="P144" s="397">
        <v>4209.0057405886801</v>
      </c>
      <c r="Q144" s="397">
        <v>4252.1747073650868</v>
      </c>
      <c r="R144" s="397">
        <v>4295.3436741414935</v>
      </c>
      <c r="S144" s="397">
        <v>4338.5126409179002</v>
      </c>
      <c r="T144" s="397">
        <v>4381.681607694306</v>
      </c>
      <c r="U144" s="397">
        <v>4424.8505744707127</v>
      </c>
      <c r="V144" s="397">
        <v>4468.0195412471194</v>
      </c>
      <c r="W144" s="397">
        <v>4511.1885080235252</v>
      </c>
      <c r="X144" s="397">
        <v>4554.3574747999319</v>
      </c>
      <c r="Y144" s="397">
        <v>4597.5264415763377</v>
      </c>
      <c r="Z144" s="573">
        <v>4640.6954083527444</v>
      </c>
    </row>
    <row r="145" spans="1:26" ht="27" thickTop="1" thickBot="1" x14ac:dyDescent="0.65">
      <c r="A145" s="61" t="s">
        <v>2528</v>
      </c>
      <c r="B145" s="57">
        <f>E145</f>
        <v>3028007.4763374804</v>
      </c>
      <c r="C145" s="62">
        <f>AVERAGE(B86:G86)</f>
        <v>3096529.5158882183</v>
      </c>
      <c r="D145" s="63"/>
      <c r="E145" s="64">
        <f>G86</f>
        <v>3028007.4763374804</v>
      </c>
      <c r="F145" s="64"/>
      <c r="G145" s="65"/>
      <c r="H145" s="65"/>
      <c r="I145" s="65"/>
      <c r="L145" s="638"/>
      <c r="M145" s="572">
        <v>61000</v>
      </c>
      <c r="N145" s="397">
        <v>3978.2287929150007</v>
      </c>
      <c r="O145" s="397">
        <v>4021.4280999174598</v>
      </c>
      <c r="P145" s="397">
        <v>4064.6274069199189</v>
      </c>
      <c r="Q145" s="397">
        <v>4107.8267139223781</v>
      </c>
      <c r="R145" s="397">
        <v>4151.0260209248372</v>
      </c>
      <c r="S145" s="397">
        <v>4194.2253279272963</v>
      </c>
      <c r="T145" s="397">
        <v>4237.4246349297546</v>
      </c>
      <c r="U145" s="397">
        <v>4280.6239419322146</v>
      </c>
      <c r="V145" s="397">
        <v>4323.8232489346728</v>
      </c>
      <c r="W145" s="397">
        <v>4367.022555937132</v>
      </c>
      <c r="X145" s="397">
        <v>4410.2218629395911</v>
      </c>
      <c r="Y145" s="397">
        <v>4453.4211699420493</v>
      </c>
      <c r="Z145" s="573">
        <v>4496.6204769445085</v>
      </c>
    </row>
    <row r="146" spans="1:26" ht="27" thickTop="1" thickBot="1" x14ac:dyDescent="0.75">
      <c r="A146" s="348" t="s">
        <v>11</v>
      </c>
      <c r="B146" s="67">
        <f>R136</f>
        <v>3721.8191035276832</v>
      </c>
      <c r="C146" s="100"/>
      <c r="D146" s="100"/>
      <c r="E146" s="100"/>
      <c r="F146" s="100"/>
      <c r="G146" s="100"/>
      <c r="H146" s="68">
        <f>MAX(M136,I136,B136:E136)</f>
        <v>1179.6235380116959</v>
      </c>
      <c r="I146" s="68">
        <f>MIN(M136,I136,B136:E136)</f>
        <v>258</v>
      </c>
      <c r="L146" s="638"/>
      <c r="M146" s="572">
        <v>63000</v>
      </c>
      <c r="N146" s="397">
        <v>3833.7897787941356</v>
      </c>
      <c r="O146" s="397">
        <v>3877.0194260226463</v>
      </c>
      <c r="P146" s="397">
        <v>3920.2490732511578</v>
      </c>
      <c r="Q146" s="397">
        <v>3963.4787204796694</v>
      </c>
      <c r="R146" s="397">
        <v>4006.708367708181</v>
      </c>
      <c r="S146" s="397">
        <v>4049.9380149366925</v>
      </c>
      <c r="T146" s="397">
        <v>4093.1676621652041</v>
      </c>
      <c r="U146" s="397">
        <v>4136.3973093937157</v>
      </c>
      <c r="V146" s="397">
        <v>4179.6269566222272</v>
      </c>
      <c r="W146" s="397">
        <v>4222.8566038507388</v>
      </c>
      <c r="X146" s="397">
        <v>4266.0862510792504</v>
      </c>
      <c r="Y146" s="397">
        <v>4309.3158983077619</v>
      </c>
      <c r="Z146" s="573">
        <v>4352.5455455362735</v>
      </c>
    </row>
    <row r="147" spans="1:26" ht="24" thickTop="1" thickBot="1" x14ac:dyDescent="0.65">
      <c r="A147" s="357"/>
      <c r="L147" s="638"/>
      <c r="M147" s="572">
        <v>65000</v>
      </c>
      <c r="N147" s="397">
        <v>3689.3507646732687</v>
      </c>
      <c r="O147" s="397">
        <v>3732.6107521278327</v>
      </c>
      <c r="P147" s="397">
        <v>3775.8707395823958</v>
      </c>
      <c r="Q147" s="397">
        <v>3819.1307270369607</v>
      </c>
      <c r="R147" s="397">
        <v>3862.3907144915247</v>
      </c>
      <c r="S147" s="397">
        <v>3905.6507019460887</v>
      </c>
      <c r="T147" s="397">
        <v>3948.9106894006527</v>
      </c>
      <c r="U147" s="397">
        <v>3992.1706768552167</v>
      </c>
      <c r="V147" s="397">
        <v>4035.4306643097807</v>
      </c>
      <c r="W147" s="397">
        <v>4078.6906517643447</v>
      </c>
      <c r="X147" s="397">
        <v>4121.9506392189096</v>
      </c>
      <c r="Y147" s="397">
        <v>4165.2106266734736</v>
      </c>
      <c r="Z147" s="573">
        <v>4208.4706141280376</v>
      </c>
    </row>
    <row r="148" spans="1:26" ht="27" thickTop="1" thickBot="1" x14ac:dyDescent="0.65">
      <c r="A148" s="38" t="s">
        <v>159</v>
      </c>
      <c r="B148" s="38"/>
      <c r="C148" s="38" t="s">
        <v>2524</v>
      </c>
      <c r="D148" s="39" t="s">
        <v>18</v>
      </c>
      <c r="E148" s="39" t="s">
        <v>214</v>
      </c>
      <c r="F148" s="39" t="s">
        <v>17</v>
      </c>
      <c r="G148" s="39" t="s">
        <v>2506</v>
      </c>
      <c r="H148" s="39" t="s">
        <v>2508</v>
      </c>
      <c r="I148" s="39" t="s">
        <v>2525</v>
      </c>
      <c r="L148" s="638"/>
      <c r="M148" s="572">
        <v>67000</v>
      </c>
      <c r="N148" s="397">
        <v>3544.9117505524018</v>
      </c>
      <c r="O148" s="397">
        <v>3588.2020782330183</v>
      </c>
      <c r="P148" s="397">
        <v>3631.4924059136351</v>
      </c>
      <c r="Q148" s="397">
        <v>3674.7827335942511</v>
      </c>
      <c r="R148" s="397">
        <v>3718.0730612748685</v>
      </c>
      <c r="S148" s="397">
        <v>3761.3633889554849</v>
      </c>
      <c r="T148" s="397">
        <v>3804.6537166361022</v>
      </c>
      <c r="U148" s="397">
        <v>3847.9440443167186</v>
      </c>
      <c r="V148" s="397">
        <v>3891.2343719973351</v>
      </c>
      <c r="W148" s="397">
        <v>3934.5246996779515</v>
      </c>
      <c r="X148" s="397">
        <v>3977.8150273585688</v>
      </c>
      <c r="Y148" s="397">
        <v>4021.1053550391853</v>
      </c>
      <c r="Z148" s="573">
        <v>4064.3956827198017</v>
      </c>
    </row>
    <row r="149" spans="1:26" ht="27" thickTop="1" thickBot="1" x14ac:dyDescent="0.65">
      <c r="A149" s="40" t="s">
        <v>2556</v>
      </c>
      <c r="B149" s="41">
        <f>C149</f>
        <v>65471.424124416131</v>
      </c>
      <c r="C149" s="42">
        <f>AVERAGE(R5,M5,I5)</f>
        <v>65471.424124416131</v>
      </c>
      <c r="D149" s="43"/>
      <c r="E149" s="43"/>
      <c r="F149" s="43"/>
      <c r="G149" s="44"/>
      <c r="H149" s="44">
        <f>MAX(R5,M5,I5)</f>
        <v>66637.272373248386</v>
      </c>
      <c r="I149" s="44">
        <f>MIN(I141,R5,M5,I5)</f>
        <v>63771</v>
      </c>
      <c r="L149" s="638"/>
      <c r="M149" s="574">
        <v>69000</v>
      </c>
      <c r="N149" s="575">
        <v>3400.4727364315358</v>
      </c>
      <c r="O149" s="575">
        <v>3443.7934043382043</v>
      </c>
      <c r="P149" s="575">
        <v>3487.114072244874</v>
      </c>
      <c r="Q149" s="575">
        <v>3530.4347401515433</v>
      </c>
      <c r="R149" s="575">
        <v>3573.7554080582127</v>
      </c>
      <c r="S149" s="575">
        <v>3617.076075964882</v>
      </c>
      <c r="T149" s="575">
        <v>3660.3967438715508</v>
      </c>
      <c r="U149" s="575">
        <v>3703.7174117782206</v>
      </c>
      <c r="V149" s="575">
        <v>3747.0380796848904</v>
      </c>
      <c r="W149" s="575">
        <v>3790.3587475915592</v>
      </c>
      <c r="X149" s="575">
        <v>3833.6794154982281</v>
      </c>
      <c r="Y149" s="575">
        <v>3877.0000834048969</v>
      </c>
      <c r="Z149" s="576">
        <v>3920.3207513115667</v>
      </c>
    </row>
    <row r="150" spans="1:26" ht="27" thickTop="1" thickBot="1" x14ac:dyDescent="0.65">
      <c r="A150" s="343" t="s">
        <v>2526</v>
      </c>
      <c r="B150" s="41">
        <f>پنل!B1</f>
        <v>40500000</v>
      </c>
      <c r="C150" s="341">
        <f>C142</f>
        <v>31481851.719623946</v>
      </c>
      <c r="D150" s="48"/>
      <c r="E150" s="49"/>
      <c r="F150" s="49">
        <v>40500000</v>
      </c>
      <c r="G150" s="50"/>
      <c r="H150" s="49"/>
      <c r="I150" s="49"/>
      <c r="O150" s="357"/>
    </row>
    <row r="151" spans="1:26" ht="27" thickTop="1" thickBot="1" x14ac:dyDescent="0.65">
      <c r="A151" s="342" t="s">
        <v>2531</v>
      </c>
      <c r="B151" s="347">
        <f>H151</f>
        <v>8.0047295404829519</v>
      </c>
      <c r="C151" s="299">
        <f>C143</f>
        <v>7.0979499708895561</v>
      </c>
      <c r="D151" s="53"/>
      <c r="E151" s="54"/>
      <c r="F151" s="55"/>
      <c r="G151" s="55"/>
      <c r="H151" s="54">
        <f>H143</f>
        <v>8.0047295404829519</v>
      </c>
      <c r="I151" s="54">
        <f>I143</f>
        <v>6.5797724625996592</v>
      </c>
      <c r="O151" s="357"/>
    </row>
    <row r="152" spans="1:26" ht="27" thickTop="1" thickBot="1" x14ac:dyDescent="0.65">
      <c r="A152" s="56" t="s">
        <v>2533</v>
      </c>
      <c r="B152" s="57">
        <f>B151*B141</f>
        <v>533413.34266334982</v>
      </c>
      <c r="C152" s="58"/>
      <c r="D152" s="59"/>
      <c r="E152" s="60"/>
      <c r="F152" s="60"/>
      <c r="G152" s="60"/>
      <c r="H152" s="60"/>
      <c r="I152" s="60"/>
      <c r="O152" s="357"/>
    </row>
    <row r="153" spans="1:26" ht="27" thickTop="1" thickBot="1" x14ac:dyDescent="0.65">
      <c r="A153" s="61" t="s">
        <v>2529</v>
      </c>
      <c r="B153" s="57">
        <f>پنل!B2</f>
        <v>6000000</v>
      </c>
      <c r="C153" s="62">
        <f>C145</f>
        <v>3096529.5158882183</v>
      </c>
      <c r="D153" s="63"/>
      <c r="E153" s="64">
        <f>E145</f>
        <v>3028007.4763374804</v>
      </c>
      <c r="F153" s="64"/>
      <c r="G153" s="65"/>
      <c r="H153" s="65"/>
      <c r="I153" s="65"/>
      <c r="L153" s="639" t="s">
        <v>159</v>
      </c>
      <c r="M153" s="625" t="s">
        <v>2587</v>
      </c>
      <c r="N153" s="626"/>
      <c r="O153" s="626"/>
      <c r="P153" s="626"/>
      <c r="Q153" s="626"/>
      <c r="R153" s="626"/>
      <c r="S153" s="626"/>
      <c r="T153" s="626"/>
      <c r="U153" s="626"/>
      <c r="V153" s="626"/>
      <c r="W153" s="626"/>
      <c r="X153" s="626"/>
      <c r="Y153" s="626"/>
      <c r="Z153" s="627"/>
    </row>
    <row r="154" spans="1:26" ht="27" thickTop="1" thickBot="1" x14ac:dyDescent="0.75">
      <c r="A154" s="348" t="s">
        <v>2527</v>
      </c>
      <c r="B154" s="67">
        <f>S136</f>
        <v>613.31007490671266</v>
      </c>
      <c r="C154" s="100"/>
      <c r="D154" s="100"/>
      <c r="E154" s="100"/>
      <c r="F154" s="100"/>
      <c r="G154" s="100"/>
      <c r="H154" s="68">
        <f>MAX(R136,M136,I136,B136:E136)</f>
        <v>3721.8191035276832</v>
      </c>
      <c r="I154" s="68">
        <f>MIN(I146,R136,M136,I136,B136:E136)</f>
        <v>258</v>
      </c>
      <c r="L154" s="639"/>
      <c r="M154" s="628"/>
      <c r="N154" s="629"/>
      <c r="O154" s="629"/>
      <c r="P154" s="629"/>
      <c r="Q154" s="629"/>
      <c r="R154" s="629"/>
      <c r="S154" s="629"/>
      <c r="T154" s="629"/>
      <c r="U154" s="629"/>
      <c r="V154" s="629"/>
      <c r="W154" s="629"/>
      <c r="X154" s="629"/>
      <c r="Y154" s="629"/>
      <c r="Z154" s="630"/>
    </row>
    <row r="155" spans="1:26" customFormat="1" ht="24" thickTop="1" thickBot="1" x14ac:dyDescent="0.65">
      <c r="L155" s="638" t="s">
        <v>2516</v>
      </c>
      <c r="M155" s="568">
        <f>B154</f>
        <v>613.31007490671266</v>
      </c>
      <c r="N155" s="569">
        <v>28000000</v>
      </c>
      <c r="O155" s="570">
        <v>29000000</v>
      </c>
      <c r="P155" s="569">
        <v>30000000</v>
      </c>
      <c r="Q155" s="570">
        <v>31000000</v>
      </c>
      <c r="R155" s="569">
        <v>32000000</v>
      </c>
      <c r="S155" s="570">
        <v>33000000</v>
      </c>
      <c r="T155" s="569">
        <v>34000000</v>
      </c>
      <c r="U155" s="570">
        <v>35000000</v>
      </c>
      <c r="V155" s="569">
        <v>36000000</v>
      </c>
      <c r="W155" s="570">
        <v>37000000</v>
      </c>
      <c r="X155" s="569">
        <v>38000000</v>
      </c>
      <c r="Y155" s="570">
        <v>39000000</v>
      </c>
      <c r="Z155" s="571">
        <v>40000000</v>
      </c>
    </row>
    <row r="156" spans="1:26" ht="30" thickTop="1" thickBot="1" x14ac:dyDescent="0.8">
      <c r="A156" s="634" t="s">
        <v>150</v>
      </c>
      <c r="B156" s="635"/>
      <c r="C156" s="87"/>
      <c r="D156" s="636" t="s">
        <v>159</v>
      </c>
      <c r="E156" s="637"/>
      <c r="F156" s="87"/>
      <c r="G156" s="87"/>
      <c r="H156" s="487" t="s">
        <v>1</v>
      </c>
      <c r="I156" s="488">
        <f>VLOOKUP(J1,'دیده بان بازار'!A:AH,11,0)</f>
        <v>23202</v>
      </c>
      <c r="L156" s="638"/>
      <c r="M156" s="572">
        <v>55000</v>
      </c>
      <c r="N156" s="397">
        <f t="dataTable" ref="N156:Z163" dt2D="1" dtr="1" r1="B150" r2="B149"/>
        <v>-4156.6322080791206</v>
      </c>
      <c r="O156" s="397">
        <v>-3898.3896677735097</v>
      </c>
      <c r="P156" s="397">
        <v>-3640.147127467897</v>
      </c>
      <c r="Q156" s="397">
        <v>-3381.9045871622839</v>
      </c>
      <c r="R156" s="397">
        <v>-3123.6620468566712</v>
      </c>
      <c r="S156" s="397">
        <v>-2865.4195065510617</v>
      </c>
      <c r="T156" s="397">
        <v>-2607.1769662454476</v>
      </c>
      <c r="U156" s="397">
        <v>-2348.9344259398349</v>
      </c>
      <c r="V156" s="397">
        <v>-2090.6918856342249</v>
      </c>
      <c r="W156" s="397">
        <v>-1832.4493453286104</v>
      </c>
      <c r="X156" s="397">
        <v>-1574.2068050230005</v>
      </c>
      <c r="Y156" s="397">
        <v>-1315.9642647173864</v>
      </c>
      <c r="Z156" s="573">
        <v>-1057.7217244117735</v>
      </c>
    </row>
    <row r="157" spans="1:26" ht="27" thickTop="1" thickBot="1" x14ac:dyDescent="0.75">
      <c r="A157" s="475" t="s">
        <v>10</v>
      </c>
      <c r="B157" s="476">
        <v>0.76</v>
      </c>
      <c r="C157" s="87"/>
      <c r="D157" s="475" t="s">
        <v>10</v>
      </c>
      <c r="E157" s="476">
        <v>0.76</v>
      </c>
      <c r="F157" s="87"/>
      <c r="G157" s="87"/>
      <c r="H157" s="489">
        <v>6</v>
      </c>
      <c r="I157" s="566">
        <f>$I$156/H157</f>
        <v>3867</v>
      </c>
      <c r="L157" s="638"/>
      <c r="M157" s="572">
        <v>57000</v>
      </c>
      <c r="N157" s="397">
        <v>-3953.0281509749511</v>
      </c>
      <c r="O157" s="397">
        <v>-3687.5140372013352</v>
      </c>
      <c r="P157" s="397">
        <v>-3421.9999234277166</v>
      </c>
      <c r="Q157" s="397">
        <v>-3156.4858096540975</v>
      </c>
      <c r="R157" s="397">
        <v>-2890.9716958804793</v>
      </c>
      <c r="S157" s="397">
        <v>-2625.4575821068629</v>
      </c>
      <c r="T157" s="397">
        <v>-2359.9434683332433</v>
      </c>
      <c r="U157" s="397">
        <v>-2094.4293545596256</v>
      </c>
      <c r="V157" s="397">
        <v>-1828.9152407860079</v>
      </c>
      <c r="W157" s="397">
        <v>-1563.4011270123883</v>
      </c>
      <c r="X157" s="397">
        <v>-1297.8870132387701</v>
      </c>
      <c r="Y157" s="397">
        <v>-1032.3728994651535</v>
      </c>
      <c r="Z157" s="573">
        <v>-766.85878569153283</v>
      </c>
    </row>
    <row r="158" spans="1:26" ht="27" thickTop="1" thickBot="1" x14ac:dyDescent="0.75">
      <c r="A158" s="477" t="s">
        <v>2543</v>
      </c>
      <c r="B158" s="478">
        <f>$B$157*B146</f>
        <v>2828.5825186810393</v>
      </c>
      <c r="C158" s="87"/>
      <c r="D158" s="477" t="s">
        <v>2549</v>
      </c>
      <c r="E158" s="478">
        <f>$B$157*B154</f>
        <v>466.11565692910165</v>
      </c>
      <c r="F158" s="87"/>
      <c r="G158" s="87"/>
      <c r="H158" s="489">
        <v>8</v>
      </c>
      <c r="I158" s="566">
        <f>$I$156/H158</f>
        <v>2900.25</v>
      </c>
      <c r="L158" s="638"/>
      <c r="M158" s="572">
        <v>59000</v>
      </c>
      <c r="N158" s="397">
        <v>-3749.4240938707849</v>
      </c>
      <c r="O158" s="397">
        <v>-3476.6384066291616</v>
      </c>
      <c r="P158" s="397">
        <v>-3203.852719387537</v>
      </c>
      <c r="Q158" s="397">
        <v>-2931.0670321459129</v>
      </c>
      <c r="R158" s="397">
        <v>-2658.2813449042878</v>
      </c>
      <c r="S158" s="397">
        <v>-2385.4956576626646</v>
      </c>
      <c r="T158" s="397">
        <v>-2112.7099704210405</v>
      </c>
      <c r="U158" s="397">
        <v>-1839.9242831794154</v>
      </c>
      <c r="V158" s="397">
        <v>-1567.1385959377922</v>
      </c>
      <c r="W158" s="397">
        <v>-1294.352908696166</v>
      </c>
      <c r="X158" s="397">
        <v>-1021.567221454544</v>
      </c>
      <c r="Y158" s="397">
        <v>-748.78153421292086</v>
      </c>
      <c r="Z158" s="573">
        <v>-475.99584697129484</v>
      </c>
    </row>
    <row r="159" spans="1:26" ht="27" thickTop="1" thickBot="1" x14ac:dyDescent="0.75">
      <c r="A159" s="357"/>
      <c r="C159" s="87"/>
      <c r="D159" s="87"/>
      <c r="E159" s="87"/>
      <c r="F159" s="87"/>
      <c r="G159" s="87"/>
      <c r="H159" s="490">
        <v>10</v>
      </c>
      <c r="I159" s="567">
        <f>$I$156/H159</f>
        <v>2320.1999999999998</v>
      </c>
      <c r="L159" s="638"/>
      <c r="M159" s="572">
        <v>61000</v>
      </c>
      <c r="N159" s="397">
        <v>-3545.8200367666159</v>
      </c>
      <c r="O159" s="397">
        <v>-3265.7627760569867</v>
      </c>
      <c r="P159" s="397">
        <v>-2985.705515347357</v>
      </c>
      <c r="Q159" s="397">
        <v>-2705.6482546377274</v>
      </c>
      <c r="R159" s="397">
        <v>-2425.5909939280964</v>
      </c>
      <c r="S159" s="397">
        <v>-2145.533733218469</v>
      </c>
      <c r="T159" s="397">
        <v>-1865.4764725088392</v>
      </c>
      <c r="U159" s="397">
        <v>-1585.419211799205</v>
      </c>
      <c r="V159" s="397">
        <v>-1305.3619510895765</v>
      </c>
      <c r="W159" s="397">
        <v>-1025.3046903799466</v>
      </c>
      <c r="X159" s="397">
        <v>-745.24742967031523</v>
      </c>
      <c r="Y159" s="397">
        <v>-465.1901689606853</v>
      </c>
      <c r="Z159" s="573">
        <v>-185.1329082510554</v>
      </c>
    </row>
    <row r="160" spans="1:26" ht="27" thickTop="1" thickBot="1" x14ac:dyDescent="0.75">
      <c r="A160" s="87"/>
      <c r="B160" s="87"/>
      <c r="C160" s="87"/>
      <c r="D160" s="87"/>
      <c r="E160" s="87"/>
      <c r="F160" s="87"/>
      <c r="G160" s="87"/>
      <c r="H160" s="87"/>
      <c r="I160" s="87"/>
      <c r="L160" s="638"/>
      <c r="M160" s="572">
        <v>63000</v>
      </c>
      <c r="N160" s="397">
        <v>-3342.2159796624492</v>
      </c>
      <c r="O160" s="397">
        <v>-3054.887145484814</v>
      </c>
      <c r="P160" s="397">
        <v>-2767.5583113071775</v>
      </c>
      <c r="Q160" s="397">
        <v>-2480.229477129541</v>
      </c>
      <c r="R160" s="397">
        <v>-2192.900642951904</v>
      </c>
      <c r="S160" s="397">
        <v>-1905.5718087742707</v>
      </c>
      <c r="T160" s="397">
        <v>-1618.2429745966326</v>
      </c>
      <c r="U160" s="397">
        <v>-1330.9141404189961</v>
      </c>
      <c r="V160" s="397">
        <v>-1043.585306241361</v>
      </c>
      <c r="W160" s="397">
        <v>-756.2564720637215</v>
      </c>
      <c r="X160" s="397">
        <v>-468.92763788608636</v>
      </c>
      <c r="Y160" s="397">
        <v>-181.59880370845258</v>
      </c>
      <c r="Z160" s="573">
        <v>105.73003046918399</v>
      </c>
    </row>
    <row r="161" spans="1:26" ht="27" thickTop="1" thickBot="1" x14ac:dyDescent="0.75">
      <c r="A161" s="479" t="s">
        <v>2510</v>
      </c>
      <c r="B161" s="480" t="s">
        <v>2542</v>
      </c>
      <c r="C161" s="87"/>
      <c r="D161" s="479" t="s">
        <v>2510</v>
      </c>
      <c r="E161" s="480" t="s">
        <v>2542</v>
      </c>
      <c r="F161" s="87"/>
      <c r="G161" s="87"/>
      <c r="H161" s="87"/>
      <c r="I161" s="87"/>
      <c r="L161" s="638"/>
      <c r="M161" s="572">
        <v>65000</v>
      </c>
      <c r="N161" s="397">
        <v>-3138.6119225582797</v>
      </c>
      <c r="O161" s="397">
        <v>-2844.01151491264</v>
      </c>
      <c r="P161" s="397">
        <v>-2549.4111072669994</v>
      </c>
      <c r="Q161" s="397">
        <v>-2254.810699621356</v>
      </c>
      <c r="R161" s="397">
        <v>-1960.210291975714</v>
      </c>
      <c r="S161" s="397">
        <v>-1665.6098843300722</v>
      </c>
      <c r="T161" s="397">
        <v>-1371.009476684429</v>
      </c>
      <c r="U161" s="397">
        <v>-1076.4090690387859</v>
      </c>
      <c r="V161" s="397">
        <v>-781.80866139314253</v>
      </c>
      <c r="W161" s="397">
        <v>-487.20825374750206</v>
      </c>
      <c r="X161" s="397">
        <v>-192.60784610186025</v>
      </c>
      <c r="Y161" s="397">
        <v>101.99256154378016</v>
      </c>
      <c r="Z161" s="573">
        <v>396.59296918942334</v>
      </c>
    </row>
    <row r="162" spans="1:26" ht="27" thickTop="1" thickBot="1" x14ac:dyDescent="0.75">
      <c r="A162" s="481" t="s">
        <v>2511</v>
      </c>
      <c r="B162" s="482" t="s">
        <v>2541</v>
      </c>
      <c r="C162" s="87"/>
      <c r="D162" s="481" t="s">
        <v>2511</v>
      </c>
      <c r="E162" s="482" t="s">
        <v>2541</v>
      </c>
      <c r="F162" s="87"/>
      <c r="G162" s="87"/>
      <c r="H162" s="87"/>
      <c r="I162" s="87"/>
      <c r="L162" s="638"/>
      <c r="M162" s="572">
        <v>67000</v>
      </c>
      <c r="N162" s="397">
        <v>-2935.007865454113</v>
      </c>
      <c r="O162" s="397">
        <v>-2633.1358843404678</v>
      </c>
      <c r="P162" s="397">
        <v>-2331.2639032268194</v>
      </c>
      <c r="Q162" s="397">
        <v>-2029.3919221131709</v>
      </c>
      <c r="R162" s="397">
        <v>-1727.5199409995223</v>
      </c>
      <c r="S162" s="397">
        <v>-1425.6479598858737</v>
      </c>
      <c r="T162" s="397">
        <v>-1123.775978772228</v>
      </c>
      <c r="U162" s="397">
        <v>-821.90399765857683</v>
      </c>
      <c r="V162" s="397">
        <v>-520.03201654492966</v>
      </c>
      <c r="W162" s="397">
        <v>-218.16003543127988</v>
      </c>
      <c r="X162" s="397">
        <v>83.711945682365823</v>
      </c>
      <c r="Y162" s="397">
        <v>385.58392679601292</v>
      </c>
      <c r="Z162" s="573">
        <v>687.45590790966276</v>
      </c>
    </row>
    <row r="163" spans="1:26" ht="27" thickTop="1" thickBot="1" x14ac:dyDescent="0.75">
      <c r="A163" s="87"/>
      <c r="B163" s="87"/>
      <c r="C163" s="87"/>
      <c r="D163" s="305"/>
      <c r="E163" s="305"/>
      <c r="F163" s="305"/>
      <c r="G163" s="305"/>
      <c r="H163" s="305"/>
      <c r="I163" s="87"/>
      <c r="L163" s="638"/>
      <c r="M163" s="574">
        <v>69000</v>
      </c>
      <c r="N163" s="575">
        <v>-2731.4038083499445</v>
      </c>
      <c r="O163" s="575">
        <v>-2422.2602537682919</v>
      </c>
      <c r="P163" s="575">
        <v>-2113.116699186638</v>
      </c>
      <c r="Q163" s="575">
        <v>-1803.9731446049841</v>
      </c>
      <c r="R163" s="575">
        <v>-1494.8295900233306</v>
      </c>
      <c r="S163" s="575">
        <v>-1185.6860354416754</v>
      </c>
      <c r="T163" s="575">
        <v>-876.54248086002156</v>
      </c>
      <c r="U163" s="575">
        <v>-567.39892627836662</v>
      </c>
      <c r="V163" s="575">
        <v>-258.25537169671276</v>
      </c>
      <c r="W163" s="575">
        <v>50.888182884942374</v>
      </c>
      <c r="X163" s="575">
        <v>360.0317374665961</v>
      </c>
      <c r="Y163" s="575">
        <v>669.17529204824837</v>
      </c>
      <c r="Z163" s="576">
        <v>978.31884662990501</v>
      </c>
    </row>
    <row r="164" spans="1:26" ht="26.25" thickTop="1" x14ac:dyDescent="0.7">
      <c r="A164" s="483" t="s">
        <v>2544</v>
      </c>
      <c r="B164" s="486">
        <v>5</v>
      </c>
      <c r="C164" s="114"/>
      <c r="D164" s="483" t="s">
        <v>2547</v>
      </c>
      <c r="E164" s="484">
        <v>17</v>
      </c>
      <c r="F164" s="87"/>
      <c r="G164" s="87"/>
      <c r="H164" s="87"/>
      <c r="I164" s="87"/>
    </row>
    <row r="165" spans="1:26" ht="26.25" thickBot="1" x14ac:dyDescent="0.75">
      <c r="A165" s="477" t="s">
        <v>2545</v>
      </c>
      <c r="B165" s="485">
        <v>9</v>
      </c>
      <c r="C165" s="114"/>
      <c r="D165" s="477" t="s">
        <v>2546</v>
      </c>
      <c r="E165" s="485">
        <v>21</v>
      </c>
      <c r="F165" s="87"/>
      <c r="G165" s="87"/>
      <c r="H165" s="87"/>
      <c r="I165" s="87"/>
    </row>
    <row r="166" spans="1:26" ht="27" thickTop="1" thickBot="1" x14ac:dyDescent="0.75">
      <c r="A166" s="357"/>
      <c r="C166" s="114"/>
      <c r="D166" s="115"/>
      <c r="E166" s="87"/>
      <c r="F166" s="87"/>
      <c r="G166" s="87"/>
      <c r="H166" s="87"/>
      <c r="I166" s="87"/>
    </row>
    <row r="167" spans="1:26" ht="27" thickTop="1" thickBot="1" x14ac:dyDescent="0.75">
      <c r="A167" s="491">
        <v>0.2</v>
      </c>
      <c r="B167" s="492" t="s">
        <v>2519</v>
      </c>
      <c r="C167" s="114"/>
      <c r="D167" s="491">
        <v>0.2</v>
      </c>
      <c r="E167" s="492" t="s">
        <v>2519</v>
      </c>
      <c r="F167" s="87"/>
      <c r="G167" s="87"/>
      <c r="H167" s="87"/>
      <c r="I167" s="87"/>
    </row>
    <row r="168" spans="1:26" ht="26.25" thickTop="1" x14ac:dyDescent="0.7">
      <c r="A168" s="493" t="s">
        <v>8</v>
      </c>
      <c r="B168" s="484" t="s">
        <v>7</v>
      </c>
      <c r="D168" s="493" t="s">
        <v>8</v>
      </c>
      <c r="E168" s="484" t="s">
        <v>7</v>
      </c>
      <c r="F168" s="87"/>
      <c r="G168" s="87"/>
      <c r="H168" s="87"/>
      <c r="I168" s="87"/>
    </row>
    <row r="169" spans="1:26" ht="26.25" thickBot="1" x14ac:dyDescent="0.75">
      <c r="A169" s="494">
        <f>A167/12</f>
        <v>1.6666666666666666E-2</v>
      </c>
      <c r="B169" s="485">
        <v>5</v>
      </c>
      <c r="D169" s="494">
        <f>D167/12</f>
        <v>1.6666666666666666E-2</v>
      </c>
      <c r="E169" s="485">
        <v>5</v>
      </c>
    </row>
    <row r="170" spans="1:26" ht="26.25" thickTop="1" x14ac:dyDescent="0.7">
      <c r="A170" s="475" t="s">
        <v>2548</v>
      </c>
      <c r="B170" s="495">
        <f>B146*B169</f>
        <v>18609.095517638416</v>
      </c>
      <c r="D170" s="475" t="s">
        <v>2548</v>
      </c>
      <c r="E170" s="495">
        <f>E169*B154</f>
        <v>3066.5503745335632</v>
      </c>
    </row>
    <row r="171" spans="1:26" ht="25.5" x14ac:dyDescent="0.7">
      <c r="A171" s="496" t="s">
        <v>3</v>
      </c>
      <c r="B171" s="497">
        <f>B170/(1+A169)^B164</f>
        <v>17132.957671472959</v>
      </c>
      <c r="D171" s="496" t="s">
        <v>3</v>
      </c>
      <c r="E171" s="497">
        <f>E170/(1+D169)^E164</f>
        <v>2315.3367472850096</v>
      </c>
    </row>
    <row r="172" spans="1:26" ht="26.25" thickBot="1" x14ac:dyDescent="0.75">
      <c r="A172" s="498" t="s">
        <v>2</v>
      </c>
      <c r="B172" s="499">
        <f>B158/(1+A169)^B165</f>
        <v>2437.5952299458027</v>
      </c>
      <c r="D172" s="498" t="s">
        <v>2</v>
      </c>
      <c r="E172" s="499">
        <f>E158/(1+D169)^E165</f>
        <v>329.41503265938758</v>
      </c>
    </row>
    <row r="173" spans="1:26" ht="27" thickTop="1" thickBot="1" x14ac:dyDescent="0.75">
      <c r="A173" s="180" t="s">
        <v>0</v>
      </c>
      <c r="B173" s="181">
        <f>B172+B171</f>
        <v>19570.552901418763</v>
      </c>
      <c r="D173" s="180" t="s">
        <v>0</v>
      </c>
      <c r="E173" s="181">
        <f>E172+E171</f>
        <v>2644.7517799443972</v>
      </c>
    </row>
    <row r="174" spans="1:26" ht="23.25" thickTop="1" x14ac:dyDescent="0.6">
      <c r="A174" s="357"/>
    </row>
    <row r="179" spans="1:1" x14ac:dyDescent="0.6">
      <c r="A179" s="357"/>
    </row>
    <row r="180" spans="1:1" x14ac:dyDescent="0.6">
      <c r="A180" s="357"/>
    </row>
    <row r="181" spans="1:1" x14ac:dyDescent="0.6">
      <c r="A181" s="357"/>
    </row>
    <row r="182" spans="1:1" x14ac:dyDescent="0.6">
      <c r="A182" s="357"/>
    </row>
    <row r="183" spans="1:1" x14ac:dyDescent="0.6">
      <c r="A183" s="357"/>
    </row>
    <row r="184" spans="1:1" x14ac:dyDescent="0.6">
      <c r="A184" s="357"/>
    </row>
    <row r="185" spans="1:1" x14ac:dyDescent="0.6">
      <c r="A185" s="357"/>
    </row>
    <row r="186" spans="1:1" x14ac:dyDescent="0.6">
      <c r="A186" s="357"/>
    </row>
    <row r="187" spans="1:1" x14ac:dyDescent="0.6">
      <c r="A187" s="357"/>
    </row>
  </sheetData>
  <mergeCells count="9">
    <mergeCell ref="H1:I1"/>
    <mergeCell ref="A156:B156"/>
    <mergeCell ref="D156:E156"/>
    <mergeCell ref="L141:L149"/>
    <mergeCell ref="M139:Z140"/>
    <mergeCell ref="L139:L140"/>
    <mergeCell ref="L153:L154"/>
    <mergeCell ref="M153:Z154"/>
    <mergeCell ref="L155:L163"/>
  </mergeCells>
  <conditionalFormatting sqref="N142:Z149">
    <cfRule type="colorScale" priority="2">
      <colorScale>
        <cfvo type="num" val="$I$159"/>
        <cfvo type="num" val="$I$158"/>
        <cfvo type="num" val="$I$157"/>
        <color rgb="FFF8696B"/>
        <color rgb="FFFFEB84"/>
        <color rgb="FF63BE7B"/>
      </colorScale>
    </cfRule>
  </conditionalFormatting>
  <conditionalFormatting sqref="N156:Z163">
    <cfRule type="colorScale" priority="1">
      <colorScale>
        <cfvo type="num" val="$I$159"/>
        <cfvo type="num" val="$I$158"/>
        <cfvo type="num" val="$I$157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I76 I81 R121:R124 R136 Q18:Q19 I55:I56 I57 I6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5"/>
  <sheetViews>
    <sheetView rightToLeft="1" topLeftCell="A112" zoomScale="25" zoomScaleNormal="25" workbookViewId="0">
      <pane xSplit="1" topLeftCell="B1" activePane="topRight" state="frozen"/>
      <selection pane="topRight" activeCell="B145" sqref="B145"/>
    </sheetView>
  </sheetViews>
  <sheetFormatPr defaultRowHeight="22.5" x14ac:dyDescent="0.6"/>
  <cols>
    <col min="1" max="1" width="60.7109375" style="423" bestFit="1" customWidth="1"/>
    <col min="2" max="2" width="17.85546875" style="423" bestFit="1" customWidth="1"/>
    <col min="3" max="4" width="18" style="423" bestFit="1" customWidth="1"/>
    <col min="5" max="5" width="26" style="423" customWidth="1"/>
    <col min="6" max="6" width="15.7109375" style="423" bestFit="1" customWidth="1"/>
    <col min="7" max="7" width="16.7109375" style="423" bestFit="1" customWidth="1"/>
    <col min="8" max="8" width="24.42578125" style="423" bestFit="1" customWidth="1"/>
    <col min="9" max="9" width="23.42578125" style="423" bestFit="1" customWidth="1"/>
    <col min="10" max="10" width="13.85546875" style="423" bestFit="1" customWidth="1"/>
    <col min="11" max="13" width="17.7109375" style="423" bestFit="1" customWidth="1"/>
    <col min="14" max="27" width="17.28515625" style="423" customWidth="1"/>
    <col min="28" max="28" width="12.5703125" style="423" bestFit="1" customWidth="1"/>
    <col min="29" max="29" width="11" style="423" bestFit="1" customWidth="1"/>
    <col min="30" max="30" width="13.42578125" style="423" bestFit="1" customWidth="1"/>
    <col min="31" max="31" width="16.5703125" style="423" bestFit="1" customWidth="1"/>
    <col min="32" max="32" width="16.28515625" style="423" bestFit="1" customWidth="1"/>
    <col min="33" max="44" width="12.7109375" style="423" bestFit="1" customWidth="1"/>
    <col min="45" max="16384" width="9.140625" style="423"/>
  </cols>
  <sheetData>
    <row r="1" spans="1:42" ht="37.5" thickTop="1" thickBot="1" x14ac:dyDescent="1">
      <c r="A1" s="422" t="s">
        <v>130</v>
      </c>
      <c r="F1" s="640" t="str">
        <f>VLOOKUP(J1,'دیده بان بازار'!A:X,2,0)</f>
        <v>فرآورده‌هاي‌غدايي‌وقندپيرانشهر</v>
      </c>
      <c r="G1" s="640"/>
      <c r="H1" s="640"/>
      <c r="I1" s="641"/>
      <c r="J1" s="340" t="s">
        <v>2376</v>
      </c>
      <c r="Q1" s="423" t="s">
        <v>2554</v>
      </c>
      <c r="V1" s="415" t="s">
        <v>58</v>
      </c>
      <c r="W1" s="350" t="s">
        <v>112</v>
      </c>
      <c r="X1" s="350" t="s">
        <v>113</v>
      </c>
      <c r="Y1" s="419" t="s">
        <v>2550</v>
      </c>
    </row>
    <row r="2" spans="1:42" ht="27" thickTop="1" thickBot="1" x14ac:dyDescent="0.65">
      <c r="A2" s="422" t="s">
        <v>158</v>
      </c>
      <c r="V2" s="416" t="s">
        <v>156</v>
      </c>
      <c r="W2" s="367">
        <v>3000</v>
      </c>
      <c r="X2" s="367"/>
      <c r="Y2" s="420" t="s">
        <v>2551</v>
      </c>
    </row>
    <row r="3" spans="1:42" ht="26.25" thickBot="1" x14ac:dyDescent="0.65">
      <c r="A3" s="424"/>
      <c r="B3" s="425" t="s">
        <v>176</v>
      </c>
      <c r="C3" s="425" t="s">
        <v>175</v>
      </c>
      <c r="D3" s="425" t="s">
        <v>174</v>
      </c>
      <c r="E3" s="425" t="s">
        <v>173</v>
      </c>
      <c r="F3" s="425" t="s">
        <v>172</v>
      </c>
      <c r="G3" s="425" t="s">
        <v>171</v>
      </c>
      <c r="H3" s="425" t="s">
        <v>170</v>
      </c>
      <c r="I3" s="425" t="s">
        <v>169</v>
      </c>
      <c r="J3" s="425" t="s">
        <v>168</v>
      </c>
      <c r="K3" s="425" t="s">
        <v>167</v>
      </c>
      <c r="L3" s="425" t="s">
        <v>166</v>
      </c>
      <c r="M3" s="425" t="s">
        <v>165</v>
      </c>
      <c r="N3" s="425" t="s">
        <v>164</v>
      </c>
      <c r="O3" s="425" t="s">
        <v>163</v>
      </c>
      <c r="P3" s="425" t="s">
        <v>162</v>
      </c>
      <c r="Q3" s="425" t="s">
        <v>146</v>
      </c>
      <c r="R3" s="425" t="s">
        <v>161</v>
      </c>
      <c r="S3" s="426" t="s">
        <v>2553</v>
      </c>
      <c r="V3" s="417" t="s">
        <v>157</v>
      </c>
      <c r="W3" s="379"/>
      <c r="X3" s="379"/>
      <c r="Y3" s="421" t="s">
        <v>2552</v>
      </c>
    </row>
    <row r="4" spans="1:42" ht="23.25" thickBot="1" x14ac:dyDescent="0.65">
      <c r="A4" s="427" t="s">
        <v>102</v>
      </c>
      <c r="B4" s="352" t="s">
        <v>106</v>
      </c>
      <c r="C4" s="352" t="s">
        <v>97</v>
      </c>
      <c r="D4" s="352" t="s">
        <v>96</v>
      </c>
      <c r="E4" s="353" t="s">
        <v>62</v>
      </c>
      <c r="F4" s="353" t="s">
        <v>107</v>
      </c>
      <c r="G4" s="353" t="s">
        <v>108</v>
      </c>
      <c r="H4" s="353" t="s">
        <v>109</v>
      </c>
      <c r="I4" s="353" t="s">
        <v>40</v>
      </c>
      <c r="J4" s="353" t="s">
        <v>55</v>
      </c>
      <c r="K4" s="353" t="s">
        <v>95</v>
      </c>
      <c r="L4" s="353" t="s">
        <v>94</v>
      </c>
      <c r="M4" s="353" t="s">
        <v>39</v>
      </c>
      <c r="N4" s="353" t="s">
        <v>54</v>
      </c>
      <c r="O4" s="352" t="s">
        <v>148</v>
      </c>
      <c r="P4" s="353" t="s">
        <v>149</v>
      </c>
      <c r="Q4" s="353" t="s">
        <v>146</v>
      </c>
      <c r="R4" s="353" t="s">
        <v>160</v>
      </c>
      <c r="S4" s="354" t="s">
        <v>2523</v>
      </c>
    </row>
    <row r="5" spans="1:42" ht="25.5" x14ac:dyDescent="0.7">
      <c r="A5" s="427" t="s">
        <v>177</v>
      </c>
      <c r="B5" s="428">
        <v>49310</v>
      </c>
      <c r="C5" s="428">
        <v>36866</v>
      </c>
      <c r="D5" s="428">
        <v>46848</v>
      </c>
      <c r="E5" s="428">
        <v>51096</v>
      </c>
      <c r="F5" s="428">
        <v>18723</v>
      </c>
      <c r="G5" s="428">
        <v>54301</v>
      </c>
      <c r="H5" s="428">
        <v>54301</v>
      </c>
      <c r="I5" s="428">
        <v>54301</v>
      </c>
      <c r="J5" s="428">
        <v>22213</v>
      </c>
      <c r="K5" s="428">
        <v>63385</v>
      </c>
      <c r="L5" s="428">
        <v>67750</v>
      </c>
      <c r="M5" s="428">
        <v>67750</v>
      </c>
      <c r="N5" s="428">
        <v>20310</v>
      </c>
      <c r="O5" s="428">
        <v>63792</v>
      </c>
      <c r="P5" s="428">
        <v>71620</v>
      </c>
      <c r="Q5" s="428">
        <v>0</v>
      </c>
      <c r="R5" s="428">
        <f>B132</f>
        <v>71620</v>
      </c>
      <c r="S5" s="447">
        <f>B140</f>
        <v>70000</v>
      </c>
      <c r="V5" s="90" t="s">
        <v>101</v>
      </c>
      <c r="W5" s="425" t="s">
        <v>168</v>
      </c>
      <c r="X5" s="425" t="s">
        <v>167</v>
      </c>
      <c r="Y5" s="425" t="s">
        <v>166</v>
      </c>
      <c r="Z5" s="425" t="s">
        <v>165</v>
      </c>
      <c r="AA5" s="425" t="s">
        <v>164</v>
      </c>
      <c r="AB5" s="425" t="s">
        <v>163</v>
      </c>
      <c r="AC5" s="425" t="s">
        <v>162</v>
      </c>
      <c r="AD5" s="425" t="s">
        <v>146</v>
      </c>
      <c r="AE5" s="425" t="s">
        <v>161</v>
      </c>
      <c r="AF5" s="426" t="s">
        <v>2553</v>
      </c>
    </row>
    <row r="6" spans="1:42" ht="25.5" x14ac:dyDescent="0.7">
      <c r="A6" s="427" t="s">
        <v>178</v>
      </c>
      <c r="B6" s="428">
        <v>2243490</v>
      </c>
      <c r="C6" s="428">
        <v>1910000</v>
      </c>
      <c r="D6" s="428">
        <v>2107000</v>
      </c>
      <c r="E6" s="428">
        <v>2414500</v>
      </c>
      <c r="F6" s="428">
        <v>400000</v>
      </c>
      <c r="G6" s="428">
        <v>1134998</v>
      </c>
      <c r="H6" s="428">
        <v>1706131</v>
      </c>
      <c r="I6" s="428">
        <v>2540869</v>
      </c>
      <c r="J6" s="428">
        <v>325079</v>
      </c>
      <c r="K6" s="428">
        <v>1223998</v>
      </c>
      <c r="L6" s="428">
        <v>1759000</v>
      </c>
      <c r="M6" s="428">
        <v>2203000</v>
      </c>
      <c r="N6" s="428">
        <v>450000</v>
      </c>
      <c r="O6" s="428">
        <v>1421600</v>
      </c>
      <c r="P6" s="428">
        <v>2404840</v>
      </c>
      <c r="Q6" s="428">
        <f>R6-P6</f>
        <v>927000</v>
      </c>
      <c r="R6" s="428">
        <v>3331840</v>
      </c>
      <c r="S6" s="447">
        <f>AVERAGE(R6,M6,I6,B6,E6)</f>
        <v>2546739.7999999998</v>
      </c>
      <c r="V6" s="94" t="s">
        <v>2521</v>
      </c>
      <c r="W6" s="353" t="s">
        <v>55</v>
      </c>
      <c r="X6" s="353" t="s">
        <v>95</v>
      </c>
      <c r="Y6" s="353" t="s">
        <v>94</v>
      </c>
      <c r="Z6" s="353" t="s">
        <v>39</v>
      </c>
      <c r="AA6" s="353" t="s">
        <v>54</v>
      </c>
      <c r="AB6" s="352" t="s">
        <v>148</v>
      </c>
      <c r="AC6" s="353" t="s">
        <v>149</v>
      </c>
      <c r="AD6" s="353" t="s">
        <v>146</v>
      </c>
      <c r="AE6" s="353" t="s">
        <v>160</v>
      </c>
      <c r="AF6" s="354" t="s">
        <v>2523</v>
      </c>
    </row>
    <row r="7" spans="1:42" ht="25.5" x14ac:dyDescent="0.7">
      <c r="A7" s="427" t="s">
        <v>151</v>
      </c>
      <c r="B7" s="428">
        <v>0</v>
      </c>
      <c r="C7" s="428">
        <v>0</v>
      </c>
      <c r="D7" s="428">
        <v>0</v>
      </c>
      <c r="E7" s="428">
        <v>0</v>
      </c>
      <c r="F7" s="428">
        <v>0</v>
      </c>
      <c r="G7" s="428">
        <v>0</v>
      </c>
      <c r="H7" s="428">
        <v>0</v>
      </c>
      <c r="I7" s="428">
        <v>0</v>
      </c>
      <c r="J7" s="428">
        <v>11183</v>
      </c>
      <c r="K7" s="428">
        <v>29330</v>
      </c>
      <c r="L7" s="428">
        <v>31110</v>
      </c>
      <c r="M7" s="428">
        <v>31110</v>
      </c>
      <c r="N7" s="428">
        <v>10731</v>
      </c>
      <c r="O7" s="428">
        <v>23949</v>
      </c>
      <c r="P7" s="428">
        <v>21361</v>
      </c>
      <c r="Q7" s="428">
        <v>0</v>
      </c>
      <c r="R7" s="593">
        <f>R5*AE8</f>
        <v>21361</v>
      </c>
      <c r="S7" s="447">
        <f>S5*AF8</f>
        <v>30865.864293226678</v>
      </c>
      <c r="V7" s="94" t="s">
        <v>92</v>
      </c>
      <c r="W7" s="465">
        <f t="shared" ref="W7:AC7" si="0">J5/J5</f>
        <v>1</v>
      </c>
      <c r="X7" s="465">
        <f t="shared" si="0"/>
        <v>1</v>
      </c>
      <c r="Y7" s="465">
        <f t="shared" si="0"/>
        <v>1</v>
      </c>
      <c r="Z7" s="465">
        <f t="shared" si="0"/>
        <v>1</v>
      </c>
      <c r="AA7" s="465">
        <f t="shared" si="0"/>
        <v>1</v>
      </c>
      <c r="AB7" s="465">
        <f t="shared" si="0"/>
        <v>1</v>
      </c>
      <c r="AC7" s="465">
        <f t="shared" si="0"/>
        <v>1</v>
      </c>
      <c r="AD7" s="455">
        <v>0</v>
      </c>
      <c r="AE7" s="466">
        <f>AB7</f>
        <v>1</v>
      </c>
      <c r="AF7" s="429"/>
    </row>
    <row r="8" spans="1:42" ht="25.5" x14ac:dyDescent="0.7">
      <c r="A8" s="427" t="s">
        <v>152</v>
      </c>
      <c r="B8" s="428">
        <v>0</v>
      </c>
      <c r="C8" s="428">
        <v>0</v>
      </c>
      <c r="D8" s="428">
        <v>0</v>
      </c>
      <c r="E8" s="428">
        <v>0</v>
      </c>
      <c r="F8" s="428">
        <v>0</v>
      </c>
      <c r="G8" s="428">
        <v>0</v>
      </c>
      <c r="H8" s="428">
        <v>0</v>
      </c>
      <c r="I8" s="428"/>
      <c r="J8" s="428">
        <v>3849</v>
      </c>
      <c r="K8" s="428">
        <v>13887</v>
      </c>
      <c r="L8" s="428">
        <v>15190</v>
      </c>
      <c r="M8" s="428">
        <v>15190</v>
      </c>
      <c r="N8" s="428">
        <v>9347</v>
      </c>
      <c r="O8" s="428">
        <v>30897</v>
      </c>
      <c r="P8" s="428">
        <v>34406</v>
      </c>
      <c r="Q8" s="428">
        <v>0</v>
      </c>
      <c r="R8" s="593">
        <f>R5*AE9</f>
        <v>34406</v>
      </c>
      <c r="S8" s="447">
        <f>S5*AF9</f>
        <v>22657.327924881825</v>
      </c>
      <c r="V8" s="94" t="s">
        <v>89</v>
      </c>
      <c r="W8" s="465">
        <f t="shared" ref="W8:AC8" si="1">J7/J5</f>
        <v>0.50344392923063075</v>
      </c>
      <c r="X8" s="465">
        <f t="shared" si="1"/>
        <v>0.4627277747101049</v>
      </c>
      <c r="Y8" s="465">
        <f t="shared" si="1"/>
        <v>0.45918819188191884</v>
      </c>
      <c r="Z8" s="465">
        <f t="shared" si="1"/>
        <v>0.45918819188191884</v>
      </c>
      <c r="AA8" s="465">
        <f t="shared" si="1"/>
        <v>0.52836041358936481</v>
      </c>
      <c r="AB8" s="465">
        <f t="shared" si="1"/>
        <v>0.37542325056433407</v>
      </c>
      <c r="AC8" s="465">
        <f t="shared" si="1"/>
        <v>0.29825467746439543</v>
      </c>
      <c r="AD8" s="455">
        <v>0</v>
      </c>
      <c r="AE8" s="466">
        <f>AC8</f>
        <v>0.29825467746439543</v>
      </c>
      <c r="AF8" s="467">
        <f>AVERAGE(W8:AC8)</f>
        <v>0.44094091847466682</v>
      </c>
    </row>
    <row r="9" spans="1:42" x14ac:dyDescent="0.6">
      <c r="A9" s="427" t="s">
        <v>153</v>
      </c>
      <c r="B9" s="428">
        <v>0</v>
      </c>
      <c r="C9" s="428">
        <v>0</v>
      </c>
      <c r="D9" s="428">
        <v>0</v>
      </c>
      <c r="E9" s="428">
        <v>0</v>
      </c>
      <c r="F9" s="428">
        <v>0</v>
      </c>
      <c r="G9" s="428">
        <v>0</v>
      </c>
      <c r="H9" s="428">
        <v>0</v>
      </c>
      <c r="I9" s="428">
        <v>0</v>
      </c>
      <c r="J9" s="428">
        <v>6300</v>
      </c>
      <c r="K9" s="428">
        <v>15431</v>
      </c>
      <c r="L9" s="428">
        <v>16270</v>
      </c>
      <c r="M9" s="428">
        <v>18221</v>
      </c>
      <c r="N9" s="428">
        <v>7456</v>
      </c>
      <c r="O9" s="428">
        <v>19206</v>
      </c>
      <c r="P9" s="428">
        <v>19936</v>
      </c>
      <c r="Q9" s="428">
        <v>0</v>
      </c>
      <c r="R9" s="593">
        <f>R5*AE10</f>
        <v>19936.000000000004</v>
      </c>
      <c r="S9" s="447">
        <f>S5*AF10</f>
        <v>19826.987511998432</v>
      </c>
      <c r="V9" s="355" t="s">
        <v>125</v>
      </c>
      <c r="W9" s="465">
        <f t="shared" ref="W9:AC9" si="2">J8/J5</f>
        <v>0.17327690991761582</v>
      </c>
      <c r="X9" s="465">
        <f t="shared" si="2"/>
        <v>0.21908968998974521</v>
      </c>
      <c r="Y9" s="465">
        <f t="shared" si="2"/>
        <v>0.22420664206642066</v>
      </c>
      <c r="Z9" s="465">
        <f t="shared" si="2"/>
        <v>0.22420664206642066</v>
      </c>
      <c r="AA9" s="465">
        <f t="shared" si="2"/>
        <v>0.46021664204825208</v>
      </c>
      <c r="AB9" s="465">
        <f t="shared" si="2"/>
        <v>0.48433972911963885</v>
      </c>
      <c r="AC9" s="465">
        <f t="shared" si="2"/>
        <v>0.48039653728008935</v>
      </c>
      <c r="AD9" s="455">
        <v>0</v>
      </c>
      <c r="AE9" s="466">
        <f>AC9</f>
        <v>0.48039653728008935</v>
      </c>
      <c r="AF9" s="467">
        <f t="shared" ref="AF9:AF10" si="3">AVERAGE(W9:AC9)</f>
        <v>0.32367611321259748</v>
      </c>
    </row>
    <row r="10" spans="1:42" ht="26.25" thickBot="1" x14ac:dyDescent="0.75">
      <c r="A10" s="430" t="s">
        <v>179</v>
      </c>
      <c r="B10" s="431">
        <v>0</v>
      </c>
      <c r="C10" s="431">
        <v>0</v>
      </c>
      <c r="D10" s="431">
        <v>0</v>
      </c>
      <c r="E10" s="431">
        <v>0</v>
      </c>
      <c r="F10" s="431">
        <v>0</v>
      </c>
      <c r="G10" s="431">
        <v>0</v>
      </c>
      <c r="H10" s="431">
        <v>0</v>
      </c>
      <c r="I10" s="431">
        <v>0</v>
      </c>
      <c r="J10" s="431">
        <v>145</v>
      </c>
      <c r="K10" s="431">
        <v>367</v>
      </c>
      <c r="L10" s="431">
        <v>434</v>
      </c>
      <c r="M10" s="431">
        <v>500</v>
      </c>
      <c r="N10" s="431">
        <v>327</v>
      </c>
      <c r="O10" s="431">
        <v>414</v>
      </c>
      <c r="P10" s="431">
        <v>743</v>
      </c>
      <c r="Q10" s="431">
        <f>R10-P10</f>
        <v>650</v>
      </c>
      <c r="R10" s="431">
        <v>1393</v>
      </c>
      <c r="S10" s="442">
        <f>R10</f>
        <v>1393</v>
      </c>
      <c r="V10" s="97" t="s">
        <v>86</v>
      </c>
      <c r="W10" s="468">
        <f t="shared" ref="W10:AC10" si="4">J9/J5</f>
        <v>0.28361770134605863</v>
      </c>
      <c r="X10" s="468">
        <f t="shared" si="4"/>
        <v>0.24344876548079197</v>
      </c>
      <c r="Y10" s="468">
        <f t="shared" si="4"/>
        <v>0.24014760147601477</v>
      </c>
      <c r="Z10" s="468">
        <f t="shared" si="4"/>
        <v>0.26894464944649449</v>
      </c>
      <c r="AA10" s="468">
        <f t="shared" si="4"/>
        <v>0.36710979812900052</v>
      </c>
      <c r="AB10" s="468">
        <f t="shared" si="4"/>
        <v>0.30107223476297967</v>
      </c>
      <c r="AC10" s="468">
        <f t="shared" si="4"/>
        <v>0.27835800055850324</v>
      </c>
      <c r="AD10" s="456">
        <v>0</v>
      </c>
      <c r="AE10" s="469">
        <f>AC10</f>
        <v>0.27835800055850324</v>
      </c>
      <c r="AF10" s="470">
        <f t="shared" si="3"/>
        <v>0.28324267874283476</v>
      </c>
    </row>
    <row r="11" spans="1:42" ht="25.5" x14ac:dyDescent="0.7"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Z11" s="98"/>
    </row>
    <row r="12" spans="1:42" ht="23.25" thickBot="1" x14ac:dyDescent="0.65">
      <c r="V12" s="471"/>
      <c r="W12" s="434"/>
      <c r="X12" s="434"/>
      <c r="Y12" s="434"/>
      <c r="Z12" s="434"/>
      <c r="AA12" s="434"/>
      <c r="AB12" s="434"/>
    </row>
    <row r="13" spans="1:42" ht="25.5" x14ac:dyDescent="0.7">
      <c r="A13" s="424"/>
      <c r="B13" s="425" t="s">
        <v>176</v>
      </c>
      <c r="C13" s="425" t="s">
        <v>175</v>
      </c>
      <c r="D13" s="425" t="s">
        <v>174</v>
      </c>
      <c r="E13" s="425" t="s">
        <v>173</v>
      </c>
      <c r="F13" s="425" t="s">
        <v>172</v>
      </c>
      <c r="G13" s="425" t="s">
        <v>171</v>
      </c>
      <c r="H13" s="425" t="s">
        <v>170</v>
      </c>
      <c r="I13" s="425" t="s">
        <v>169</v>
      </c>
      <c r="J13" s="425" t="s">
        <v>168</v>
      </c>
      <c r="K13" s="425" t="s">
        <v>167</v>
      </c>
      <c r="L13" s="425" t="s">
        <v>166</v>
      </c>
      <c r="M13" s="425" t="s">
        <v>165</v>
      </c>
      <c r="N13" s="425" t="s">
        <v>164</v>
      </c>
      <c r="O13" s="425" t="s">
        <v>163</v>
      </c>
      <c r="P13" s="425" t="s">
        <v>162</v>
      </c>
      <c r="Q13" s="425" t="s">
        <v>146</v>
      </c>
      <c r="R13" s="425" t="s">
        <v>161</v>
      </c>
      <c r="S13" s="426" t="s">
        <v>2553</v>
      </c>
      <c r="V13" s="90" t="s">
        <v>2569</v>
      </c>
      <c r="W13" s="425" t="s">
        <v>168</v>
      </c>
      <c r="X13" s="425" t="s">
        <v>167</v>
      </c>
      <c r="Y13" s="425" t="s">
        <v>166</v>
      </c>
      <c r="Z13" s="425" t="s">
        <v>165</v>
      </c>
      <c r="AA13" s="425" t="s">
        <v>164</v>
      </c>
      <c r="AB13" s="425" t="s">
        <v>163</v>
      </c>
      <c r="AC13" s="425" t="s">
        <v>162</v>
      </c>
      <c r="AD13" s="425" t="s">
        <v>146</v>
      </c>
      <c r="AE13" s="425" t="s">
        <v>161</v>
      </c>
      <c r="AF13" s="426" t="s">
        <v>2553</v>
      </c>
    </row>
    <row r="14" spans="1:42" ht="25.5" x14ac:dyDescent="0.7">
      <c r="A14" s="427" t="s">
        <v>105</v>
      </c>
      <c r="B14" s="352" t="s">
        <v>106</v>
      </c>
      <c r="C14" s="352" t="s">
        <v>97</v>
      </c>
      <c r="D14" s="352" t="s">
        <v>96</v>
      </c>
      <c r="E14" s="353" t="s">
        <v>62</v>
      </c>
      <c r="F14" s="353" t="s">
        <v>107</v>
      </c>
      <c r="G14" s="353" t="s">
        <v>108</v>
      </c>
      <c r="H14" s="353" t="s">
        <v>109</v>
      </c>
      <c r="I14" s="353" t="s">
        <v>40</v>
      </c>
      <c r="J14" s="353" t="s">
        <v>55</v>
      </c>
      <c r="K14" s="353" t="s">
        <v>95</v>
      </c>
      <c r="L14" s="353" t="s">
        <v>94</v>
      </c>
      <c r="M14" s="353" t="s">
        <v>39</v>
      </c>
      <c r="N14" s="353" t="s">
        <v>54</v>
      </c>
      <c r="O14" s="352" t="s">
        <v>148</v>
      </c>
      <c r="P14" s="353" t="s">
        <v>149</v>
      </c>
      <c r="Q14" s="353" t="s">
        <v>146</v>
      </c>
      <c r="R14" s="353" t="s">
        <v>160</v>
      </c>
      <c r="S14" s="354" t="s">
        <v>2523</v>
      </c>
      <c r="V14" s="94" t="s">
        <v>2521</v>
      </c>
      <c r="W14" s="353" t="s">
        <v>55</v>
      </c>
      <c r="X14" s="353" t="s">
        <v>95</v>
      </c>
      <c r="Y14" s="353" t="s">
        <v>94</v>
      </c>
      <c r="Z14" s="353" t="s">
        <v>39</v>
      </c>
      <c r="AA14" s="353" t="s">
        <v>54</v>
      </c>
      <c r="AB14" s="352" t="s">
        <v>148</v>
      </c>
      <c r="AC14" s="353" t="s">
        <v>149</v>
      </c>
      <c r="AD14" s="353" t="s">
        <v>146</v>
      </c>
      <c r="AE14" s="353" t="s">
        <v>160</v>
      </c>
      <c r="AF14" s="354" t="s">
        <v>2523</v>
      </c>
    </row>
    <row r="15" spans="1:42" ht="25.5" x14ac:dyDescent="0.7">
      <c r="A15" s="427" t="s">
        <v>177</v>
      </c>
      <c r="B15" s="428">
        <v>49070</v>
      </c>
      <c r="C15" s="428">
        <v>36788</v>
      </c>
      <c r="D15" s="428">
        <v>46760</v>
      </c>
      <c r="E15" s="428">
        <v>51085</v>
      </c>
      <c r="F15" s="428">
        <v>18335</v>
      </c>
      <c r="G15" s="428">
        <v>41639</v>
      </c>
      <c r="H15" s="428">
        <v>53137</v>
      </c>
      <c r="I15" s="428">
        <v>54162</v>
      </c>
      <c r="J15" s="428">
        <v>3</v>
      </c>
      <c r="K15" s="428">
        <v>20303</v>
      </c>
      <c r="L15" s="428">
        <v>45970</v>
      </c>
      <c r="M15" s="428">
        <v>66696</v>
      </c>
      <c r="N15" s="428">
        <v>12185</v>
      </c>
      <c r="O15" s="428">
        <v>42074</v>
      </c>
      <c r="P15" s="428">
        <v>72342</v>
      </c>
      <c r="Q15" s="428">
        <v>0</v>
      </c>
      <c r="R15" s="428">
        <f>R5*AE15</f>
        <v>72342</v>
      </c>
      <c r="S15" s="447">
        <f>S5*AF15</f>
        <v>69808.332558779381</v>
      </c>
      <c r="V15" s="94" t="s">
        <v>92</v>
      </c>
      <c r="W15" s="465">
        <f t="shared" ref="W15:AC15" si="5">J15/J5</f>
        <v>1.3505604826002791E-4</v>
      </c>
      <c r="X15" s="465">
        <f t="shared" si="5"/>
        <v>0.32031237674528673</v>
      </c>
      <c r="Y15" s="465">
        <f t="shared" si="5"/>
        <v>0.67852398523985236</v>
      </c>
      <c r="Z15" s="465">
        <f t="shared" si="5"/>
        <v>0.98444280442804433</v>
      </c>
      <c r="AA15" s="465">
        <f t="shared" si="5"/>
        <v>0.59995076317085183</v>
      </c>
      <c r="AB15" s="465">
        <f t="shared" si="5"/>
        <v>0.65954978680712317</v>
      </c>
      <c r="AC15" s="465">
        <f t="shared" si="5"/>
        <v>1.0100809829656521</v>
      </c>
      <c r="AD15" s="455">
        <v>0</v>
      </c>
      <c r="AE15" s="466">
        <f>AC15</f>
        <v>1.0100809829656521</v>
      </c>
      <c r="AF15" s="467">
        <f>AVERAGE(AE15,Z15)</f>
        <v>0.99726189369684826</v>
      </c>
    </row>
    <row r="16" spans="1:42" ht="25.5" x14ac:dyDescent="0.7">
      <c r="A16" s="427" t="s">
        <v>178</v>
      </c>
      <c r="B16" s="428">
        <v>2232100</v>
      </c>
      <c r="C16" s="428">
        <v>1938343</v>
      </c>
      <c r="D16" s="428">
        <v>1927111</v>
      </c>
      <c r="E16" s="428">
        <v>2627360</v>
      </c>
      <c r="F16" s="428">
        <v>330488</v>
      </c>
      <c r="G16" s="428">
        <v>1121913</v>
      </c>
      <c r="H16" s="428">
        <v>1682963</v>
      </c>
      <c r="I16" s="428">
        <v>2461479</v>
      </c>
      <c r="J16" s="428">
        <v>278800</v>
      </c>
      <c r="K16" s="428">
        <v>1162129</v>
      </c>
      <c r="L16" s="428">
        <v>1538181</v>
      </c>
      <c r="M16" s="428">
        <v>2194858</v>
      </c>
      <c r="N16" s="428">
        <v>427767</v>
      </c>
      <c r="O16" s="428">
        <v>1290266</v>
      </c>
      <c r="P16" s="428">
        <v>2339365</v>
      </c>
      <c r="Q16" s="428">
        <f>R16-P16</f>
        <v>992475</v>
      </c>
      <c r="R16" s="428">
        <f>R6</f>
        <v>3331840</v>
      </c>
      <c r="S16" s="447">
        <f>S6</f>
        <v>2546739.7999999998</v>
      </c>
      <c r="V16" s="94" t="s">
        <v>89</v>
      </c>
      <c r="W16" s="465">
        <f t="shared" ref="W16:AC18" si="6">J17/J7</f>
        <v>0.60055441294822498</v>
      </c>
      <c r="X16" s="465">
        <f t="shared" si="6"/>
        <v>0.48847596317763381</v>
      </c>
      <c r="Y16" s="465">
        <f t="shared" si="6"/>
        <v>0.68277081324333011</v>
      </c>
      <c r="Z16" s="465">
        <f t="shared" si="6"/>
        <v>0.97303117968498876</v>
      </c>
      <c r="AA16" s="465">
        <f t="shared" si="6"/>
        <v>0.53163731245923029</v>
      </c>
      <c r="AB16" s="465">
        <f t="shared" si="6"/>
        <v>0.60278090943254414</v>
      </c>
      <c r="AC16" s="465">
        <f t="shared" si="6"/>
        <v>0.94536772623004539</v>
      </c>
      <c r="AD16" s="455">
        <v>0</v>
      </c>
      <c r="AE16" s="466">
        <f t="shared" ref="AE16:AE18" si="7">AC16</f>
        <v>0.94536772623004539</v>
      </c>
      <c r="AF16" s="467">
        <f t="shared" ref="AF16:AF18" si="8">AVERAGE(AE16,Z16)</f>
        <v>0.95919945295751707</v>
      </c>
      <c r="AG16" s="435"/>
      <c r="AH16" s="435"/>
      <c r="AI16" s="436"/>
      <c r="AJ16" s="436"/>
      <c r="AK16" s="436"/>
      <c r="AL16" s="436"/>
      <c r="AM16" s="435"/>
      <c r="AN16" s="435"/>
      <c r="AO16" s="435"/>
      <c r="AP16" s="435"/>
    </row>
    <row r="17" spans="1:42" x14ac:dyDescent="0.6">
      <c r="A17" s="427" t="s">
        <v>151</v>
      </c>
      <c r="B17" s="428">
        <v>0</v>
      </c>
      <c r="C17" s="428">
        <v>0</v>
      </c>
      <c r="D17" s="428">
        <v>0</v>
      </c>
      <c r="E17" s="428">
        <v>0</v>
      </c>
      <c r="F17" s="428">
        <v>0</v>
      </c>
      <c r="G17" s="428">
        <v>0</v>
      </c>
      <c r="H17" s="428">
        <v>0</v>
      </c>
      <c r="I17" s="428">
        <v>0</v>
      </c>
      <c r="J17" s="428">
        <v>6716</v>
      </c>
      <c r="K17" s="428">
        <v>14327</v>
      </c>
      <c r="L17" s="428">
        <v>21241</v>
      </c>
      <c r="M17" s="428">
        <v>30271</v>
      </c>
      <c r="N17" s="428">
        <v>5705</v>
      </c>
      <c r="O17" s="428">
        <v>14436</v>
      </c>
      <c r="P17" s="428">
        <v>20194</v>
      </c>
      <c r="Q17" s="428">
        <v>0</v>
      </c>
      <c r="R17" s="428">
        <f t="shared" ref="R17:S19" si="9">R7*AE16</f>
        <v>20194</v>
      </c>
      <c r="S17" s="447">
        <f t="shared" si="9"/>
        <v>29606.520145123988</v>
      </c>
      <c r="V17" s="355" t="s">
        <v>125</v>
      </c>
      <c r="W17" s="465">
        <f t="shared" si="6"/>
        <v>1</v>
      </c>
      <c r="X17" s="465">
        <f t="shared" si="6"/>
        <v>1</v>
      </c>
      <c r="Y17" s="465">
        <f t="shared" si="6"/>
        <v>1</v>
      </c>
      <c r="Z17" s="465">
        <f t="shared" si="6"/>
        <v>1</v>
      </c>
      <c r="AA17" s="465">
        <f t="shared" si="6"/>
        <v>1</v>
      </c>
      <c r="AB17" s="465">
        <f t="shared" si="6"/>
        <v>1</v>
      </c>
      <c r="AC17" s="465">
        <f t="shared" si="6"/>
        <v>1</v>
      </c>
      <c r="AD17" s="455">
        <v>0</v>
      </c>
      <c r="AE17" s="466">
        <f t="shared" si="7"/>
        <v>1</v>
      </c>
      <c r="AF17" s="467">
        <f t="shared" si="8"/>
        <v>1</v>
      </c>
      <c r="AG17" s="435"/>
      <c r="AH17" s="435"/>
      <c r="AI17" s="436"/>
      <c r="AJ17" s="436"/>
      <c r="AK17" s="436"/>
      <c r="AL17" s="436"/>
      <c r="AM17" s="435"/>
      <c r="AN17" s="435"/>
      <c r="AO17" s="435"/>
      <c r="AP17" s="435"/>
    </row>
    <row r="18" spans="1:42" ht="26.25" thickBot="1" x14ac:dyDescent="0.75">
      <c r="A18" s="427" t="s">
        <v>152</v>
      </c>
      <c r="B18" s="428">
        <v>0</v>
      </c>
      <c r="C18" s="428">
        <v>0</v>
      </c>
      <c r="D18" s="428">
        <v>0</v>
      </c>
      <c r="E18" s="428">
        <v>0</v>
      </c>
      <c r="F18" s="428">
        <v>0</v>
      </c>
      <c r="G18" s="428">
        <v>0</v>
      </c>
      <c r="H18" s="428">
        <v>0</v>
      </c>
      <c r="I18" s="428">
        <v>0</v>
      </c>
      <c r="J18" s="428">
        <v>3849</v>
      </c>
      <c r="K18" s="428">
        <v>13887</v>
      </c>
      <c r="L18" s="428">
        <v>15190</v>
      </c>
      <c r="M18" s="428">
        <v>15190</v>
      </c>
      <c r="N18" s="428">
        <v>9347</v>
      </c>
      <c r="O18" s="428">
        <v>30897</v>
      </c>
      <c r="P18" s="428">
        <v>34406</v>
      </c>
      <c r="Q18" s="428">
        <v>0</v>
      </c>
      <c r="R18" s="428">
        <f t="shared" si="9"/>
        <v>34406</v>
      </c>
      <c r="S18" s="447">
        <f t="shared" si="9"/>
        <v>22657.327924881825</v>
      </c>
      <c r="V18" s="97" t="s">
        <v>86</v>
      </c>
      <c r="W18" s="468">
        <f t="shared" si="6"/>
        <v>0</v>
      </c>
      <c r="X18" s="468">
        <f t="shared" si="6"/>
        <v>6.4804614088523099E-5</v>
      </c>
      <c r="Y18" s="468">
        <f t="shared" si="6"/>
        <v>1.9483712354025816E-2</v>
      </c>
      <c r="Z18" s="468">
        <f t="shared" si="6"/>
        <v>0.27396959552165084</v>
      </c>
      <c r="AA18" s="468">
        <f t="shared" si="6"/>
        <v>0.27387339055793991</v>
      </c>
      <c r="AB18" s="468">
        <f t="shared" si="6"/>
        <v>0.12303446839529314</v>
      </c>
      <c r="AC18" s="468">
        <f t="shared" si="6"/>
        <v>0.1185292937399679</v>
      </c>
      <c r="AD18" s="456">
        <v>0</v>
      </c>
      <c r="AE18" s="469">
        <f t="shared" si="7"/>
        <v>0.1185292937399679</v>
      </c>
      <c r="AF18" s="470">
        <f t="shared" si="8"/>
        <v>0.19624944463080937</v>
      </c>
      <c r="AG18" s="435"/>
      <c r="AH18" s="435"/>
      <c r="AI18" s="435"/>
      <c r="AJ18" s="435"/>
      <c r="AK18" s="435"/>
      <c r="AL18" s="435"/>
      <c r="AM18" s="435"/>
      <c r="AN18" s="435"/>
      <c r="AO18" s="435"/>
      <c r="AP18" s="435"/>
    </row>
    <row r="19" spans="1:42" x14ac:dyDescent="0.6">
      <c r="A19" s="427" t="s">
        <v>153</v>
      </c>
      <c r="B19" s="428">
        <v>0</v>
      </c>
      <c r="C19" s="428">
        <v>0</v>
      </c>
      <c r="D19" s="428">
        <v>0</v>
      </c>
      <c r="E19" s="428">
        <v>0</v>
      </c>
      <c r="F19" s="428">
        <v>0</v>
      </c>
      <c r="G19" s="428">
        <v>0</v>
      </c>
      <c r="H19" s="428">
        <v>0</v>
      </c>
      <c r="I19" s="428">
        <v>0</v>
      </c>
      <c r="J19" s="428">
        <v>0</v>
      </c>
      <c r="K19" s="428">
        <v>1</v>
      </c>
      <c r="L19" s="428">
        <v>317</v>
      </c>
      <c r="M19" s="428">
        <v>4992</v>
      </c>
      <c r="N19" s="428">
        <v>2042</v>
      </c>
      <c r="O19" s="428">
        <v>2363</v>
      </c>
      <c r="P19" s="428">
        <v>2363</v>
      </c>
      <c r="Q19" s="428">
        <v>0</v>
      </c>
      <c r="R19" s="428">
        <f t="shared" si="9"/>
        <v>2363.0000000000005</v>
      </c>
      <c r="S19" s="447">
        <f t="shared" si="9"/>
        <v>3891.0352879316852</v>
      </c>
      <c r="AG19" s="435"/>
      <c r="AH19" s="435"/>
      <c r="AI19" s="436"/>
      <c r="AJ19" s="436"/>
      <c r="AK19" s="436"/>
      <c r="AL19" s="436"/>
      <c r="AM19" s="435"/>
      <c r="AN19" s="435"/>
      <c r="AO19" s="435"/>
      <c r="AP19" s="435"/>
    </row>
    <row r="20" spans="1:42" x14ac:dyDescent="0.6">
      <c r="A20" s="427" t="s">
        <v>179</v>
      </c>
      <c r="B20" s="428">
        <v>0</v>
      </c>
      <c r="C20" s="428">
        <v>0</v>
      </c>
      <c r="D20" s="428">
        <v>0</v>
      </c>
      <c r="E20" s="428">
        <v>0</v>
      </c>
      <c r="F20" s="428">
        <v>0</v>
      </c>
      <c r="G20" s="428">
        <v>0</v>
      </c>
      <c r="H20" s="428">
        <v>0</v>
      </c>
      <c r="I20" s="428">
        <v>0</v>
      </c>
      <c r="J20" s="428">
        <v>145</v>
      </c>
      <c r="K20" s="428">
        <v>367</v>
      </c>
      <c r="L20" s="428">
        <v>434</v>
      </c>
      <c r="M20" s="428">
        <v>500</v>
      </c>
      <c r="N20" s="428">
        <v>327</v>
      </c>
      <c r="O20" s="428">
        <v>414</v>
      </c>
      <c r="P20" s="428">
        <v>743</v>
      </c>
      <c r="Q20" s="428">
        <f>R20-P20</f>
        <v>650</v>
      </c>
      <c r="R20" s="428">
        <f>R10</f>
        <v>1393</v>
      </c>
      <c r="S20" s="447">
        <f>R20</f>
        <v>1393</v>
      </c>
      <c r="Y20" s="435"/>
      <c r="Z20" s="435"/>
      <c r="AA20" s="435"/>
      <c r="AG20" s="435"/>
      <c r="AH20" s="435"/>
      <c r="AI20" s="436"/>
      <c r="AJ20" s="436"/>
      <c r="AK20" s="436"/>
      <c r="AL20" s="436"/>
      <c r="AM20" s="435"/>
    </row>
    <row r="21" spans="1:42" ht="23.25" thickBot="1" x14ac:dyDescent="0.65">
      <c r="A21" s="430"/>
      <c r="B21" s="431"/>
      <c r="C21" s="431"/>
      <c r="D21" s="431"/>
      <c r="E21" s="431"/>
      <c r="F21" s="431"/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2"/>
      <c r="Y21" s="435"/>
      <c r="Z21" s="435"/>
      <c r="AA21" s="435"/>
      <c r="AG21" s="435"/>
      <c r="AH21" s="435"/>
      <c r="AI21" s="436"/>
      <c r="AJ21" s="436"/>
      <c r="AK21" s="435"/>
      <c r="AL21" s="435"/>
      <c r="AM21" s="435"/>
    </row>
    <row r="22" spans="1:42" ht="23.25" thickBot="1" x14ac:dyDescent="0.65">
      <c r="Y22" s="436"/>
      <c r="Z22" s="436"/>
      <c r="AA22" s="436"/>
      <c r="AB22" s="435"/>
      <c r="AC22" s="436"/>
      <c r="AD22" s="436"/>
      <c r="AE22" s="436"/>
      <c r="AF22" s="435"/>
      <c r="AG22" s="436"/>
      <c r="AH22" s="436"/>
      <c r="AI22" s="436"/>
      <c r="AJ22" s="436"/>
      <c r="AK22" s="436"/>
      <c r="AL22" s="436"/>
      <c r="AM22" s="436"/>
    </row>
    <row r="23" spans="1:42" x14ac:dyDescent="0.6">
      <c r="A23" s="424"/>
      <c r="B23" s="425" t="s">
        <v>176</v>
      </c>
      <c r="C23" s="425" t="s">
        <v>175</v>
      </c>
      <c r="D23" s="425" t="s">
        <v>174</v>
      </c>
      <c r="E23" s="425" t="s">
        <v>173</v>
      </c>
      <c r="F23" s="425" t="s">
        <v>172</v>
      </c>
      <c r="G23" s="425" t="s">
        <v>171</v>
      </c>
      <c r="H23" s="425" t="s">
        <v>170</v>
      </c>
      <c r="I23" s="425" t="s">
        <v>169</v>
      </c>
      <c r="J23" s="425" t="s">
        <v>168</v>
      </c>
      <c r="K23" s="425" t="s">
        <v>167</v>
      </c>
      <c r="L23" s="425" t="s">
        <v>166</v>
      </c>
      <c r="M23" s="425" t="s">
        <v>165</v>
      </c>
      <c r="N23" s="425" t="s">
        <v>164</v>
      </c>
      <c r="O23" s="425" t="s">
        <v>163</v>
      </c>
      <c r="P23" s="425" t="s">
        <v>162</v>
      </c>
      <c r="Q23" s="425" t="s">
        <v>146</v>
      </c>
      <c r="R23" s="425" t="s">
        <v>161</v>
      </c>
      <c r="S23" s="426" t="s">
        <v>2553</v>
      </c>
      <c r="Y23" s="436"/>
      <c r="Z23" s="436"/>
      <c r="AA23" s="436"/>
      <c r="AB23" s="435"/>
      <c r="AC23" s="436"/>
      <c r="AD23" s="436"/>
      <c r="AE23" s="436"/>
      <c r="AF23" s="435"/>
      <c r="AG23" s="436"/>
      <c r="AH23" s="436"/>
      <c r="AI23" s="436"/>
      <c r="AJ23" s="436"/>
      <c r="AK23" s="436"/>
      <c r="AL23" s="436"/>
      <c r="AM23" s="436"/>
    </row>
    <row r="24" spans="1:42" x14ac:dyDescent="0.6">
      <c r="A24" s="427" t="s">
        <v>99</v>
      </c>
      <c r="B24" s="352" t="s">
        <v>106</v>
      </c>
      <c r="C24" s="352" t="s">
        <v>97</v>
      </c>
      <c r="D24" s="352" t="s">
        <v>96</v>
      </c>
      <c r="E24" s="353" t="s">
        <v>62</v>
      </c>
      <c r="F24" s="353" t="s">
        <v>107</v>
      </c>
      <c r="G24" s="353" t="s">
        <v>108</v>
      </c>
      <c r="H24" s="353" t="s">
        <v>109</v>
      </c>
      <c r="I24" s="353" t="s">
        <v>40</v>
      </c>
      <c r="J24" s="353" t="s">
        <v>55</v>
      </c>
      <c r="K24" s="353" t="s">
        <v>95</v>
      </c>
      <c r="L24" s="353" t="s">
        <v>94</v>
      </c>
      <c r="M24" s="353" t="s">
        <v>39</v>
      </c>
      <c r="N24" s="353" t="s">
        <v>54</v>
      </c>
      <c r="O24" s="352" t="s">
        <v>148</v>
      </c>
      <c r="P24" s="353" t="s">
        <v>149</v>
      </c>
      <c r="Q24" s="353" t="s">
        <v>146</v>
      </c>
      <c r="R24" s="353" t="s">
        <v>160</v>
      </c>
      <c r="S24" s="354" t="s">
        <v>2523</v>
      </c>
      <c r="X24" s="436"/>
      <c r="Y24" s="436"/>
      <c r="Z24" s="436"/>
      <c r="AA24" s="436"/>
      <c r="AB24" s="435"/>
      <c r="AC24" s="436"/>
      <c r="AD24" s="436"/>
      <c r="AE24" s="436"/>
      <c r="AF24" s="436"/>
      <c r="AG24" s="436"/>
      <c r="AH24" s="436"/>
      <c r="AI24" s="436"/>
      <c r="AJ24" s="436"/>
      <c r="AK24" s="436"/>
      <c r="AL24" s="436"/>
      <c r="AM24" s="436"/>
    </row>
    <row r="25" spans="1:42" x14ac:dyDescent="0.6">
      <c r="A25" s="427" t="s">
        <v>177</v>
      </c>
      <c r="B25" s="428">
        <v>638236</v>
      </c>
      <c r="C25" s="428">
        <v>675527</v>
      </c>
      <c r="D25" s="428">
        <v>1048347</v>
      </c>
      <c r="E25" s="428">
        <v>1269713</v>
      </c>
      <c r="F25" s="428">
        <v>505586</v>
      </c>
      <c r="G25" s="428">
        <v>1047910</v>
      </c>
      <c r="H25" s="428">
        <v>1336932</v>
      </c>
      <c r="I25" s="428">
        <v>1362304</v>
      </c>
      <c r="J25" s="428">
        <v>63</v>
      </c>
      <c r="K25" s="428">
        <v>549735</v>
      </c>
      <c r="L25" s="428">
        <v>1233618</v>
      </c>
      <c r="M25" s="428">
        <v>1798226</v>
      </c>
      <c r="N25" s="428">
        <v>362404</v>
      </c>
      <c r="O25" s="428">
        <v>1258651</v>
      </c>
      <c r="P25" s="428">
        <v>2147442</v>
      </c>
      <c r="Q25" s="428">
        <v>0</v>
      </c>
      <c r="R25" s="428">
        <f>R36*R15/1000000</f>
        <v>2147442</v>
      </c>
      <c r="S25" s="447">
        <f>S15*S36/1000000</f>
        <v>2827237.4686305649</v>
      </c>
      <c r="V25" s="433"/>
      <c r="X25" s="435"/>
      <c r="Y25" s="435"/>
      <c r="Z25" s="435"/>
      <c r="AA25" s="435"/>
      <c r="AB25" s="435"/>
      <c r="AC25" s="436"/>
      <c r="AD25" s="436"/>
      <c r="AE25" s="435"/>
      <c r="AF25" s="435"/>
      <c r="AG25" s="435"/>
      <c r="AH25" s="435"/>
      <c r="AI25" s="436"/>
      <c r="AJ25" s="436"/>
      <c r="AK25" s="435"/>
      <c r="AL25" s="436"/>
      <c r="AM25" s="435"/>
    </row>
    <row r="26" spans="1:42" x14ac:dyDescent="0.6">
      <c r="A26" s="427" t="s">
        <v>178</v>
      </c>
      <c r="B26" s="428">
        <v>26863</v>
      </c>
      <c r="C26" s="428">
        <v>49823</v>
      </c>
      <c r="D26" s="428">
        <v>45038</v>
      </c>
      <c r="E26" s="428">
        <v>46909</v>
      </c>
      <c r="F26" s="428">
        <v>6010</v>
      </c>
      <c r="G26" s="428">
        <v>20317</v>
      </c>
      <c r="H26" s="428">
        <v>30428</v>
      </c>
      <c r="I26" s="428">
        <v>45845</v>
      </c>
      <c r="J26" s="428">
        <v>5297</v>
      </c>
      <c r="K26" s="428">
        <v>22149</v>
      </c>
      <c r="L26" s="428">
        <v>29294</v>
      </c>
      <c r="M26" s="428">
        <v>42587</v>
      </c>
      <c r="N26" s="428">
        <v>12450</v>
      </c>
      <c r="O26" s="428">
        <v>63172</v>
      </c>
      <c r="P26" s="428">
        <v>154373</v>
      </c>
      <c r="Q26" s="428">
        <f>R26-P26</f>
        <v>93569.205439999991</v>
      </c>
      <c r="R26" s="428">
        <f t="shared" ref="R26:R30" si="10">R37*R16/1000000</f>
        <v>247942.20543999999</v>
      </c>
      <c r="S26" s="447">
        <f>S16*S37/1000000</f>
        <v>229288.36801014311</v>
      </c>
      <c r="V26" s="433"/>
      <c r="X26" s="435"/>
      <c r="Y26" s="435"/>
      <c r="Z26" s="435"/>
      <c r="AA26" s="435"/>
      <c r="AB26" s="435"/>
      <c r="AC26" s="436"/>
      <c r="AD26" s="436"/>
      <c r="AE26" s="435"/>
      <c r="AF26" s="435"/>
      <c r="AG26" s="435"/>
      <c r="AH26" s="435"/>
      <c r="AI26" s="436"/>
      <c r="AJ26" s="436"/>
      <c r="AK26" s="435"/>
      <c r="AL26" s="436"/>
      <c r="AM26" s="435"/>
    </row>
    <row r="27" spans="1:42" x14ac:dyDescent="0.6">
      <c r="A27" s="427" t="s">
        <v>151</v>
      </c>
      <c r="B27" s="428">
        <v>0</v>
      </c>
      <c r="C27" s="428">
        <v>0</v>
      </c>
      <c r="D27" s="428">
        <v>0</v>
      </c>
      <c r="E27" s="428">
        <v>0</v>
      </c>
      <c r="F27" s="428">
        <v>0</v>
      </c>
      <c r="G27" s="428">
        <v>0</v>
      </c>
      <c r="H27" s="428">
        <v>0</v>
      </c>
      <c r="I27" s="428">
        <v>0</v>
      </c>
      <c r="J27" s="428">
        <v>57423</v>
      </c>
      <c r="K27" s="428">
        <v>118817</v>
      </c>
      <c r="L27" s="428">
        <v>172796</v>
      </c>
      <c r="M27" s="428">
        <v>252554</v>
      </c>
      <c r="N27" s="428">
        <v>65611</v>
      </c>
      <c r="O27" s="428">
        <v>126110</v>
      </c>
      <c r="P27" s="428">
        <v>146017</v>
      </c>
      <c r="Q27" s="428">
        <v>0</v>
      </c>
      <c r="R27" s="428">
        <f t="shared" si="10"/>
        <v>146017</v>
      </c>
      <c r="S27" s="447">
        <f>S17*S38/10000000</f>
        <v>33155.886358844829</v>
      </c>
      <c r="V27" s="433"/>
      <c r="Y27" s="435"/>
      <c r="Z27" s="435"/>
      <c r="AA27" s="435"/>
      <c r="AB27" s="435"/>
      <c r="AC27" s="436"/>
      <c r="AD27" s="436"/>
      <c r="AE27" s="436"/>
      <c r="AF27" s="435"/>
      <c r="AG27" s="435"/>
      <c r="AH27" s="435"/>
      <c r="AI27" s="435"/>
      <c r="AJ27" s="436"/>
      <c r="AK27" s="436"/>
      <c r="AL27" s="435"/>
      <c r="AM27" s="435"/>
    </row>
    <row r="28" spans="1:42" x14ac:dyDescent="0.6">
      <c r="A28" s="427" t="s">
        <v>152</v>
      </c>
      <c r="B28" s="428">
        <v>0</v>
      </c>
      <c r="C28" s="428">
        <v>0</v>
      </c>
      <c r="D28" s="428">
        <v>0</v>
      </c>
      <c r="E28" s="428">
        <v>0</v>
      </c>
      <c r="F28" s="428">
        <v>0</v>
      </c>
      <c r="G28" s="428">
        <v>0</v>
      </c>
      <c r="H28" s="428">
        <v>0</v>
      </c>
      <c r="I28" s="428">
        <v>0</v>
      </c>
      <c r="J28" s="428">
        <v>1285</v>
      </c>
      <c r="K28" s="428">
        <v>8829</v>
      </c>
      <c r="L28" s="428">
        <v>10092</v>
      </c>
      <c r="M28" s="428">
        <v>10092</v>
      </c>
      <c r="N28" s="428">
        <v>4397</v>
      </c>
      <c r="O28" s="428">
        <v>23511</v>
      </c>
      <c r="P28" s="428">
        <v>28797</v>
      </c>
      <c r="Q28" s="428">
        <v>0</v>
      </c>
      <c r="R28" s="428">
        <f t="shared" si="10"/>
        <v>28979.003995999999</v>
      </c>
      <c r="S28" s="447">
        <f t="shared" ref="S28:S30" si="11">S18*S39/10000000</f>
        <v>2424.2464572393651</v>
      </c>
      <c r="V28" s="433"/>
      <c r="Y28" s="436"/>
      <c r="Z28" s="436"/>
      <c r="AA28" s="436"/>
      <c r="AB28" s="436"/>
      <c r="AC28" s="436"/>
      <c r="AD28" s="436"/>
      <c r="AE28" s="436"/>
      <c r="AF28" s="436"/>
      <c r="AG28" s="436"/>
      <c r="AH28" s="436"/>
      <c r="AI28" s="436"/>
      <c r="AJ28" s="436"/>
      <c r="AK28" s="436"/>
      <c r="AL28" s="436"/>
      <c r="AM28" s="436"/>
    </row>
    <row r="29" spans="1:42" x14ac:dyDescent="0.6">
      <c r="A29" s="427" t="s">
        <v>153</v>
      </c>
      <c r="B29" s="428">
        <v>0</v>
      </c>
      <c r="C29" s="428">
        <v>0</v>
      </c>
      <c r="D29" s="428">
        <v>0</v>
      </c>
      <c r="E29" s="428">
        <v>0</v>
      </c>
      <c r="F29" s="428">
        <v>0</v>
      </c>
      <c r="G29" s="428">
        <v>0</v>
      </c>
      <c r="H29" s="428">
        <v>0</v>
      </c>
      <c r="I29" s="428">
        <v>0</v>
      </c>
      <c r="J29" s="428">
        <v>0</v>
      </c>
      <c r="K29" s="428">
        <v>4</v>
      </c>
      <c r="L29" s="428">
        <v>698</v>
      </c>
      <c r="M29" s="428">
        <v>14723</v>
      </c>
      <c r="N29" s="428">
        <v>6128</v>
      </c>
      <c r="O29" s="428">
        <v>7091</v>
      </c>
      <c r="P29" s="428">
        <v>7090</v>
      </c>
      <c r="Q29" s="428">
        <v>0</v>
      </c>
      <c r="R29" s="428">
        <f t="shared" si="10"/>
        <v>7090.0000000000018</v>
      </c>
      <c r="S29" s="447">
        <f t="shared" si="11"/>
        <v>1658.3402780672866</v>
      </c>
      <c r="V29" s="433"/>
      <c r="Y29" s="436"/>
      <c r="Z29" s="436"/>
      <c r="AA29" s="436"/>
      <c r="AB29" s="436"/>
      <c r="AC29" s="436"/>
      <c r="AD29" s="436"/>
      <c r="AE29" s="436"/>
      <c r="AF29" s="436"/>
      <c r="AG29" s="436"/>
      <c r="AH29" s="436"/>
      <c r="AI29" s="436"/>
      <c r="AJ29" s="436"/>
      <c r="AK29" s="436"/>
      <c r="AL29" s="436"/>
      <c r="AM29" s="436"/>
    </row>
    <row r="30" spans="1:42" x14ac:dyDescent="0.6">
      <c r="A30" s="427" t="s">
        <v>179</v>
      </c>
      <c r="B30" s="428">
        <v>0</v>
      </c>
      <c r="C30" s="428">
        <v>0</v>
      </c>
      <c r="D30" s="428">
        <v>0</v>
      </c>
      <c r="E30" s="428">
        <v>0</v>
      </c>
      <c r="F30" s="428">
        <v>0</v>
      </c>
      <c r="G30" s="428">
        <v>0</v>
      </c>
      <c r="H30" s="428">
        <v>0</v>
      </c>
      <c r="I30" s="428">
        <v>0</v>
      </c>
      <c r="J30" s="428">
        <v>73</v>
      </c>
      <c r="K30" s="428">
        <v>184</v>
      </c>
      <c r="L30" s="428">
        <v>217</v>
      </c>
      <c r="M30" s="428">
        <v>237</v>
      </c>
      <c r="N30" s="428">
        <v>99</v>
      </c>
      <c r="O30" s="428">
        <v>129</v>
      </c>
      <c r="P30" s="428">
        <v>1116</v>
      </c>
      <c r="Q30" s="428">
        <f>R30-P30</f>
        <v>2581.9998860000001</v>
      </c>
      <c r="R30" s="428">
        <f t="shared" si="10"/>
        <v>3697.9998860000001</v>
      </c>
      <c r="S30" s="447">
        <f t="shared" si="11"/>
        <v>504.53463534740331</v>
      </c>
      <c r="V30" s="433"/>
      <c r="Y30" s="436"/>
      <c r="Z30" s="436"/>
      <c r="AA30" s="436"/>
      <c r="AB30" s="436"/>
      <c r="AC30" s="436"/>
      <c r="AD30" s="436"/>
      <c r="AE30" s="436"/>
      <c r="AF30" s="436"/>
      <c r="AG30" s="436"/>
      <c r="AH30" s="436"/>
      <c r="AI30" s="436"/>
      <c r="AJ30" s="436"/>
      <c r="AK30" s="436"/>
      <c r="AL30" s="436"/>
      <c r="AM30" s="436"/>
    </row>
    <row r="31" spans="1:42" ht="23.25" thickBot="1" x14ac:dyDescent="0.65">
      <c r="A31" s="430" t="s">
        <v>64</v>
      </c>
      <c r="B31" s="431"/>
      <c r="C31" s="431"/>
      <c r="D31" s="431"/>
      <c r="E31" s="431"/>
      <c r="F31" s="431"/>
      <c r="G31" s="431"/>
      <c r="H31" s="431"/>
      <c r="I31" s="431"/>
      <c r="J31" s="431">
        <f>SUM(J25:J30)</f>
        <v>64141</v>
      </c>
      <c r="K31" s="431">
        <f t="shared" ref="K31:R31" si="12">SUM(K25:K30)</f>
        <v>699718</v>
      </c>
      <c r="L31" s="431">
        <f t="shared" si="12"/>
        <v>1446715</v>
      </c>
      <c r="M31" s="431">
        <f t="shared" si="12"/>
        <v>2118419</v>
      </c>
      <c r="N31" s="431">
        <f t="shared" si="12"/>
        <v>451089</v>
      </c>
      <c r="O31" s="431">
        <f t="shared" si="12"/>
        <v>1478664</v>
      </c>
      <c r="P31" s="431">
        <f t="shared" si="12"/>
        <v>2484835</v>
      </c>
      <c r="Q31" s="431">
        <f t="shared" si="12"/>
        <v>96151.205325999996</v>
      </c>
      <c r="R31" s="431">
        <f t="shared" si="12"/>
        <v>2581168.2093220004</v>
      </c>
      <c r="S31" s="442">
        <f>SUM(S25:S30)</f>
        <v>3094268.8443702068</v>
      </c>
      <c r="V31" s="433"/>
      <c r="Y31" s="435"/>
      <c r="Z31" s="435"/>
      <c r="AA31" s="435"/>
      <c r="AB31" s="435"/>
      <c r="AC31" s="436"/>
      <c r="AD31" s="436"/>
      <c r="AE31" s="436"/>
      <c r="AF31" s="435"/>
      <c r="AG31" s="435"/>
      <c r="AH31" s="435"/>
      <c r="AI31" s="435"/>
      <c r="AJ31" s="436"/>
      <c r="AK31" s="436"/>
      <c r="AL31" s="435"/>
      <c r="AM31" s="436"/>
    </row>
    <row r="32" spans="1:42" x14ac:dyDescent="0.6"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Y32" s="435"/>
      <c r="Z32" s="435"/>
      <c r="AA32" s="435"/>
      <c r="AB32" s="435"/>
      <c r="AC32" s="436"/>
      <c r="AD32" s="436"/>
      <c r="AE32" s="436"/>
      <c r="AF32" s="435"/>
      <c r="AG32" s="435"/>
      <c r="AH32" s="435"/>
      <c r="AI32" s="435"/>
      <c r="AJ32" s="436"/>
      <c r="AK32" s="436"/>
      <c r="AL32" s="435"/>
      <c r="AM32" s="436"/>
    </row>
    <row r="33" spans="1:39" ht="23.25" thickBot="1" x14ac:dyDescent="0.65">
      <c r="AB33" s="435"/>
      <c r="AE33" s="436"/>
      <c r="AI33" s="435"/>
      <c r="AM33" s="435"/>
    </row>
    <row r="34" spans="1:39" ht="25.5" x14ac:dyDescent="0.7">
      <c r="A34" s="424"/>
      <c r="B34" s="425" t="s">
        <v>176</v>
      </c>
      <c r="C34" s="425" t="s">
        <v>175</v>
      </c>
      <c r="D34" s="425" t="s">
        <v>174</v>
      </c>
      <c r="E34" s="425" t="s">
        <v>173</v>
      </c>
      <c r="F34" s="425" t="s">
        <v>172</v>
      </c>
      <c r="G34" s="425" t="s">
        <v>171</v>
      </c>
      <c r="H34" s="425" t="s">
        <v>170</v>
      </c>
      <c r="I34" s="425" t="s">
        <v>169</v>
      </c>
      <c r="J34" s="425" t="s">
        <v>168</v>
      </c>
      <c r="K34" s="425" t="s">
        <v>167</v>
      </c>
      <c r="L34" s="425" t="s">
        <v>166</v>
      </c>
      <c r="M34" s="425" t="s">
        <v>165</v>
      </c>
      <c r="N34" s="425" t="s">
        <v>164</v>
      </c>
      <c r="O34" s="425" t="s">
        <v>163</v>
      </c>
      <c r="P34" s="425" t="s">
        <v>162</v>
      </c>
      <c r="Q34" s="425" t="s">
        <v>146</v>
      </c>
      <c r="R34" s="425" t="s">
        <v>161</v>
      </c>
      <c r="S34" s="426" t="s">
        <v>2553</v>
      </c>
      <c r="V34" s="90" t="s">
        <v>2570</v>
      </c>
      <c r="W34" s="425" t="s">
        <v>168</v>
      </c>
      <c r="X34" s="425" t="s">
        <v>167</v>
      </c>
      <c r="Y34" s="425" t="s">
        <v>166</v>
      </c>
      <c r="Z34" s="425" t="s">
        <v>165</v>
      </c>
      <c r="AA34" s="425" t="s">
        <v>164</v>
      </c>
      <c r="AB34" s="425" t="s">
        <v>163</v>
      </c>
      <c r="AC34" s="425" t="s">
        <v>162</v>
      </c>
      <c r="AD34" s="425" t="s">
        <v>146</v>
      </c>
      <c r="AE34" s="425" t="s">
        <v>161</v>
      </c>
      <c r="AF34" s="426" t="s">
        <v>2553</v>
      </c>
    </row>
    <row r="35" spans="1:39" ht="25.5" x14ac:dyDescent="0.7">
      <c r="A35" s="427" t="s">
        <v>98</v>
      </c>
      <c r="B35" s="352" t="s">
        <v>106</v>
      </c>
      <c r="C35" s="352" t="s">
        <v>97</v>
      </c>
      <c r="D35" s="352" t="s">
        <v>96</v>
      </c>
      <c r="E35" s="353" t="s">
        <v>62</v>
      </c>
      <c r="F35" s="353" t="s">
        <v>107</v>
      </c>
      <c r="G35" s="353" t="s">
        <v>108</v>
      </c>
      <c r="H35" s="353" t="s">
        <v>109</v>
      </c>
      <c r="I35" s="353" t="s">
        <v>40</v>
      </c>
      <c r="J35" s="353" t="s">
        <v>55</v>
      </c>
      <c r="K35" s="353" t="s">
        <v>95</v>
      </c>
      <c r="L35" s="353" t="s">
        <v>94</v>
      </c>
      <c r="M35" s="353" t="s">
        <v>39</v>
      </c>
      <c r="N35" s="353" t="s">
        <v>54</v>
      </c>
      <c r="O35" s="352" t="s">
        <v>148</v>
      </c>
      <c r="P35" s="353" t="s">
        <v>149</v>
      </c>
      <c r="Q35" s="353" t="s">
        <v>146</v>
      </c>
      <c r="R35" s="353" t="s">
        <v>160</v>
      </c>
      <c r="S35" s="354" t="s">
        <v>2523</v>
      </c>
      <c r="V35" s="94" t="s">
        <v>2521</v>
      </c>
      <c r="W35" s="353" t="s">
        <v>55</v>
      </c>
      <c r="X35" s="353" t="s">
        <v>95</v>
      </c>
      <c r="Y35" s="353" t="s">
        <v>94</v>
      </c>
      <c r="Z35" s="353" t="s">
        <v>39</v>
      </c>
      <c r="AA35" s="353" t="s">
        <v>54</v>
      </c>
      <c r="AB35" s="352" t="s">
        <v>148</v>
      </c>
      <c r="AC35" s="353" t="s">
        <v>149</v>
      </c>
      <c r="AD35" s="353" t="s">
        <v>146</v>
      </c>
      <c r="AE35" s="353" t="s">
        <v>160</v>
      </c>
      <c r="AF35" s="354" t="s">
        <v>2523</v>
      </c>
    </row>
    <row r="36" spans="1:39" ht="25.5" x14ac:dyDescent="0.7">
      <c r="A36" s="427" t="s">
        <v>177</v>
      </c>
      <c r="B36" s="428">
        <f>B25*1000000/B15</f>
        <v>13006643.570409618</v>
      </c>
      <c r="C36" s="428">
        <f t="shared" ref="C36:P36" si="13">C25*1000000/C15</f>
        <v>18362699.793410894</v>
      </c>
      <c r="D36" s="428">
        <f t="shared" si="13"/>
        <v>22419739.093242086</v>
      </c>
      <c r="E36" s="428">
        <f t="shared" si="13"/>
        <v>24854908.485856906</v>
      </c>
      <c r="F36" s="428">
        <f t="shared" si="13"/>
        <v>27574911.371693481</v>
      </c>
      <c r="G36" s="428">
        <f t="shared" si="13"/>
        <v>25166550.589591488</v>
      </c>
      <c r="H36" s="428">
        <f t="shared" si="13"/>
        <v>25160095.601934623</v>
      </c>
      <c r="I36" s="428">
        <f t="shared" si="13"/>
        <v>25152394.667848308</v>
      </c>
      <c r="J36" s="428">
        <f t="shared" si="13"/>
        <v>21000000</v>
      </c>
      <c r="K36" s="428">
        <f t="shared" si="13"/>
        <v>27076540.412746884</v>
      </c>
      <c r="L36" s="428">
        <f t="shared" si="13"/>
        <v>26835283.880791821</v>
      </c>
      <c r="M36" s="428">
        <f t="shared" si="13"/>
        <v>26961526.928151615</v>
      </c>
      <c r="N36" s="428">
        <f t="shared" si="13"/>
        <v>29741813.705375463</v>
      </c>
      <c r="O36" s="428">
        <f t="shared" si="13"/>
        <v>29915173.266150117</v>
      </c>
      <c r="P36" s="428">
        <f t="shared" si="13"/>
        <v>29684581.570871692</v>
      </c>
      <c r="Q36" s="428">
        <v>0</v>
      </c>
      <c r="R36" s="428">
        <f>B133</f>
        <v>29684581.570871692</v>
      </c>
      <c r="S36" s="447">
        <f>B141</f>
        <v>40500000</v>
      </c>
      <c r="V36" s="94" t="s">
        <v>92</v>
      </c>
      <c r="W36" s="465">
        <f>J36/J36</f>
        <v>1</v>
      </c>
      <c r="X36" s="465">
        <f t="shared" ref="X36:AC36" si="14">K36/K36</f>
        <v>1</v>
      </c>
      <c r="Y36" s="465">
        <f t="shared" si="14"/>
        <v>1</v>
      </c>
      <c r="Z36" s="465">
        <f t="shared" si="14"/>
        <v>1</v>
      </c>
      <c r="AA36" s="465">
        <f t="shared" si="14"/>
        <v>1</v>
      </c>
      <c r="AB36" s="465">
        <f t="shared" si="14"/>
        <v>1</v>
      </c>
      <c r="AC36" s="465">
        <f t="shared" si="14"/>
        <v>1</v>
      </c>
      <c r="AD36" s="455">
        <v>0</v>
      </c>
      <c r="AE36" s="466">
        <f>AC36</f>
        <v>1</v>
      </c>
      <c r="AF36" s="467"/>
    </row>
    <row r="37" spans="1:39" ht="25.5" x14ac:dyDescent="0.7">
      <c r="A37" s="427" t="s">
        <v>178</v>
      </c>
      <c r="B37" s="428">
        <f>B26*1000000/B16</f>
        <v>12034.855069217328</v>
      </c>
      <c r="C37" s="428">
        <f t="shared" ref="C37:P37" si="15">C26*1000000/C16</f>
        <v>25703.913084526321</v>
      </c>
      <c r="D37" s="428">
        <f t="shared" si="15"/>
        <v>23370.734742316348</v>
      </c>
      <c r="E37" s="428">
        <f t="shared" si="15"/>
        <v>17854.043602703856</v>
      </c>
      <c r="F37" s="428">
        <f t="shared" si="15"/>
        <v>18185.229115731887</v>
      </c>
      <c r="G37" s="428">
        <f t="shared" si="15"/>
        <v>18109.247330229708</v>
      </c>
      <c r="H37" s="428">
        <f t="shared" si="15"/>
        <v>18080.017207746099</v>
      </c>
      <c r="I37" s="428">
        <f t="shared" si="15"/>
        <v>18624.981159701139</v>
      </c>
      <c r="J37" s="428">
        <f t="shared" si="15"/>
        <v>18999.282639885223</v>
      </c>
      <c r="K37" s="428">
        <f t="shared" si="15"/>
        <v>19058.985706406089</v>
      </c>
      <c r="L37" s="428">
        <f t="shared" si="15"/>
        <v>19044.572777846039</v>
      </c>
      <c r="M37" s="428">
        <f t="shared" si="15"/>
        <v>19403.077556725766</v>
      </c>
      <c r="N37" s="428">
        <f t="shared" si="15"/>
        <v>29104.629389363836</v>
      </c>
      <c r="O37" s="428">
        <f t="shared" si="15"/>
        <v>48960.446915597247</v>
      </c>
      <c r="P37" s="428">
        <f t="shared" si="15"/>
        <v>65989.274867325104</v>
      </c>
      <c r="Q37" s="428">
        <f t="shared" ref="Q37" si="16">R37</f>
        <v>74416</v>
      </c>
      <c r="R37" s="428">
        <v>74416</v>
      </c>
      <c r="S37" s="472">
        <f>S36*AF40</f>
        <v>90032.11400322213</v>
      </c>
      <c r="V37" s="94" t="s">
        <v>89</v>
      </c>
      <c r="W37" s="465">
        <f>J38/J36</f>
        <v>0.40715136560878079</v>
      </c>
      <c r="X37" s="465">
        <f t="shared" ref="X37:AC37" si="17">K38/K36</f>
        <v>0.30628811732610228</v>
      </c>
      <c r="Y37" s="465">
        <f t="shared" si="17"/>
        <v>0.30314648161585428</v>
      </c>
      <c r="Z37" s="465">
        <f t="shared" si="17"/>
        <v>0.30944466460033832</v>
      </c>
      <c r="AA37" s="465">
        <f t="shared" si="17"/>
        <v>0.38668164661571808</v>
      </c>
      <c r="AB37" s="465">
        <f t="shared" si="17"/>
        <v>0.29201901365210092</v>
      </c>
      <c r="AC37" s="465">
        <f t="shared" si="17"/>
        <v>0.24358477398232939</v>
      </c>
      <c r="AD37" s="455">
        <v>0</v>
      </c>
      <c r="AE37" s="466">
        <f t="shared" ref="AE37:AE39" si="18">AC37</f>
        <v>0.24358477398232939</v>
      </c>
      <c r="AF37" s="467">
        <f>AVERAGE(AE37,Z37)</f>
        <v>0.27651471929133387</v>
      </c>
    </row>
    <row r="38" spans="1:39" x14ac:dyDescent="0.6">
      <c r="A38" s="427" t="s">
        <v>151</v>
      </c>
      <c r="B38" s="428"/>
      <c r="C38" s="428"/>
      <c r="D38" s="428"/>
      <c r="E38" s="428"/>
      <c r="F38" s="428"/>
      <c r="G38" s="428"/>
      <c r="H38" s="428"/>
      <c r="I38" s="428"/>
      <c r="J38" s="428">
        <f t="shared" ref="J38:P38" si="19">J27*1000000/J17</f>
        <v>8550178.6777843963</v>
      </c>
      <c r="K38" s="428">
        <f t="shared" si="19"/>
        <v>8293222.586724367</v>
      </c>
      <c r="L38" s="428">
        <f t="shared" si="19"/>
        <v>8135021.8916246882</v>
      </c>
      <c r="M38" s="428">
        <f t="shared" si="19"/>
        <v>8343100.6573948665</v>
      </c>
      <c r="N38" s="428">
        <f t="shared" si="19"/>
        <v>11500613.496932516</v>
      </c>
      <c r="O38" s="428">
        <f t="shared" si="19"/>
        <v>8735799.3904128559</v>
      </c>
      <c r="P38" s="428">
        <f t="shared" si="19"/>
        <v>7230712.0927008018</v>
      </c>
      <c r="Q38" s="428">
        <v>0</v>
      </c>
      <c r="R38" s="428">
        <f>R36*AC37</f>
        <v>7230712.0927008018</v>
      </c>
      <c r="S38" s="447">
        <f>$S$36*AF37</f>
        <v>11198846.131299021</v>
      </c>
      <c r="V38" s="355" t="s">
        <v>125</v>
      </c>
      <c r="W38" s="465">
        <f>J39/J36</f>
        <v>1.5897759467517845E-2</v>
      </c>
      <c r="X38" s="465">
        <f t="shared" ref="X38:AC38" si="20">K39/K36</f>
        <v>2.348063879785689E-2</v>
      </c>
      <c r="Y38" s="465">
        <f t="shared" si="20"/>
        <v>2.4757869766317546E-2</v>
      </c>
      <c r="Z38" s="465">
        <f t="shared" si="20"/>
        <v>2.4641944991961633E-2</v>
      </c>
      <c r="AA38" s="465">
        <f t="shared" si="20"/>
        <v>1.5816732654478596E-2</v>
      </c>
      <c r="AB38" s="465">
        <f t="shared" si="20"/>
        <v>2.5436846313802285E-2</v>
      </c>
      <c r="AC38" s="465">
        <f t="shared" si="20"/>
        <v>2.81956512278927E-2</v>
      </c>
      <c r="AD38" s="455">
        <v>0</v>
      </c>
      <c r="AE38" s="466">
        <f t="shared" si="18"/>
        <v>2.81956512278927E-2</v>
      </c>
      <c r="AF38" s="467">
        <f t="shared" ref="AF38:AF39" si="21">AVERAGE(AE38,Z38)</f>
        <v>2.6418798109927165E-2</v>
      </c>
    </row>
    <row r="39" spans="1:39" ht="25.5" x14ac:dyDescent="0.7">
      <c r="A39" s="427" t="s">
        <v>152</v>
      </c>
      <c r="B39" s="428"/>
      <c r="C39" s="428"/>
      <c r="D39" s="428"/>
      <c r="E39" s="428"/>
      <c r="F39" s="428"/>
      <c r="G39" s="428"/>
      <c r="H39" s="428"/>
      <c r="I39" s="428"/>
      <c r="J39" s="428">
        <f t="shared" ref="J39:P39" si="22">J28*1000000/J18</f>
        <v>333852.94881787477</v>
      </c>
      <c r="K39" s="428">
        <f t="shared" si="22"/>
        <v>635774.46532728453</v>
      </c>
      <c r="L39" s="428">
        <f t="shared" si="22"/>
        <v>664384.46346280444</v>
      </c>
      <c r="M39" s="428">
        <f t="shared" si="22"/>
        <v>664384.46346280444</v>
      </c>
      <c r="N39" s="428">
        <f t="shared" si="22"/>
        <v>470418.31603723118</v>
      </c>
      <c r="O39" s="428">
        <f t="shared" si="22"/>
        <v>760947.66482182732</v>
      </c>
      <c r="P39" s="428">
        <f t="shared" si="22"/>
        <v>836976.1088182294</v>
      </c>
      <c r="Q39" s="428">
        <v>0</v>
      </c>
      <c r="R39" s="428">
        <v>842266</v>
      </c>
      <c r="S39" s="447">
        <f t="shared" ref="S39:S40" si="23">$S$36*AF38</f>
        <v>1069961.3234520501</v>
      </c>
      <c r="V39" s="94" t="s">
        <v>86</v>
      </c>
      <c r="W39" s="465">
        <f>J40/J36</f>
        <v>0</v>
      </c>
      <c r="X39" s="465">
        <f t="shared" ref="X39:AC39" si="24">K40/K36</f>
        <v>0.14772936051006394</v>
      </c>
      <c r="Y39" s="465">
        <f t="shared" si="24"/>
        <v>8.2052150231045909E-2</v>
      </c>
      <c r="Z39" s="465">
        <f t="shared" si="24"/>
        <v>0.10938990651812483</v>
      </c>
      <c r="AA39" s="465">
        <f t="shared" si="24"/>
        <v>0.10090102310697653</v>
      </c>
      <c r="AB39" s="465">
        <f t="shared" si="24"/>
        <v>0.10031185027812289</v>
      </c>
      <c r="AC39" s="465">
        <f t="shared" si="24"/>
        <v>0.10107682278409726</v>
      </c>
      <c r="AD39" s="455">
        <v>0</v>
      </c>
      <c r="AE39" s="466">
        <f t="shared" si="18"/>
        <v>0.10107682278409726</v>
      </c>
      <c r="AF39" s="467">
        <f t="shared" si="21"/>
        <v>0.10523336465111105</v>
      </c>
    </row>
    <row r="40" spans="1:39" x14ac:dyDescent="0.6">
      <c r="A40" s="427" t="s">
        <v>153</v>
      </c>
      <c r="B40" s="428"/>
      <c r="C40" s="428"/>
      <c r="D40" s="428"/>
      <c r="E40" s="428"/>
      <c r="F40" s="428"/>
      <c r="G40" s="428"/>
      <c r="H40" s="428"/>
      <c r="I40" s="428"/>
      <c r="J40" s="428"/>
      <c r="K40" s="428">
        <f t="shared" ref="K40:P40" si="25">K29*1000000/K19</f>
        <v>4000000</v>
      </c>
      <c r="L40" s="428">
        <f t="shared" si="25"/>
        <v>2201892.7444794951</v>
      </c>
      <c r="M40" s="428">
        <f t="shared" si="25"/>
        <v>2949318.9102564105</v>
      </c>
      <c r="N40" s="428">
        <f t="shared" si="25"/>
        <v>3000979.4319294808</v>
      </c>
      <c r="O40" s="428">
        <f t="shared" si="25"/>
        <v>3000846.381718155</v>
      </c>
      <c r="P40" s="428">
        <f t="shared" si="25"/>
        <v>3000423.1908590775</v>
      </c>
      <c r="Q40" s="428">
        <v>0</v>
      </c>
      <c r="R40" s="428">
        <f>R36*AC39</f>
        <v>3000423.1908590775</v>
      </c>
      <c r="S40" s="447">
        <f t="shared" si="23"/>
        <v>4261951.2683699979</v>
      </c>
      <c r="V40" s="427" t="s">
        <v>178</v>
      </c>
      <c r="W40" s="465">
        <f>J37/J36</f>
        <v>9.0472774475643916E-4</v>
      </c>
      <c r="X40" s="465">
        <f t="shared" ref="X40:AC40" si="26">K37/K36</f>
        <v>7.038929425944552E-4</v>
      </c>
      <c r="Y40" s="465">
        <f t="shared" si="26"/>
        <v>7.0968404368093076E-4</v>
      </c>
      <c r="Z40" s="465">
        <f t="shared" si="26"/>
        <v>7.1965796330571445E-4</v>
      </c>
      <c r="AA40" s="465">
        <f t="shared" si="26"/>
        <v>9.7857614460491148E-4</v>
      </c>
      <c r="AB40" s="465">
        <f t="shared" si="26"/>
        <v>1.6366425987242202E-3</v>
      </c>
      <c r="AC40" s="465">
        <f t="shared" si="26"/>
        <v>2.2230151605733858E-3</v>
      </c>
      <c r="AD40" s="455"/>
      <c r="AE40" s="466">
        <f>AC40</f>
        <v>2.2230151605733858E-3</v>
      </c>
      <c r="AF40" s="467">
        <f>AE40</f>
        <v>2.2230151605733858E-3</v>
      </c>
    </row>
    <row r="41" spans="1:39" ht="23.25" thickBot="1" x14ac:dyDescent="0.65">
      <c r="A41" s="430" t="s">
        <v>179</v>
      </c>
      <c r="B41" s="431"/>
      <c r="C41" s="431"/>
      <c r="D41" s="431"/>
      <c r="E41" s="431"/>
      <c r="F41" s="431"/>
      <c r="G41" s="431"/>
      <c r="H41" s="431"/>
      <c r="I41" s="431"/>
      <c r="J41" s="431">
        <f t="shared" ref="J41:P41" si="27">J30*1000000/J20</f>
        <v>503448.27586206899</v>
      </c>
      <c r="K41" s="431">
        <f t="shared" si="27"/>
        <v>501362.39782016346</v>
      </c>
      <c r="L41" s="431">
        <f t="shared" si="27"/>
        <v>500000</v>
      </c>
      <c r="M41" s="431">
        <f t="shared" si="27"/>
        <v>474000</v>
      </c>
      <c r="N41" s="431">
        <f t="shared" si="27"/>
        <v>302752.29357798165</v>
      </c>
      <c r="O41" s="431">
        <f t="shared" si="27"/>
        <v>311594.20289855072</v>
      </c>
      <c r="P41" s="431">
        <f t="shared" si="27"/>
        <v>1502018.8425302827</v>
      </c>
      <c r="Q41" s="431">
        <f>R41</f>
        <v>2654702</v>
      </c>
      <c r="R41" s="431">
        <v>2654702</v>
      </c>
      <c r="S41" s="442">
        <f>S36*AF41</f>
        <v>3621928.4662412303</v>
      </c>
      <c r="V41" s="430" t="s">
        <v>179</v>
      </c>
      <c r="W41" s="468">
        <f>J41/J36</f>
        <v>2.3973727422003287E-2</v>
      </c>
      <c r="X41" s="468">
        <f t="shared" ref="X41:AC41" si="28">K41/K36</f>
        <v>1.8516486603441257E-2</v>
      </c>
      <c r="Y41" s="468">
        <f t="shared" si="28"/>
        <v>1.8632185976534064E-2</v>
      </c>
      <c r="Z41" s="468">
        <f t="shared" si="28"/>
        <v>1.7580606664568302E-2</v>
      </c>
      <c r="AA41" s="468">
        <f t="shared" si="28"/>
        <v>1.0179348730278105E-2</v>
      </c>
      <c r="AB41" s="468">
        <f t="shared" si="28"/>
        <v>1.0415925060047323E-2</v>
      </c>
      <c r="AC41" s="468">
        <f t="shared" si="28"/>
        <v>5.0599293068835254E-2</v>
      </c>
      <c r="AD41" s="456"/>
      <c r="AE41" s="469">
        <f>R41/R36</f>
        <v>8.9430332499783466E-2</v>
      </c>
      <c r="AF41" s="470">
        <f>AE41</f>
        <v>8.9430332499783466E-2</v>
      </c>
    </row>
    <row r="42" spans="1:39" x14ac:dyDescent="0.6">
      <c r="B42" s="433"/>
      <c r="C42" s="433"/>
      <c r="D42" s="433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</row>
    <row r="44" spans="1:39" ht="23.25" thickBot="1" x14ac:dyDescent="0.65"/>
    <row r="45" spans="1:39" x14ac:dyDescent="0.6">
      <c r="A45" s="437" t="s">
        <v>111</v>
      </c>
      <c r="B45" s="425" t="s">
        <v>169</v>
      </c>
      <c r="C45" s="425" t="s">
        <v>168</v>
      </c>
      <c r="D45" s="425" t="s">
        <v>167</v>
      </c>
      <c r="E45" s="425" t="s">
        <v>166</v>
      </c>
      <c r="F45" s="425" t="s">
        <v>165</v>
      </c>
      <c r="G45" s="425" t="s">
        <v>164</v>
      </c>
      <c r="H45" s="425" t="s">
        <v>163</v>
      </c>
      <c r="I45" s="425" t="s">
        <v>162</v>
      </c>
      <c r="J45" s="425" t="s">
        <v>146</v>
      </c>
      <c r="K45" s="425" t="s">
        <v>161</v>
      </c>
      <c r="L45" s="426" t="s">
        <v>2553</v>
      </c>
    </row>
    <row r="46" spans="1:39" x14ac:dyDescent="0.6">
      <c r="A46" s="427" t="s">
        <v>58</v>
      </c>
      <c r="B46" s="353" t="s">
        <v>40</v>
      </c>
      <c r="C46" s="353" t="s">
        <v>55</v>
      </c>
      <c r="D46" s="353" t="s">
        <v>95</v>
      </c>
      <c r="E46" s="353" t="s">
        <v>94</v>
      </c>
      <c r="F46" s="353" t="s">
        <v>39</v>
      </c>
      <c r="G46" s="353" t="s">
        <v>54</v>
      </c>
      <c r="H46" s="352" t="s">
        <v>148</v>
      </c>
      <c r="I46" s="353" t="s">
        <v>149</v>
      </c>
      <c r="J46" s="353" t="s">
        <v>146</v>
      </c>
      <c r="K46" s="353" t="s">
        <v>160</v>
      </c>
      <c r="L46" s="354" t="s">
        <v>2523</v>
      </c>
    </row>
    <row r="47" spans="1:39" x14ac:dyDescent="0.6">
      <c r="A47" s="427" t="s">
        <v>82</v>
      </c>
      <c r="B47" s="438">
        <v>1136091</v>
      </c>
      <c r="C47" s="438"/>
      <c r="D47" s="438">
        <v>1271682</v>
      </c>
      <c r="E47" s="438">
        <v>1555845</v>
      </c>
      <c r="F47" s="438">
        <v>1555844</v>
      </c>
      <c r="G47" s="438">
        <v>483586</v>
      </c>
      <c r="H47" s="438">
        <v>1512995</v>
      </c>
      <c r="I47" s="438">
        <v>1717057</v>
      </c>
      <c r="J47" s="438">
        <v>0</v>
      </c>
      <c r="K47" s="438">
        <f>H72</f>
        <v>1717057</v>
      </c>
      <c r="L47" s="457">
        <f>I72</f>
        <v>3210795.0293214186</v>
      </c>
      <c r="O47" s="435"/>
    </row>
    <row r="48" spans="1:39" x14ac:dyDescent="0.6">
      <c r="A48" s="427" t="s">
        <v>81</v>
      </c>
      <c r="B48" s="438">
        <v>45531</v>
      </c>
      <c r="C48" s="438"/>
      <c r="D48" s="438">
        <v>36268</v>
      </c>
      <c r="E48" s="438">
        <v>62763</v>
      </c>
      <c r="F48" s="438">
        <v>62930</v>
      </c>
      <c r="G48" s="438">
        <v>23223</v>
      </c>
      <c r="H48" s="438">
        <v>59053</v>
      </c>
      <c r="I48" s="438">
        <v>94811</v>
      </c>
      <c r="J48" s="438">
        <f>I48*0.2</f>
        <v>18962.2</v>
      </c>
      <c r="K48" s="438">
        <f>J48+I48</f>
        <v>113773.2</v>
      </c>
      <c r="L48" s="429">
        <f>K48*1.3</f>
        <v>147905.16</v>
      </c>
      <c r="O48" s="435"/>
    </row>
    <row r="49" spans="1:15" x14ac:dyDescent="0.6">
      <c r="A49" s="427" t="s">
        <v>80</v>
      </c>
      <c r="B49" s="438">
        <v>160833</v>
      </c>
      <c r="C49" s="438"/>
      <c r="D49" s="438">
        <v>159247</v>
      </c>
      <c r="E49" s="438">
        <v>191199</v>
      </c>
      <c r="F49" s="438">
        <v>258985</v>
      </c>
      <c r="G49" s="438">
        <v>93606</v>
      </c>
      <c r="H49" s="438">
        <v>209832</v>
      </c>
      <c r="I49" s="438">
        <v>353648</v>
      </c>
      <c r="J49" s="438">
        <f>F92</f>
        <v>70729.600000000006</v>
      </c>
      <c r="K49" s="438">
        <f>G92</f>
        <v>424377.59999999998</v>
      </c>
      <c r="L49" s="457">
        <f>H92</f>
        <v>551690.88000000012</v>
      </c>
      <c r="O49" s="435"/>
    </row>
    <row r="50" spans="1:15" x14ac:dyDescent="0.6">
      <c r="A50" s="427" t="s">
        <v>42</v>
      </c>
      <c r="B50" s="438">
        <v>1342455</v>
      </c>
      <c r="C50" s="438"/>
      <c r="D50" s="438">
        <v>1435894</v>
      </c>
      <c r="E50" s="438">
        <v>1809807</v>
      </c>
      <c r="F50" s="438">
        <v>1877759</v>
      </c>
      <c r="G50" s="438">
        <v>600415</v>
      </c>
      <c r="H50" s="438">
        <v>1781880</v>
      </c>
      <c r="I50" s="438">
        <v>2165516</v>
      </c>
      <c r="J50" s="438">
        <f>SUM(J47:J49)</f>
        <v>89691.8</v>
      </c>
      <c r="K50" s="438">
        <f>SUM(K47:K49)</f>
        <v>2255207.7999999998</v>
      </c>
      <c r="L50" s="439">
        <f>SUM(L47:L49)</f>
        <v>3910391.0693214191</v>
      </c>
      <c r="O50" s="435"/>
    </row>
    <row r="51" spans="1:15" x14ac:dyDescent="0.6">
      <c r="A51" s="427" t="s">
        <v>79</v>
      </c>
      <c r="B51" s="438">
        <v>0</v>
      </c>
      <c r="C51" s="438"/>
      <c r="D51" s="438">
        <v>0</v>
      </c>
      <c r="E51" s="438">
        <v>0</v>
      </c>
      <c r="F51" s="438">
        <v>0</v>
      </c>
      <c r="G51" s="438">
        <v>0</v>
      </c>
      <c r="H51" s="438">
        <v>0</v>
      </c>
      <c r="I51" s="438">
        <v>0</v>
      </c>
      <c r="J51" s="438">
        <v>0</v>
      </c>
      <c r="K51" s="438">
        <v>0</v>
      </c>
      <c r="L51" s="429">
        <v>0</v>
      </c>
      <c r="O51" s="436"/>
    </row>
    <row r="52" spans="1:15" x14ac:dyDescent="0.6">
      <c r="A52" s="427" t="s">
        <v>78</v>
      </c>
      <c r="B52" s="438">
        <v>1342455</v>
      </c>
      <c r="C52" s="438"/>
      <c r="D52" s="438">
        <v>1435894</v>
      </c>
      <c r="E52" s="438">
        <v>1809807</v>
      </c>
      <c r="F52" s="438">
        <v>1877759</v>
      </c>
      <c r="G52" s="438">
        <v>600415</v>
      </c>
      <c r="H52" s="438">
        <v>1781880</v>
      </c>
      <c r="I52" s="438">
        <v>2165516</v>
      </c>
      <c r="J52" s="438">
        <f>SUM(J50:J51)</f>
        <v>89691.8</v>
      </c>
      <c r="K52" s="438">
        <f t="shared" ref="K52:L52" si="29">SUM(K50:K51)</f>
        <v>2255207.7999999998</v>
      </c>
      <c r="L52" s="439">
        <f t="shared" si="29"/>
        <v>3910391.0693214191</v>
      </c>
      <c r="O52" s="435"/>
    </row>
    <row r="53" spans="1:15" x14ac:dyDescent="0.6">
      <c r="A53" s="427" t="s">
        <v>77</v>
      </c>
      <c r="B53" s="438">
        <v>520</v>
      </c>
      <c r="C53" s="438"/>
      <c r="D53" s="438">
        <v>520</v>
      </c>
      <c r="E53" s="438">
        <v>764</v>
      </c>
      <c r="F53" s="438">
        <v>764</v>
      </c>
      <c r="G53" s="438">
        <v>0</v>
      </c>
      <c r="H53" s="438">
        <v>0</v>
      </c>
      <c r="I53" s="438">
        <v>0</v>
      </c>
      <c r="J53" s="438">
        <v>0</v>
      </c>
      <c r="K53" s="438">
        <v>0</v>
      </c>
      <c r="L53" s="429">
        <v>0</v>
      </c>
      <c r="O53" s="436"/>
    </row>
    <row r="54" spans="1:15" x14ac:dyDescent="0.6">
      <c r="A54" s="427" t="s">
        <v>76</v>
      </c>
      <c r="B54" s="438">
        <v>-763</v>
      </c>
      <c r="C54" s="438"/>
      <c r="D54" s="438">
        <v>-728</v>
      </c>
      <c r="E54" s="438">
        <v>0</v>
      </c>
      <c r="F54" s="438">
        <v>0</v>
      </c>
      <c r="G54" s="438">
        <v>0</v>
      </c>
      <c r="H54" s="438">
        <v>0</v>
      </c>
      <c r="I54" s="438">
        <v>0</v>
      </c>
      <c r="J54" s="438">
        <v>0</v>
      </c>
      <c r="K54" s="438">
        <v>0</v>
      </c>
      <c r="L54" s="429">
        <v>0</v>
      </c>
      <c r="O54" s="436"/>
    </row>
    <row r="55" spans="1:15" x14ac:dyDescent="0.6">
      <c r="A55" s="427" t="s">
        <v>75</v>
      </c>
      <c r="B55" s="438">
        <v>0</v>
      </c>
      <c r="C55" s="438"/>
      <c r="D55" s="438">
        <v>0</v>
      </c>
      <c r="E55" s="438">
        <v>0</v>
      </c>
      <c r="F55" s="438">
        <v>0</v>
      </c>
      <c r="G55" s="438">
        <v>0</v>
      </c>
      <c r="H55" s="438">
        <v>0</v>
      </c>
      <c r="I55" s="438">
        <v>0</v>
      </c>
      <c r="J55" s="438">
        <v>0</v>
      </c>
      <c r="K55" s="438">
        <v>0</v>
      </c>
      <c r="L55" s="429">
        <v>0</v>
      </c>
      <c r="O55" s="436"/>
    </row>
    <row r="56" spans="1:15" x14ac:dyDescent="0.6">
      <c r="A56" s="427" t="s">
        <v>74</v>
      </c>
      <c r="B56" s="438">
        <v>1342212</v>
      </c>
      <c r="C56" s="438"/>
      <c r="D56" s="438">
        <v>1253506</v>
      </c>
      <c r="E56" s="438">
        <v>1810571</v>
      </c>
      <c r="F56" s="438">
        <v>1878523</v>
      </c>
      <c r="G56" s="438">
        <v>600415</v>
      </c>
      <c r="H56" s="438">
        <v>1781880</v>
      </c>
      <c r="I56" s="438">
        <v>2165516</v>
      </c>
      <c r="J56" s="438">
        <f>SUM(J52:J55)</f>
        <v>89691.8</v>
      </c>
      <c r="K56" s="438">
        <f t="shared" ref="K56:L56" si="30">SUM(K52:K55)</f>
        <v>2255207.7999999998</v>
      </c>
      <c r="L56" s="439">
        <f t="shared" si="30"/>
        <v>3910391.0693214191</v>
      </c>
      <c r="O56" s="435"/>
    </row>
    <row r="57" spans="1:15" x14ac:dyDescent="0.6">
      <c r="A57" s="427" t="s">
        <v>73</v>
      </c>
      <c r="B57" s="438">
        <v>78</v>
      </c>
      <c r="C57" s="438"/>
      <c r="D57" s="438">
        <v>78</v>
      </c>
      <c r="E57" s="438">
        <v>3981</v>
      </c>
      <c r="F57" s="438">
        <v>3981</v>
      </c>
      <c r="G57" s="438">
        <v>35138</v>
      </c>
      <c r="H57" s="438">
        <v>35138</v>
      </c>
      <c r="I57" s="438">
        <v>35138</v>
      </c>
      <c r="J57" s="438">
        <f>I57</f>
        <v>35138</v>
      </c>
      <c r="K57" s="438">
        <f>I57</f>
        <v>35138</v>
      </c>
      <c r="L57" s="439">
        <f>K57</f>
        <v>35138</v>
      </c>
      <c r="O57" s="435"/>
    </row>
    <row r="58" spans="1:15" x14ac:dyDescent="0.6">
      <c r="A58" s="427" t="s">
        <v>72</v>
      </c>
      <c r="B58" s="438">
        <v>-3981</v>
      </c>
      <c r="C58" s="438"/>
      <c r="D58" s="438">
        <v>-288358</v>
      </c>
      <c r="E58" s="438">
        <v>-517824</v>
      </c>
      <c r="F58" s="438">
        <v>-35138</v>
      </c>
      <c r="G58" s="438">
        <v>-277245</v>
      </c>
      <c r="H58" s="438">
        <v>-635018</v>
      </c>
      <c r="I58" s="438">
        <v>-76851</v>
      </c>
      <c r="J58" s="438">
        <f>I58</f>
        <v>-76851</v>
      </c>
      <c r="K58" s="438">
        <f>J58</f>
        <v>-76851</v>
      </c>
      <c r="L58" s="439">
        <f>K58</f>
        <v>-76851</v>
      </c>
      <c r="O58" s="435"/>
    </row>
    <row r="59" spans="1:15" x14ac:dyDescent="0.6">
      <c r="A59" s="427" t="s">
        <v>71</v>
      </c>
      <c r="B59" s="438">
        <v>1338309</v>
      </c>
      <c r="C59" s="438"/>
      <c r="D59" s="438">
        <v>965226</v>
      </c>
      <c r="E59" s="438">
        <v>1296728</v>
      </c>
      <c r="F59" s="438">
        <v>1847366</v>
      </c>
      <c r="G59" s="438">
        <v>358308</v>
      </c>
      <c r="H59" s="438">
        <v>1182000</v>
      </c>
      <c r="I59" s="438">
        <v>2123803</v>
      </c>
      <c r="J59" s="438">
        <f>SUM(J56:J58)</f>
        <v>47978.8</v>
      </c>
      <c r="K59" s="438">
        <f>SUM(K56:K58)</f>
        <v>2213494.7999999998</v>
      </c>
      <c r="L59" s="439">
        <f>SUM(L56:L58)</f>
        <v>3868678.0693214191</v>
      </c>
      <c r="O59" s="435"/>
    </row>
    <row r="60" spans="1:15" x14ac:dyDescent="0.6">
      <c r="A60" s="427" t="s">
        <v>70</v>
      </c>
      <c r="B60" s="438">
        <v>0</v>
      </c>
      <c r="C60" s="438"/>
      <c r="D60" s="438">
        <v>0</v>
      </c>
      <c r="E60" s="438">
        <v>0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0</v>
      </c>
      <c r="L60" s="429">
        <v>0</v>
      </c>
      <c r="O60" s="436"/>
    </row>
    <row r="61" spans="1:15" ht="23.25" thickBot="1" x14ac:dyDescent="0.65">
      <c r="A61" s="430" t="s">
        <v>69</v>
      </c>
      <c r="B61" s="440">
        <v>1338309</v>
      </c>
      <c r="C61" s="440"/>
      <c r="D61" s="440">
        <v>965226</v>
      </c>
      <c r="E61" s="440">
        <v>1296728</v>
      </c>
      <c r="F61" s="440">
        <v>1847366</v>
      </c>
      <c r="G61" s="440">
        <v>358308</v>
      </c>
      <c r="H61" s="440">
        <v>1182000</v>
      </c>
      <c r="I61" s="440">
        <v>2123803</v>
      </c>
      <c r="J61" s="440">
        <f t="shared" ref="J61:K61" si="31">SUM(J59:J60)</f>
        <v>47978.8</v>
      </c>
      <c r="K61" s="440">
        <f t="shared" si="31"/>
        <v>2213494.7999999998</v>
      </c>
      <c r="L61" s="441">
        <f>SUM(L59:L60)</f>
        <v>3868678.0693214191</v>
      </c>
      <c r="O61" s="435"/>
    </row>
    <row r="62" spans="1:15" x14ac:dyDescent="0.6">
      <c r="L62" s="435"/>
    </row>
    <row r="63" spans="1:15" ht="23.25" thickBot="1" x14ac:dyDescent="0.65"/>
    <row r="64" spans="1:15" x14ac:dyDescent="0.6">
      <c r="A64" s="437" t="s">
        <v>114</v>
      </c>
      <c r="B64" s="425" t="s">
        <v>169</v>
      </c>
      <c r="C64" s="425" t="s">
        <v>165</v>
      </c>
      <c r="D64" s="425" t="s">
        <v>164</v>
      </c>
      <c r="E64" s="425" t="s">
        <v>163</v>
      </c>
      <c r="F64" s="425" t="s">
        <v>162</v>
      </c>
      <c r="G64" s="425" t="s">
        <v>146</v>
      </c>
      <c r="H64" s="425" t="s">
        <v>161</v>
      </c>
      <c r="I64" s="426" t="s">
        <v>2553</v>
      </c>
    </row>
    <row r="65" spans="1:16" x14ac:dyDescent="0.6">
      <c r="A65" s="427"/>
      <c r="B65" s="353" t="s">
        <v>40</v>
      </c>
      <c r="C65" s="353" t="s">
        <v>39</v>
      </c>
      <c r="D65" s="353" t="s">
        <v>54</v>
      </c>
      <c r="E65" s="352" t="s">
        <v>148</v>
      </c>
      <c r="F65" s="353" t="s">
        <v>149</v>
      </c>
      <c r="G65" s="353" t="s">
        <v>146</v>
      </c>
      <c r="H65" s="353" t="s">
        <v>160</v>
      </c>
      <c r="I65" s="354" t="s">
        <v>2523</v>
      </c>
    </row>
    <row r="66" spans="1:16" x14ac:dyDescent="0.6">
      <c r="A66" s="427" t="s">
        <v>60</v>
      </c>
      <c r="B66" s="428">
        <f>2718*150</f>
        <v>407700</v>
      </c>
      <c r="C66" s="428">
        <v>453637</v>
      </c>
      <c r="D66" s="428">
        <v>153800</v>
      </c>
      <c r="E66" s="428">
        <v>481250</v>
      </c>
      <c r="F66" s="428">
        <v>547517</v>
      </c>
      <c r="G66" s="428">
        <v>0</v>
      </c>
      <c r="H66" s="428">
        <f>B135</f>
        <v>547517</v>
      </c>
      <c r="I66" s="462">
        <f>B143</f>
        <v>535132.5048869031</v>
      </c>
    </row>
    <row r="67" spans="1:16" ht="25.5" x14ac:dyDescent="0.7">
      <c r="A67" s="300" t="s">
        <v>67</v>
      </c>
      <c r="B67" s="454">
        <f>I5</f>
        <v>54301</v>
      </c>
      <c r="C67" s="454">
        <f>M5</f>
        <v>67750</v>
      </c>
      <c r="D67" s="454">
        <f t="shared" ref="D67:F67" si="32">N5</f>
        <v>20310</v>
      </c>
      <c r="E67" s="454">
        <f t="shared" si="32"/>
        <v>63792</v>
      </c>
      <c r="F67" s="454">
        <f t="shared" si="32"/>
        <v>71620</v>
      </c>
      <c r="G67" s="454">
        <v>0</v>
      </c>
      <c r="H67" s="454">
        <v>71620</v>
      </c>
      <c r="I67" s="429"/>
    </row>
    <row r="68" spans="1:16" ht="26.25" thickBot="1" x14ac:dyDescent="0.75">
      <c r="A68" s="227" t="s">
        <v>66</v>
      </c>
      <c r="B68" s="453">
        <f>B66/B67</f>
        <v>7.5081490211966626</v>
      </c>
      <c r="C68" s="453">
        <f>C66/C67</f>
        <v>6.6957490774907749</v>
      </c>
      <c r="D68" s="453">
        <f t="shared" ref="D68:F68" si="33">D66/D67</f>
        <v>7.5726243229935992</v>
      </c>
      <c r="E68" s="453">
        <f t="shared" si="33"/>
        <v>7.5440494105843996</v>
      </c>
      <c r="F68" s="453">
        <f t="shared" si="33"/>
        <v>7.6447500698129014</v>
      </c>
      <c r="G68" s="456">
        <v>0</v>
      </c>
      <c r="H68" s="453"/>
      <c r="I68" s="459">
        <f>B142</f>
        <v>7.6447500698129014</v>
      </c>
    </row>
    <row r="69" spans="1:16" ht="23.25" thickBot="1" x14ac:dyDescent="0.65"/>
    <row r="70" spans="1:16" x14ac:dyDescent="0.6">
      <c r="A70" s="437" t="s">
        <v>116</v>
      </c>
      <c r="B70" s="425" t="s">
        <v>169</v>
      </c>
      <c r="C70" s="425" t="s">
        <v>165</v>
      </c>
      <c r="D70" s="425" t="s">
        <v>164</v>
      </c>
      <c r="E70" s="425" t="s">
        <v>163</v>
      </c>
      <c r="F70" s="425" t="s">
        <v>162</v>
      </c>
      <c r="G70" s="425" t="s">
        <v>146</v>
      </c>
      <c r="H70" s="425" t="s">
        <v>161</v>
      </c>
      <c r="I70" s="426" t="s">
        <v>2553</v>
      </c>
    </row>
    <row r="71" spans="1:16" x14ac:dyDescent="0.6">
      <c r="A71" s="427"/>
      <c r="B71" s="353" t="s">
        <v>40</v>
      </c>
      <c r="C71" s="353" t="s">
        <v>39</v>
      </c>
      <c r="D71" s="353" t="s">
        <v>54</v>
      </c>
      <c r="E71" s="352" t="s">
        <v>148</v>
      </c>
      <c r="F71" s="353" t="s">
        <v>149</v>
      </c>
      <c r="G71" s="353" t="s">
        <v>146</v>
      </c>
      <c r="H71" s="353" t="s">
        <v>160</v>
      </c>
      <c r="I71" s="354" t="s">
        <v>2523</v>
      </c>
    </row>
    <row r="72" spans="1:16" ht="23.25" thickBot="1" x14ac:dyDescent="0.65">
      <c r="A72" s="443"/>
      <c r="B72" s="431">
        <v>1270822</v>
      </c>
      <c r="C72" s="431">
        <v>1555844</v>
      </c>
      <c r="D72" s="431">
        <v>483586</v>
      </c>
      <c r="E72" s="431">
        <v>1512995</v>
      </c>
      <c r="F72" s="431">
        <v>1717057</v>
      </c>
      <c r="G72" s="431">
        <v>0</v>
      </c>
      <c r="H72" s="431">
        <f>F72</f>
        <v>1717057</v>
      </c>
      <c r="I72" s="442">
        <f>I66*I77/1000000</f>
        <v>3210795.0293214186</v>
      </c>
    </row>
    <row r="74" spans="1:16" ht="23.25" thickBot="1" x14ac:dyDescent="0.65"/>
    <row r="75" spans="1:16" x14ac:dyDescent="0.6">
      <c r="A75" s="437" t="s">
        <v>117</v>
      </c>
      <c r="B75" s="425" t="s">
        <v>169</v>
      </c>
      <c r="C75" s="425" t="s">
        <v>165</v>
      </c>
      <c r="D75" s="425" t="s">
        <v>164</v>
      </c>
      <c r="E75" s="425" t="s">
        <v>163</v>
      </c>
      <c r="F75" s="425" t="s">
        <v>162</v>
      </c>
      <c r="G75" s="425" t="s">
        <v>146</v>
      </c>
      <c r="H75" s="425" t="s">
        <v>161</v>
      </c>
      <c r="I75" s="426" t="s">
        <v>2553</v>
      </c>
      <c r="J75" s="444"/>
      <c r="K75" s="444"/>
      <c r="L75" s="444"/>
      <c r="M75" s="444"/>
      <c r="N75" s="444"/>
      <c r="O75" s="444"/>
      <c r="P75" s="444"/>
    </row>
    <row r="76" spans="1:16" x14ac:dyDescent="0.6">
      <c r="A76" s="427"/>
      <c r="B76" s="353" t="s">
        <v>40</v>
      </c>
      <c r="C76" s="353" t="s">
        <v>39</v>
      </c>
      <c r="D76" s="353" t="s">
        <v>54</v>
      </c>
      <c r="E76" s="352" t="s">
        <v>148</v>
      </c>
      <c r="F76" s="353" t="s">
        <v>149</v>
      </c>
      <c r="G76" s="353" t="s">
        <v>146</v>
      </c>
      <c r="H76" s="353" t="s">
        <v>160</v>
      </c>
      <c r="I76" s="354" t="s">
        <v>2523</v>
      </c>
      <c r="J76" s="444"/>
      <c r="K76" s="444"/>
      <c r="L76" s="444"/>
      <c r="M76" s="444"/>
      <c r="N76" s="444"/>
      <c r="O76" s="444"/>
      <c r="P76" s="444"/>
    </row>
    <row r="77" spans="1:16" ht="23.25" thickBot="1" x14ac:dyDescent="0.65">
      <c r="A77" s="443"/>
      <c r="B77" s="431">
        <f>B72*1000000/B66</f>
        <v>3117051.7537404955</v>
      </c>
      <c r="C77" s="431">
        <f>C72*1000000/C66</f>
        <v>3429711.4212465035</v>
      </c>
      <c r="D77" s="431">
        <f>D72*1000000/D66</f>
        <v>3144252.275682705</v>
      </c>
      <c r="E77" s="431">
        <f>E72*1000000/E66</f>
        <v>3143885.7142857141</v>
      </c>
      <c r="F77" s="431">
        <f>F72*1000000/F66</f>
        <v>3136079.7929562004</v>
      </c>
      <c r="G77" s="431">
        <v>0</v>
      </c>
      <c r="H77" s="431">
        <f>B136</f>
        <v>3136079.7929562004</v>
      </c>
      <c r="I77" s="464">
        <f>B144</f>
        <v>6000000</v>
      </c>
      <c r="J77" s="444"/>
      <c r="K77" s="444"/>
      <c r="L77" s="444"/>
      <c r="M77" s="444"/>
      <c r="N77" s="444"/>
      <c r="O77" s="444"/>
      <c r="P77" s="444"/>
    </row>
    <row r="78" spans="1:16" x14ac:dyDescent="0.6">
      <c r="H78" s="444"/>
      <c r="I78" s="445"/>
      <c r="J78" s="445"/>
      <c r="K78" s="445"/>
      <c r="L78" s="446"/>
      <c r="M78" s="445"/>
      <c r="N78" s="445"/>
      <c r="O78" s="445"/>
      <c r="P78" s="446"/>
    </row>
    <row r="79" spans="1:16" ht="23.25" thickBot="1" x14ac:dyDescent="0.65">
      <c r="H79" s="444"/>
      <c r="I79" s="445"/>
      <c r="J79" s="445"/>
      <c r="K79" s="445"/>
      <c r="L79" s="446"/>
      <c r="M79" s="445"/>
      <c r="N79" s="445"/>
      <c r="O79" s="445"/>
      <c r="P79" s="446"/>
    </row>
    <row r="80" spans="1:16" x14ac:dyDescent="0.6">
      <c r="A80" s="437" t="s">
        <v>180</v>
      </c>
      <c r="B80" s="425" t="s">
        <v>165</v>
      </c>
      <c r="C80" s="425" t="s">
        <v>164</v>
      </c>
      <c r="D80" s="425" t="s">
        <v>163</v>
      </c>
      <c r="E80" s="425" t="s">
        <v>162</v>
      </c>
      <c r="F80" s="425" t="s">
        <v>146</v>
      </c>
      <c r="G80" s="425" t="s">
        <v>161</v>
      </c>
      <c r="H80" s="426" t="s">
        <v>2553</v>
      </c>
      <c r="J80" s="445"/>
      <c r="K80" s="445"/>
      <c r="L80" s="446"/>
      <c r="M80" s="446"/>
      <c r="N80" s="446"/>
      <c r="O80" s="446"/>
      <c r="P80" s="446"/>
    </row>
    <row r="81" spans="1:16" x14ac:dyDescent="0.6">
      <c r="A81" s="427"/>
      <c r="B81" s="353" t="s">
        <v>39</v>
      </c>
      <c r="C81" s="353" t="s">
        <v>54</v>
      </c>
      <c r="D81" s="352" t="s">
        <v>148</v>
      </c>
      <c r="E81" s="353" t="s">
        <v>149</v>
      </c>
      <c r="F81" s="353" t="s">
        <v>146</v>
      </c>
      <c r="G81" s="353" t="s">
        <v>160</v>
      </c>
      <c r="H81" s="354" t="s">
        <v>2523</v>
      </c>
      <c r="J81" s="445"/>
      <c r="K81" s="445"/>
      <c r="L81" s="446"/>
      <c r="M81" s="446"/>
      <c r="N81" s="446"/>
      <c r="O81" s="446"/>
      <c r="P81" s="446"/>
    </row>
    <row r="82" spans="1:16" x14ac:dyDescent="0.6">
      <c r="A82" s="427" t="s">
        <v>52</v>
      </c>
      <c r="B82" s="428">
        <v>88753</v>
      </c>
      <c r="C82" s="428">
        <v>26365</v>
      </c>
      <c r="D82" s="428">
        <v>68151</v>
      </c>
      <c r="E82" s="428">
        <v>104908</v>
      </c>
      <c r="F82" s="428">
        <f>E82*0.2</f>
        <v>20981.600000000002</v>
      </c>
      <c r="G82" s="428">
        <f>F82+E82</f>
        <v>125889.60000000001</v>
      </c>
      <c r="H82" s="447">
        <f>G82*1.3</f>
        <v>163656.48000000001</v>
      </c>
      <c r="I82" s="446"/>
      <c r="J82" s="446"/>
      <c r="K82" s="446"/>
      <c r="L82" s="446"/>
      <c r="M82" s="446"/>
      <c r="N82" s="446"/>
      <c r="O82" s="446"/>
      <c r="P82" s="446"/>
    </row>
    <row r="83" spans="1:16" x14ac:dyDescent="0.6">
      <c r="A83" s="427" t="s">
        <v>51</v>
      </c>
      <c r="B83" s="428">
        <v>33951</v>
      </c>
      <c r="C83" s="428">
        <v>9983</v>
      </c>
      <c r="D83" s="428">
        <v>21039</v>
      </c>
      <c r="E83" s="428">
        <v>42235</v>
      </c>
      <c r="F83" s="428">
        <f t="shared" ref="F83:F91" si="34">E83*0.2</f>
        <v>8447</v>
      </c>
      <c r="G83" s="428">
        <f t="shared" ref="G83:G91" si="35">F83+E83</f>
        <v>50682</v>
      </c>
      <c r="H83" s="447">
        <f t="shared" ref="H83:H91" si="36">G83*1.3</f>
        <v>65886.600000000006</v>
      </c>
      <c r="I83" s="446"/>
      <c r="J83" s="446"/>
      <c r="K83" s="446"/>
      <c r="L83" s="446"/>
      <c r="M83" s="445"/>
      <c r="N83" s="446"/>
      <c r="O83" s="445"/>
      <c r="P83" s="446"/>
    </row>
    <row r="84" spans="1:16" x14ac:dyDescent="0.6">
      <c r="A84" s="427" t="s">
        <v>50</v>
      </c>
      <c r="B84" s="428">
        <v>67007</v>
      </c>
      <c r="C84" s="428">
        <v>19317</v>
      </c>
      <c r="D84" s="428">
        <v>63472</v>
      </c>
      <c r="E84" s="428">
        <v>7500</v>
      </c>
      <c r="F84" s="428">
        <f t="shared" si="34"/>
        <v>1500</v>
      </c>
      <c r="G84" s="428">
        <f t="shared" si="35"/>
        <v>9000</v>
      </c>
      <c r="H84" s="447">
        <f t="shared" si="36"/>
        <v>11700</v>
      </c>
      <c r="I84" s="446"/>
      <c r="J84" s="446"/>
      <c r="K84" s="446"/>
      <c r="M84" s="446"/>
      <c r="N84" s="446"/>
      <c r="P84" s="446"/>
    </row>
    <row r="85" spans="1:16" x14ac:dyDescent="0.6">
      <c r="A85" s="427" t="s">
        <v>49</v>
      </c>
      <c r="B85" s="428">
        <v>24972</v>
      </c>
      <c r="C85" s="428">
        <v>4748</v>
      </c>
      <c r="D85" s="428">
        <v>20001</v>
      </c>
      <c r="E85" s="428">
        <v>27472</v>
      </c>
      <c r="F85" s="428">
        <f t="shared" si="34"/>
        <v>5494.4000000000005</v>
      </c>
      <c r="G85" s="428">
        <f t="shared" si="35"/>
        <v>32966.400000000001</v>
      </c>
      <c r="H85" s="447">
        <f t="shared" si="36"/>
        <v>42856.320000000007</v>
      </c>
      <c r="I85" s="446"/>
      <c r="J85" s="446"/>
      <c r="K85" s="446"/>
      <c r="M85" s="446"/>
      <c r="N85" s="446"/>
      <c r="P85" s="446"/>
    </row>
    <row r="86" spans="1:16" x14ac:dyDescent="0.6">
      <c r="A86" s="427" t="s">
        <v>48</v>
      </c>
      <c r="B86" s="428">
        <v>0</v>
      </c>
      <c r="C86" s="428">
        <v>0</v>
      </c>
      <c r="D86" s="428">
        <v>0</v>
      </c>
      <c r="E86" s="428">
        <v>0</v>
      </c>
      <c r="F86" s="428">
        <f t="shared" si="34"/>
        <v>0</v>
      </c>
      <c r="G86" s="428">
        <f t="shared" si="35"/>
        <v>0</v>
      </c>
      <c r="H86" s="447">
        <f t="shared" si="36"/>
        <v>0</v>
      </c>
      <c r="I86" s="445"/>
      <c r="J86" s="446"/>
      <c r="K86" s="446"/>
      <c r="M86" s="446"/>
      <c r="N86" s="446"/>
      <c r="P86" s="446"/>
    </row>
    <row r="87" spans="1:16" x14ac:dyDescent="0.6">
      <c r="A87" s="427" t="s">
        <v>47</v>
      </c>
      <c r="B87" s="428">
        <v>0</v>
      </c>
      <c r="C87" s="428">
        <v>0</v>
      </c>
      <c r="D87" s="428">
        <v>0</v>
      </c>
      <c r="E87" s="428">
        <v>0</v>
      </c>
      <c r="F87" s="428">
        <f t="shared" si="34"/>
        <v>0</v>
      </c>
      <c r="G87" s="428">
        <f t="shared" si="35"/>
        <v>0</v>
      </c>
      <c r="H87" s="447">
        <f t="shared" si="36"/>
        <v>0</v>
      </c>
      <c r="I87" s="445"/>
      <c r="J87" s="445"/>
      <c r="K87" s="445"/>
      <c r="M87" s="445"/>
      <c r="N87" s="445"/>
      <c r="P87" s="446"/>
    </row>
    <row r="88" spans="1:16" x14ac:dyDescent="0.6">
      <c r="A88" s="427" t="s">
        <v>118</v>
      </c>
      <c r="B88" s="428">
        <v>0</v>
      </c>
      <c r="C88" s="428">
        <v>0</v>
      </c>
      <c r="D88" s="428">
        <v>0</v>
      </c>
      <c r="E88" s="428">
        <v>0</v>
      </c>
      <c r="F88" s="428">
        <f t="shared" si="34"/>
        <v>0</v>
      </c>
      <c r="G88" s="428">
        <f t="shared" si="35"/>
        <v>0</v>
      </c>
      <c r="H88" s="447">
        <f t="shared" si="36"/>
        <v>0</v>
      </c>
      <c r="I88" s="445"/>
      <c r="J88" s="445"/>
      <c r="K88" s="445"/>
      <c r="M88" s="445"/>
      <c r="N88" s="445"/>
      <c r="P88" s="446"/>
    </row>
    <row r="89" spans="1:16" x14ac:dyDescent="0.6">
      <c r="A89" s="427" t="s">
        <v>45</v>
      </c>
      <c r="B89" s="428">
        <v>0</v>
      </c>
      <c r="C89" s="428">
        <v>0</v>
      </c>
      <c r="D89" s="428">
        <v>0</v>
      </c>
      <c r="E89" s="428">
        <v>0</v>
      </c>
      <c r="F89" s="428">
        <f t="shared" si="34"/>
        <v>0</v>
      </c>
      <c r="G89" s="428">
        <f t="shared" si="35"/>
        <v>0</v>
      </c>
      <c r="H89" s="447">
        <f t="shared" si="36"/>
        <v>0</v>
      </c>
      <c r="K89" s="436"/>
      <c r="M89" s="436"/>
      <c r="N89" s="435"/>
      <c r="P89" s="435"/>
    </row>
    <row r="90" spans="1:16" x14ac:dyDescent="0.6">
      <c r="A90" s="427" t="s">
        <v>44</v>
      </c>
      <c r="B90" s="428">
        <v>1693</v>
      </c>
      <c r="C90" s="428">
        <v>657</v>
      </c>
      <c r="D90" s="428">
        <v>346</v>
      </c>
      <c r="E90" s="428">
        <v>0</v>
      </c>
      <c r="F90" s="428">
        <f t="shared" si="34"/>
        <v>0</v>
      </c>
      <c r="G90" s="428">
        <f t="shared" si="35"/>
        <v>0</v>
      </c>
      <c r="H90" s="447">
        <f t="shared" si="36"/>
        <v>0</v>
      </c>
      <c r="K90" s="436"/>
      <c r="M90" s="436"/>
      <c r="N90" s="436"/>
      <c r="P90" s="436"/>
    </row>
    <row r="91" spans="1:16" x14ac:dyDescent="0.6">
      <c r="A91" s="427" t="s">
        <v>43</v>
      </c>
      <c r="B91" s="428">
        <v>42609</v>
      </c>
      <c r="C91" s="428">
        <v>32536</v>
      </c>
      <c r="D91" s="428">
        <v>36823</v>
      </c>
      <c r="E91" s="428">
        <v>171533</v>
      </c>
      <c r="F91" s="428">
        <f t="shared" si="34"/>
        <v>34306.6</v>
      </c>
      <c r="G91" s="428">
        <f t="shared" si="35"/>
        <v>205839.6</v>
      </c>
      <c r="H91" s="447">
        <f t="shared" si="36"/>
        <v>267591.48000000004</v>
      </c>
      <c r="K91" s="436"/>
      <c r="M91" s="436"/>
      <c r="N91" s="436"/>
      <c r="P91" s="436"/>
    </row>
    <row r="92" spans="1:16" ht="23.25" thickBot="1" x14ac:dyDescent="0.65">
      <c r="A92" s="427" t="s">
        <v>42</v>
      </c>
      <c r="B92" s="431">
        <v>258985</v>
      </c>
      <c r="C92" s="431">
        <v>93606</v>
      </c>
      <c r="D92" s="431">
        <v>209832</v>
      </c>
      <c r="E92" s="431">
        <v>353648</v>
      </c>
      <c r="F92" s="431">
        <f>SUM(F82:F91)</f>
        <v>70729.600000000006</v>
      </c>
      <c r="G92" s="431">
        <f>SUM(G82:G91)</f>
        <v>424377.59999999998</v>
      </c>
      <c r="H92" s="442">
        <f>SUM(H82:H91)</f>
        <v>551690.88000000012</v>
      </c>
      <c r="K92" s="435"/>
      <c r="M92" s="436"/>
      <c r="N92" s="436"/>
      <c r="P92" s="436"/>
    </row>
    <row r="93" spans="1:16" ht="23.25" thickBot="1" x14ac:dyDescent="0.65">
      <c r="K93" s="435"/>
      <c r="M93" s="435"/>
      <c r="N93" s="435"/>
      <c r="P93" s="435"/>
    </row>
    <row r="94" spans="1:16" x14ac:dyDescent="0.6">
      <c r="A94" s="437" t="s">
        <v>56</v>
      </c>
      <c r="B94" s="425" t="s">
        <v>165</v>
      </c>
      <c r="C94" s="425" t="s">
        <v>164</v>
      </c>
      <c r="D94" s="425" t="s">
        <v>163</v>
      </c>
      <c r="E94" s="425" t="s">
        <v>162</v>
      </c>
      <c r="F94" s="425" t="s">
        <v>146</v>
      </c>
      <c r="G94" s="425" t="s">
        <v>161</v>
      </c>
      <c r="H94" s="426" t="s">
        <v>2553</v>
      </c>
      <c r="K94" s="435"/>
      <c r="M94" s="435"/>
      <c r="N94" s="435"/>
      <c r="P94" s="435"/>
    </row>
    <row r="95" spans="1:16" x14ac:dyDescent="0.6">
      <c r="A95" s="427"/>
      <c r="B95" s="353" t="s">
        <v>39</v>
      </c>
      <c r="C95" s="353" t="s">
        <v>54</v>
      </c>
      <c r="D95" s="352" t="s">
        <v>148</v>
      </c>
      <c r="E95" s="353" t="s">
        <v>149</v>
      </c>
      <c r="F95" s="353" t="s">
        <v>146</v>
      </c>
      <c r="G95" s="353" t="s">
        <v>160</v>
      </c>
      <c r="H95" s="354" t="s">
        <v>2523</v>
      </c>
    </row>
    <row r="96" spans="1:16" x14ac:dyDescent="0.6">
      <c r="A96" s="427" t="s">
        <v>52</v>
      </c>
      <c r="B96" s="428">
        <v>21171</v>
      </c>
      <c r="C96" s="428">
        <v>6680</v>
      </c>
      <c r="D96" s="428">
        <v>13436</v>
      </c>
      <c r="E96" s="428">
        <v>33974</v>
      </c>
      <c r="F96" s="428">
        <f>E96*0.2</f>
        <v>6794.8</v>
      </c>
      <c r="G96" s="428">
        <f>F96+E96</f>
        <v>40768.800000000003</v>
      </c>
      <c r="H96" s="447">
        <f>G96*1.3</f>
        <v>52999.44</v>
      </c>
    </row>
    <row r="97" spans="1:34" x14ac:dyDescent="0.6">
      <c r="A97" s="427" t="s">
        <v>51</v>
      </c>
      <c r="B97" s="428">
        <v>1725</v>
      </c>
      <c r="C97" s="428">
        <v>547</v>
      </c>
      <c r="D97" s="428">
        <v>1096</v>
      </c>
      <c r="E97" s="428">
        <v>2471</v>
      </c>
      <c r="F97" s="428">
        <f t="shared" ref="F97:F105" si="37">E97*0.2</f>
        <v>494.20000000000005</v>
      </c>
      <c r="G97" s="428">
        <f t="shared" ref="G97:G105" si="38">F97+E97</f>
        <v>2965.2</v>
      </c>
      <c r="H97" s="447">
        <f t="shared" ref="H97:H105" si="39">G97*1.3</f>
        <v>3854.7599999999998</v>
      </c>
    </row>
    <row r="98" spans="1:34" x14ac:dyDescent="0.6">
      <c r="A98" s="427" t="s">
        <v>50</v>
      </c>
      <c r="B98" s="428">
        <v>138</v>
      </c>
      <c r="C98" s="428">
        <v>0</v>
      </c>
      <c r="D98" s="428">
        <v>193</v>
      </c>
      <c r="E98" s="428">
        <v>200</v>
      </c>
      <c r="F98" s="428">
        <f t="shared" si="37"/>
        <v>40</v>
      </c>
      <c r="G98" s="428">
        <f t="shared" si="38"/>
        <v>240</v>
      </c>
      <c r="H98" s="447">
        <f t="shared" si="39"/>
        <v>312</v>
      </c>
    </row>
    <row r="99" spans="1:34" x14ac:dyDescent="0.6">
      <c r="A99" s="427" t="s">
        <v>49</v>
      </c>
      <c r="B99" s="428">
        <v>0</v>
      </c>
      <c r="C99" s="428">
        <v>0</v>
      </c>
      <c r="D99" s="428">
        <v>627</v>
      </c>
      <c r="E99" s="428">
        <v>0</v>
      </c>
      <c r="F99" s="428">
        <f t="shared" si="37"/>
        <v>0</v>
      </c>
      <c r="G99" s="428">
        <f t="shared" si="38"/>
        <v>0</v>
      </c>
      <c r="H99" s="447">
        <f t="shared" si="39"/>
        <v>0</v>
      </c>
    </row>
    <row r="100" spans="1:34" x14ac:dyDescent="0.6">
      <c r="A100" s="427" t="s">
        <v>48</v>
      </c>
      <c r="B100" s="428">
        <v>85</v>
      </c>
      <c r="C100" s="428">
        <v>0</v>
      </c>
      <c r="D100" s="428">
        <v>30</v>
      </c>
      <c r="E100" s="428">
        <v>110</v>
      </c>
      <c r="F100" s="428">
        <f t="shared" si="37"/>
        <v>22</v>
      </c>
      <c r="G100" s="428">
        <f t="shared" si="38"/>
        <v>132</v>
      </c>
      <c r="H100" s="447">
        <f t="shared" si="39"/>
        <v>171.6</v>
      </c>
    </row>
    <row r="101" spans="1:34" x14ac:dyDescent="0.6">
      <c r="A101" s="427" t="s">
        <v>47</v>
      </c>
      <c r="B101" s="428">
        <v>1646</v>
      </c>
      <c r="C101" s="428">
        <v>0</v>
      </c>
      <c r="D101" s="428">
        <v>1424</v>
      </c>
      <c r="E101" s="428">
        <v>0</v>
      </c>
      <c r="F101" s="428">
        <f t="shared" si="37"/>
        <v>0</v>
      </c>
      <c r="G101" s="428">
        <f t="shared" si="38"/>
        <v>0</v>
      </c>
      <c r="H101" s="447">
        <f t="shared" si="39"/>
        <v>0</v>
      </c>
    </row>
    <row r="102" spans="1:34" x14ac:dyDescent="0.6">
      <c r="A102" s="427" t="s">
        <v>118</v>
      </c>
      <c r="B102" s="428">
        <v>0</v>
      </c>
      <c r="C102" s="428">
        <v>0</v>
      </c>
      <c r="D102" s="428">
        <v>46</v>
      </c>
      <c r="E102" s="428">
        <v>0</v>
      </c>
      <c r="F102" s="428">
        <f t="shared" si="37"/>
        <v>0</v>
      </c>
      <c r="G102" s="428">
        <f t="shared" si="38"/>
        <v>0</v>
      </c>
      <c r="H102" s="447">
        <f t="shared" si="39"/>
        <v>0</v>
      </c>
    </row>
    <row r="103" spans="1:34" x14ac:dyDescent="0.6">
      <c r="A103" s="427" t="s">
        <v>45</v>
      </c>
      <c r="B103" s="428">
        <v>0</v>
      </c>
      <c r="C103" s="428">
        <v>0</v>
      </c>
      <c r="D103" s="428">
        <v>0</v>
      </c>
      <c r="E103" s="428">
        <v>0</v>
      </c>
      <c r="F103" s="428">
        <f t="shared" si="37"/>
        <v>0</v>
      </c>
      <c r="G103" s="428">
        <f t="shared" si="38"/>
        <v>0</v>
      </c>
      <c r="H103" s="447">
        <f t="shared" si="39"/>
        <v>0</v>
      </c>
    </row>
    <row r="104" spans="1:34" x14ac:dyDescent="0.6">
      <c r="A104" s="427" t="s">
        <v>44</v>
      </c>
      <c r="B104" s="428">
        <v>0</v>
      </c>
      <c r="C104" s="428">
        <v>0</v>
      </c>
      <c r="D104" s="428">
        <v>0</v>
      </c>
      <c r="E104" s="428">
        <v>0</v>
      </c>
      <c r="F104" s="428">
        <f t="shared" si="37"/>
        <v>0</v>
      </c>
      <c r="G104" s="428">
        <f t="shared" si="38"/>
        <v>0</v>
      </c>
      <c r="H104" s="447">
        <f t="shared" si="39"/>
        <v>0</v>
      </c>
    </row>
    <row r="105" spans="1:34" x14ac:dyDescent="0.6">
      <c r="A105" s="427" t="s">
        <v>43</v>
      </c>
      <c r="B105" s="428">
        <v>18073</v>
      </c>
      <c r="C105" s="428">
        <v>2243</v>
      </c>
      <c r="D105" s="428">
        <v>13973</v>
      </c>
      <c r="E105" s="428">
        <v>18590</v>
      </c>
      <c r="F105" s="428">
        <f t="shared" si="37"/>
        <v>3718</v>
      </c>
      <c r="G105" s="428">
        <f t="shared" si="38"/>
        <v>22308</v>
      </c>
      <c r="H105" s="447">
        <f t="shared" si="39"/>
        <v>29000.400000000001</v>
      </c>
    </row>
    <row r="106" spans="1:34" ht="23.25" thickBot="1" x14ac:dyDescent="0.65">
      <c r="A106" s="427" t="s">
        <v>42</v>
      </c>
      <c r="B106" s="431">
        <v>42838</v>
      </c>
      <c r="C106" s="431">
        <v>9470</v>
      </c>
      <c r="D106" s="431">
        <v>30825</v>
      </c>
      <c r="E106" s="431">
        <v>55345</v>
      </c>
      <c r="F106" s="431">
        <f>SUM(F96:F105)</f>
        <v>11069</v>
      </c>
      <c r="G106" s="431">
        <f>SUM(G96:G105)</f>
        <v>66414</v>
      </c>
      <c r="H106" s="442">
        <f>SUM(H96:H105)</f>
        <v>86338.200000000012</v>
      </c>
    </row>
    <row r="107" spans="1:34" x14ac:dyDescent="0.6">
      <c r="P107" s="463"/>
      <c r="Q107" s="463"/>
      <c r="R107" s="463"/>
      <c r="AD107" s="444"/>
      <c r="AE107" s="444"/>
      <c r="AF107" s="444"/>
      <c r="AG107" s="444"/>
      <c r="AH107" s="444"/>
    </row>
    <row r="108" spans="1:34" x14ac:dyDescent="0.6">
      <c r="AD108" s="444"/>
      <c r="AE108" s="444"/>
      <c r="AF108" s="444"/>
      <c r="AG108" s="444"/>
      <c r="AH108" s="444"/>
    </row>
    <row r="109" spans="1:34" ht="23.25" thickBot="1" x14ac:dyDescent="0.65">
      <c r="AD109" s="444"/>
      <c r="AE109" s="444"/>
      <c r="AF109" s="444"/>
      <c r="AG109" s="444"/>
      <c r="AH109" s="444"/>
    </row>
    <row r="110" spans="1:34" x14ac:dyDescent="0.6">
      <c r="A110" s="448" t="s">
        <v>190</v>
      </c>
      <c r="B110" s="449" t="s">
        <v>176</v>
      </c>
      <c r="C110" s="449" t="s">
        <v>175</v>
      </c>
      <c r="D110" s="449" t="s">
        <v>174</v>
      </c>
      <c r="E110" s="449" t="s">
        <v>173</v>
      </c>
      <c r="F110" s="449" t="s">
        <v>172</v>
      </c>
      <c r="G110" s="449" t="s">
        <v>171</v>
      </c>
      <c r="H110" s="449" t="s">
        <v>170</v>
      </c>
      <c r="I110" s="449" t="s">
        <v>169</v>
      </c>
      <c r="J110" s="449" t="s">
        <v>168</v>
      </c>
      <c r="K110" s="449" t="s">
        <v>167</v>
      </c>
      <c r="L110" s="449" t="s">
        <v>166</v>
      </c>
      <c r="M110" s="449" t="s">
        <v>165</v>
      </c>
      <c r="N110" s="449" t="s">
        <v>164</v>
      </c>
      <c r="O110" s="449" t="s">
        <v>163</v>
      </c>
      <c r="P110" s="449" t="s">
        <v>162</v>
      </c>
      <c r="Q110" s="425" t="s">
        <v>146</v>
      </c>
      <c r="R110" s="425" t="s">
        <v>161</v>
      </c>
      <c r="S110" s="426" t="s">
        <v>2553</v>
      </c>
      <c r="AD110" s="444"/>
      <c r="AE110" s="444"/>
      <c r="AF110" s="444"/>
      <c r="AG110" s="444"/>
      <c r="AH110" s="444"/>
    </row>
    <row r="111" spans="1:34" x14ac:dyDescent="0.6">
      <c r="A111" s="450"/>
      <c r="B111" s="451" t="s">
        <v>106</v>
      </c>
      <c r="C111" s="451" t="s">
        <v>97</v>
      </c>
      <c r="D111" s="451" t="s">
        <v>96</v>
      </c>
      <c r="E111" s="451" t="s">
        <v>62</v>
      </c>
      <c r="F111" s="451" t="s">
        <v>107</v>
      </c>
      <c r="G111" s="451" t="s">
        <v>108</v>
      </c>
      <c r="H111" s="451" t="s">
        <v>109</v>
      </c>
      <c r="I111" s="451" t="s">
        <v>40</v>
      </c>
      <c r="J111" s="451" t="s">
        <v>55</v>
      </c>
      <c r="K111" s="451" t="s">
        <v>95</v>
      </c>
      <c r="L111" s="451" t="s">
        <v>94</v>
      </c>
      <c r="M111" s="451" t="s">
        <v>39</v>
      </c>
      <c r="N111" s="451" t="s">
        <v>54</v>
      </c>
      <c r="O111" s="451" t="s">
        <v>148</v>
      </c>
      <c r="P111" s="451" t="s">
        <v>149</v>
      </c>
      <c r="Q111" s="353" t="s">
        <v>146</v>
      </c>
      <c r="R111" s="353" t="s">
        <v>160</v>
      </c>
      <c r="S111" s="354" t="s">
        <v>2523</v>
      </c>
      <c r="AD111" s="444"/>
      <c r="AE111" s="444"/>
      <c r="AF111" s="444"/>
      <c r="AG111" s="444"/>
      <c r="AH111" s="444"/>
    </row>
    <row r="112" spans="1:34" x14ac:dyDescent="0.6">
      <c r="A112" s="427" t="s">
        <v>37</v>
      </c>
      <c r="B112" s="452">
        <v>680433</v>
      </c>
      <c r="C112" s="452">
        <v>725350</v>
      </c>
      <c r="D112" s="452">
        <v>1093385</v>
      </c>
      <c r="E112" s="452">
        <v>1316622</v>
      </c>
      <c r="F112" s="452">
        <v>511596</v>
      </c>
      <c r="G112" s="452">
        <v>1166494</v>
      </c>
      <c r="H112" s="452">
        <v>1492763</v>
      </c>
      <c r="I112" s="452">
        <v>1535963</v>
      </c>
      <c r="J112" s="452">
        <v>64141</v>
      </c>
      <c r="K112" s="452">
        <v>735858</v>
      </c>
      <c r="L112" s="452">
        <v>1528542</v>
      </c>
      <c r="M112" s="452">
        <v>2238695</v>
      </c>
      <c r="N112" s="452">
        <v>451089</v>
      </c>
      <c r="O112" s="452">
        <v>1478664</v>
      </c>
      <c r="P112" s="452">
        <v>2484835</v>
      </c>
      <c r="Q112" s="452">
        <f>Q31</f>
        <v>96151.205325999996</v>
      </c>
      <c r="R112" s="452">
        <f>R31</f>
        <v>2581168.2093220004</v>
      </c>
      <c r="S112" s="452">
        <f>S31</f>
        <v>3094268.8443702068</v>
      </c>
      <c r="AD112" s="444"/>
      <c r="AE112" s="444"/>
      <c r="AF112" s="444"/>
      <c r="AG112" s="444"/>
      <c r="AH112" s="444"/>
    </row>
    <row r="113" spans="1:34" x14ac:dyDescent="0.6">
      <c r="A113" s="427" t="s">
        <v>36</v>
      </c>
      <c r="B113" s="452">
        <v>-448297</v>
      </c>
      <c r="C113" s="452">
        <v>-524543</v>
      </c>
      <c r="D113" s="452">
        <v>-936826</v>
      </c>
      <c r="E113" s="452">
        <v>-1200262</v>
      </c>
      <c r="F113" s="452">
        <v>-430094</v>
      </c>
      <c r="G113" s="452">
        <v>-965226</v>
      </c>
      <c r="H113" s="452">
        <v>-1273973</v>
      </c>
      <c r="I113" s="452">
        <v>-1338309</v>
      </c>
      <c r="J113" s="452">
        <v>-36443</v>
      </c>
      <c r="K113" s="452">
        <v>-576354</v>
      </c>
      <c r="L113" s="452">
        <v>-1296728</v>
      </c>
      <c r="M113" s="452">
        <v>-1847366</v>
      </c>
      <c r="N113" s="452">
        <v>-358308</v>
      </c>
      <c r="O113" s="452">
        <v>-1182000</v>
      </c>
      <c r="P113" s="452">
        <v>-2123803</v>
      </c>
      <c r="Q113" s="452">
        <f>-J61</f>
        <v>-47978.8</v>
      </c>
      <c r="R113" s="452">
        <f>-K61</f>
        <v>-2213494.7999999998</v>
      </c>
      <c r="S113" s="452">
        <f>-L61</f>
        <v>-3868678.0693214191</v>
      </c>
      <c r="AD113" s="444"/>
      <c r="AE113" s="444"/>
      <c r="AF113" s="444"/>
      <c r="AG113" s="446"/>
      <c r="AH113" s="444"/>
    </row>
    <row r="114" spans="1:34" x14ac:dyDescent="0.6">
      <c r="A114" s="427" t="s">
        <v>35</v>
      </c>
      <c r="B114" s="452">
        <v>232136</v>
      </c>
      <c r="C114" s="452">
        <v>200807</v>
      </c>
      <c r="D114" s="452">
        <v>156559</v>
      </c>
      <c r="E114" s="452">
        <v>116360</v>
      </c>
      <c r="F114" s="452">
        <v>81502</v>
      </c>
      <c r="G114" s="452">
        <v>201268</v>
      </c>
      <c r="H114" s="452">
        <v>218790</v>
      </c>
      <c r="I114" s="452">
        <v>197654</v>
      </c>
      <c r="J114" s="452">
        <v>27698</v>
      </c>
      <c r="K114" s="452">
        <v>159504</v>
      </c>
      <c r="L114" s="452">
        <v>231814</v>
      </c>
      <c r="M114" s="452">
        <v>391329</v>
      </c>
      <c r="N114" s="452">
        <v>92781</v>
      </c>
      <c r="O114" s="452">
        <v>296664</v>
      </c>
      <c r="P114" s="452">
        <v>361032</v>
      </c>
      <c r="Q114" s="452">
        <f>SUM(Q112:Q113)</f>
        <v>48172.405325999993</v>
      </c>
      <c r="R114" s="452">
        <f>SUM(R112:R113)</f>
        <v>367673.40932200057</v>
      </c>
      <c r="S114" s="452">
        <f t="shared" ref="S114" si="40">SUM(S112:S113)</f>
        <v>-774409.22495121229</v>
      </c>
      <c r="AD114" s="444"/>
      <c r="AE114" s="444"/>
      <c r="AF114" s="444"/>
      <c r="AG114" s="446"/>
      <c r="AH114" s="444"/>
    </row>
    <row r="115" spans="1:34" x14ac:dyDescent="0.6">
      <c r="A115" s="427" t="s">
        <v>34</v>
      </c>
      <c r="B115" s="452">
        <v>-18220</v>
      </c>
      <c r="C115" s="452">
        <v>-23871</v>
      </c>
      <c r="D115" s="452">
        <v>-27023</v>
      </c>
      <c r="E115" s="452">
        <v>-28518</v>
      </c>
      <c r="F115" s="452">
        <v>-6445</v>
      </c>
      <c r="G115" s="452">
        <v>-19509</v>
      </c>
      <c r="H115" s="452">
        <v>-29991</v>
      </c>
      <c r="I115" s="452">
        <v>-37879</v>
      </c>
      <c r="J115" s="452">
        <v>-7925</v>
      </c>
      <c r="K115" s="452">
        <v>-15450</v>
      </c>
      <c r="L115" s="452">
        <v>-31604</v>
      </c>
      <c r="M115" s="452">
        <v>-42838</v>
      </c>
      <c r="N115" s="452">
        <v>-9469</v>
      </c>
      <c r="O115" s="452">
        <v>-30825</v>
      </c>
      <c r="P115" s="452">
        <v>-55344</v>
      </c>
      <c r="Q115" s="452">
        <f>-F106</f>
        <v>-11069</v>
      </c>
      <c r="R115" s="452">
        <f>Q115+P115</f>
        <v>-66413</v>
      </c>
      <c r="S115" s="452">
        <f>-H106</f>
        <v>-86338.200000000012</v>
      </c>
      <c r="Y115" s="436"/>
      <c r="Z115" s="435"/>
      <c r="AD115" s="444"/>
      <c r="AE115" s="444"/>
      <c r="AF115" s="444"/>
      <c r="AG115" s="446"/>
      <c r="AH115" s="444"/>
    </row>
    <row r="116" spans="1:34" x14ac:dyDescent="0.6">
      <c r="A116" s="427" t="s">
        <v>33</v>
      </c>
      <c r="B116" s="452">
        <v>0</v>
      </c>
      <c r="C116" s="452">
        <v>0</v>
      </c>
      <c r="D116" s="452">
        <v>0</v>
      </c>
      <c r="E116" s="452">
        <v>0</v>
      </c>
      <c r="F116" s="452">
        <v>0</v>
      </c>
      <c r="G116" s="452">
        <v>0</v>
      </c>
      <c r="H116" s="452">
        <v>0</v>
      </c>
      <c r="I116" s="452">
        <v>0</v>
      </c>
      <c r="J116" s="452">
        <v>0</v>
      </c>
      <c r="K116" s="452">
        <v>0</v>
      </c>
      <c r="L116" s="452">
        <v>0</v>
      </c>
      <c r="M116" s="452">
        <v>0</v>
      </c>
      <c r="N116" s="452">
        <v>0</v>
      </c>
      <c r="O116" s="452">
        <v>0</v>
      </c>
      <c r="P116" s="452">
        <v>0</v>
      </c>
      <c r="Q116" s="452">
        <v>0</v>
      </c>
      <c r="R116" s="452">
        <v>0</v>
      </c>
      <c r="S116" s="452">
        <v>0</v>
      </c>
      <c r="Y116" s="436"/>
      <c r="Z116" s="435"/>
      <c r="AD116" s="444"/>
      <c r="AE116" s="444"/>
      <c r="AF116" s="444"/>
      <c r="AG116" s="446"/>
      <c r="AH116" s="444"/>
    </row>
    <row r="117" spans="1:34" x14ac:dyDescent="0.6">
      <c r="A117" s="427" t="s">
        <v>32</v>
      </c>
      <c r="B117" s="452">
        <v>-18220</v>
      </c>
      <c r="C117" s="452">
        <v>-23871</v>
      </c>
      <c r="D117" s="452">
        <v>0</v>
      </c>
      <c r="E117" s="452">
        <v>0</v>
      </c>
      <c r="F117" s="452">
        <v>0</v>
      </c>
      <c r="G117" s="452">
        <v>0</v>
      </c>
      <c r="H117" s="452">
        <v>0</v>
      </c>
      <c r="I117" s="452">
        <v>0</v>
      </c>
      <c r="J117" s="452">
        <v>0</v>
      </c>
      <c r="K117" s="452">
        <v>0</v>
      </c>
      <c r="L117" s="452">
        <v>0</v>
      </c>
      <c r="M117" s="452">
        <v>-99876</v>
      </c>
      <c r="N117" s="452">
        <v>0</v>
      </c>
      <c r="O117" s="452">
        <v>0</v>
      </c>
      <c r="P117" s="452">
        <v>0</v>
      </c>
      <c r="Q117" s="452">
        <v>0</v>
      </c>
      <c r="R117" s="452">
        <v>0</v>
      </c>
      <c r="S117" s="452">
        <v>0</v>
      </c>
      <c r="Y117" s="436"/>
      <c r="Z117" s="435"/>
      <c r="AD117" s="444"/>
      <c r="AE117" s="444"/>
      <c r="AF117" s="444"/>
      <c r="AG117" s="444"/>
      <c r="AH117" s="444"/>
    </row>
    <row r="118" spans="1:34" x14ac:dyDescent="0.6">
      <c r="A118" s="427" t="s">
        <v>31</v>
      </c>
      <c r="B118" s="452">
        <v>213916</v>
      </c>
      <c r="C118" s="452">
        <v>176936</v>
      </c>
      <c r="D118" s="452">
        <v>129536</v>
      </c>
      <c r="E118" s="452">
        <v>87842</v>
      </c>
      <c r="F118" s="452">
        <v>75057</v>
      </c>
      <c r="G118" s="452">
        <v>181759</v>
      </c>
      <c r="H118" s="452">
        <v>188799</v>
      </c>
      <c r="I118" s="452">
        <v>159775</v>
      </c>
      <c r="J118" s="452">
        <v>19773</v>
      </c>
      <c r="K118" s="452">
        <v>144054</v>
      </c>
      <c r="L118" s="452">
        <v>200210</v>
      </c>
      <c r="M118" s="452">
        <v>248615</v>
      </c>
      <c r="N118" s="452">
        <v>83312</v>
      </c>
      <c r="O118" s="452">
        <v>265839</v>
      </c>
      <c r="P118" s="452">
        <v>305688</v>
      </c>
      <c r="Q118" s="452">
        <f>SUM(Q114:Q117)</f>
        <v>37103.405325999993</v>
      </c>
      <c r="R118" s="452">
        <f>SUM(R114:R117)</f>
        <v>301260.40932200057</v>
      </c>
      <c r="S118" s="452">
        <f t="shared" ref="S118" si="41">SUM(S114:S117)</f>
        <v>-860747.42495121225</v>
      </c>
      <c r="Y118" s="436"/>
      <c r="Z118" s="435"/>
      <c r="AD118" s="444"/>
      <c r="AE118" s="444"/>
      <c r="AF118" s="444"/>
      <c r="AG118" s="444"/>
      <c r="AH118" s="444"/>
    </row>
    <row r="119" spans="1:34" x14ac:dyDescent="0.6">
      <c r="A119" s="427" t="s">
        <v>30</v>
      </c>
      <c r="B119" s="452">
        <v>-635</v>
      </c>
      <c r="C119" s="452">
        <v>-98</v>
      </c>
      <c r="D119" s="452">
        <v>0</v>
      </c>
      <c r="E119" s="452">
        <v>0</v>
      </c>
      <c r="F119" s="452">
        <v>0</v>
      </c>
      <c r="G119" s="452">
        <v>0</v>
      </c>
      <c r="H119" s="452">
        <v>0</v>
      </c>
      <c r="I119" s="452">
        <v>0</v>
      </c>
      <c r="J119" s="452">
        <v>0</v>
      </c>
      <c r="K119" s="452">
        <v>0</v>
      </c>
      <c r="L119" s="452">
        <v>0</v>
      </c>
      <c r="M119" s="452">
        <v>-855</v>
      </c>
      <c r="N119" s="452">
        <v>-1206</v>
      </c>
      <c r="O119" s="452">
        <v>-2411</v>
      </c>
      <c r="P119" s="452">
        <v>-2959</v>
      </c>
      <c r="Q119" s="452">
        <f>M119</f>
        <v>-855</v>
      </c>
      <c r="R119" s="452">
        <f>Q119+P119</f>
        <v>-3814</v>
      </c>
      <c r="S119" s="452">
        <f>R119*1.3</f>
        <v>-4958.2</v>
      </c>
      <c r="Z119" s="436"/>
      <c r="AD119" s="444"/>
      <c r="AE119" s="444"/>
      <c r="AF119" s="444"/>
      <c r="AG119" s="446"/>
      <c r="AH119" s="444"/>
    </row>
    <row r="120" spans="1:34" x14ac:dyDescent="0.6">
      <c r="A120" s="427" t="s">
        <v>29</v>
      </c>
      <c r="B120" s="452">
        <v>37769</v>
      </c>
      <c r="C120" s="452">
        <v>23895</v>
      </c>
      <c r="D120" s="452">
        <v>0</v>
      </c>
      <c r="E120" s="452">
        <v>0</v>
      </c>
      <c r="F120" s="452">
        <v>3323</v>
      </c>
      <c r="G120" s="452">
        <v>15818</v>
      </c>
      <c r="H120" s="452">
        <v>31579</v>
      </c>
      <c r="I120" s="452">
        <v>46317</v>
      </c>
      <c r="J120" s="452">
        <v>2014</v>
      </c>
      <c r="K120" s="452">
        <v>3980</v>
      </c>
      <c r="L120" s="452">
        <v>5808</v>
      </c>
      <c r="M120" s="452">
        <v>10490</v>
      </c>
      <c r="N120" s="452">
        <v>1177</v>
      </c>
      <c r="O120" s="452">
        <v>6247</v>
      </c>
      <c r="P120" s="452">
        <v>19916</v>
      </c>
      <c r="Q120" s="452">
        <v>0</v>
      </c>
      <c r="R120" s="452">
        <f>P120</f>
        <v>19916</v>
      </c>
      <c r="S120" s="452">
        <f>P120</f>
        <v>19916</v>
      </c>
      <c r="Y120" s="436"/>
      <c r="Z120" s="435"/>
      <c r="AD120" s="444"/>
      <c r="AE120" s="444"/>
      <c r="AF120" s="444"/>
      <c r="AG120" s="444"/>
      <c r="AH120" s="444"/>
    </row>
    <row r="121" spans="1:34" x14ac:dyDescent="0.6">
      <c r="A121" s="427" t="s">
        <v>28</v>
      </c>
      <c r="B121" s="452">
        <v>251050</v>
      </c>
      <c r="C121" s="452">
        <v>200733</v>
      </c>
      <c r="D121" s="452">
        <v>20647</v>
      </c>
      <c r="E121" s="452">
        <v>16608</v>
      </c>
      <c r="F121" s="452">
        <v>353</v>
      </c>
      <c r="G121" s="452">
        <v>147</v>
      </c>
      <c r="H121" s="452">
        <v>164</v>
      </c>
      <c r="I121" s="452">
        <v>1841</v>
      </c>
      <c r="J121" s="452">
        <v>4163</v>
      </c>
      <c r="K121" s="452">
        <v>5046</v>
      </c>
      <c r="L121" s="452">
        <v>4804</v>
      </c>
      <c r="M121" s="452">
        <v>7725</v>
      </c>
      <c r="N121" s="452">
        <v>1400</v>
      </c>
      <c r="O121" s="452">
        <v>1720</v>
      </c>
      <c r="P121" s="452">
        <v>1778</v>
      </c>
      <c r="Q121" s="452">
        <v>0</v>
      </c>
      <c r="R121" s="452">
        <f>P121</f>
        <v>1778</v>
      </c>
      <c r="S121" s="452">
        <f>M121</f>
        <v>7725</v>
      </c>
      <c r="Y121" s="436"/>
      <c r="Z121" s="435"/>
      <c r="AD121" s="444"/>
      <c r="AE121" s="444"/>
      <c r="AF121" s="444"/>
      <c r="AG121" s="446"/>
      <c r="AH121" s="444"/>
    </row>
    <row r="122" spans="1:34" x14ac:dyDescent="0.6">
      <c r="A122" s="427" t="s">
        <v>27</v>
      </c>
      <c r="B122" s="452">
        <v>-44400</v>
      </c>
      <c r="C122" s="452">
        <v>-35950</v>
      </c>
      <c r="D122" s="452">
        <v>150183</v>
      </c>
      <c r="E122" s="452">
        <v>104450</v>
      </c>
      <c r="F122" s="452">
        <v>78733</v>
      </c>
      <c r="G122" s="452">
        <v>197724</v>
      </c>
      <c r="H122" s="452">
        <v>220542</v>
      </c>
      <c r="I122" s="452">
        <v>207933</v>
      </c>
      <c r="J122" s="452">
        <v>25950</v>
      </c>
      <c r="K122" s="452">
        <v>153080</v>
      </c>
      <c r="L122" s="452">
        <v>210822</v>
      </c>
      <c r="M122" s="452">
        <v>265975</v>
      </c>
      <c r="N122" s="452">
        <v>84683</v>
      </c>
      <c r="O122" s="452">
        <v>271395</v>
      </c>
      <c r="P122" s="452">
        <v>324423</v>
      </c>
      <c r="Q122" s="452">
        <f>SUM(Q118:Q121)</f>
        <v>36248.405325999993</v>
      </c>
      <c r="R122" s="452">
        <f>SUM(R118:R121)</f>
        <v>319140.40932200057</v>
      </c>
      <c r="S122" s="452">
        <f t="shared" ref="S122" si="42">SUM(S118:S121)</f>
        <v>-838064.6249512122</v>
      </c>
      <c r="Y122" s="436"/>
      <c r="Z122" s="436"/>
      <c r="AD122" s="444"/>
      <c r="AE122" s="444"/>
      <c r="AF122" s="444"/>
      <c r="AG122" s="446"/>
      <c r="AH122" s="444"/>
    </row>
    <row r="123" spans="1:34" x14ac:dyDescent="0.6">
      <c r="A123" s="427" t="s">
        <v>26</v>
      </c>
      <c r="B123" s="452"/>
      <c r="C123" s="452"/>
      <c r="D123" s="452">
        <v>-29835</v>
      </c>
      <c r="E123" s="452">
        <v>-17708</v>
      </c>
      <c r="F123" s="452">
        <v>-15082</v>
      </c>
      <c r="G123" s="452">
        <v>-36381</v>
      </c>
      <c r="H123" s="452">
        <v>-37793</v>
      </c>
      <c r="I123" s="452">
        <v>-31976</v>
      </c>
      <c r="J123" s="452">
        <v>-4440</v>
      </c>
      <c r="K123" s="452">
        <v>-29820</v>
      </c>
      <c r="L123" s="452">
        <v>-40934</v>
      </c>
      <c r="M123" s="452">
        <v>-50590</v>
      </c>
      <c r="N123" s="452">
        <v>-16701</v>
      </c>
      <c r="O123" s="452">
        <v>-59658</v>
      </c>
      <c r="P123" s="452">
        <v>-68514</v>
      </c>
      <c r="Q123" s="452">
        <f>-Q122*0.19</f>
        <v>-6887.1970119399984</v>
      </c>
      <c r="R123" s="452">
        <f>Q123+P123</f>
        <v>-75401.197011939992</v>
      </c>
      <c r="S123" s="452">
        <f>-S122*0.19</f>
        <v>159232.27874073031</v>
      </c>
      <c r="V123" s="458"/>
      <c r="Y123" s="436"/>
      <c r="Z123" s="435"/>
      <c r="AD123" s="444"/>
      <c r="AE123" s="444"/>
      <c r="AF123" s="444"/>
      <c r="AG123" s="446"/>
      <c r="AH123" s="444"/>
    </row>
    <row r="124" spans="1:34" x14ac:dyDescent="0.6">
      <c r="A124" s="427" t="s">
        <v>25</v>
      </c>
      <c r="B124" s="452">
        <v>206650</v>
      </c>
      <c r="C124" s="452">
        <v>164783</v>
      </c>
      <c r="D124" s="452">
        <v>120348</v>
      </c>
      <c r="E124" s="452">
        <v>86742</v>
      </c>
      <c r="F124" s="452">
        <v>63651</v>
      </c>
      <c r="G124" s="452">
        <v>161343</v>
      </c>
      <c r="H124" s="452">
        <v>182749</v>
      </c>
      <c r="I124" s="452">
        <v>175957</v>
      </c>
      <c r="J124" s="452">
        <v>21510</v>
      </c>
      <c r="K124" s="452">
        <v>123260</v>
      </c>
      <c r="L124" s="452">
        <v>169888</v>
      </c>
      <c r="M124" s="452">
        <v>215385</v>
      </c>
      <c r="N124" s="452">
        <v>67982</v>
      </c>
      <c r="O124" s="452">
        <v>211737</v>
      </c>
      <c r="P124" s="452">
        <v>255909</v>
      </c>
      <c r="Q124" s="452">
        <f>SUM(Q122:Q123)</f>
        <v>29361.208314059993</v>
      </c>
      <c r="R124" s="452">
        <f>SUM(R122:R123)</f>
        <v>243739.21231006057</v>
      </c>
      <c r="S124" s="452">
        <f t="shared" ref="S124" si="43">SUM(S122:S123)</f>
        <v>-678832.34621048183</v>
      </c>
      <c r="U124" s="458"/>
      <c r="V124" s="458"/>
      <c r="Y124" s="436"/>
      <c r="Z124" s="435"/>
      <c r="AD124" s="444"/>
      <c r="AE124" s="444"/>
      <c r="AF124" s="444"/>
      <c r="AG124" s="446"/>
      <c r="AH124" s="444"/>
    </row>
    <row r="125" spans="1:34" x14ac:dyDescent="0.6">
      <c r="A125" s="427" t="s">
        <v>24</v>
      </c>
      <c r="B125" s="452">
        <v>0</v>
      </c>
      <c r="C125" s="452">
        <v>0</v>
      </c>
      <c r="D125" s="452">
        <v>0</v>
      </c>
      <c r="E125" s="452">
        <v>0</v>
      </c>
      <c r="F125" s="452">
        <v>0</v>
      </c>
      <c r="G125" s="452">
        <v>0</v>
      </c>
      <c r="H125" s="452">
        <v>0</v>
      </c>
      <c r="I125" s="452">
        <v>0</v>
      </c>
      <c r="J125" s="452">
        <v>0</v>
      </c>
      <c r="K125" s="452">
        <v>0</v>
      </c>
      <c r="L125" s="452">
        <v>0</v>
      </c>
      <c r="M125" s="452">
        <v>0</v>
      </c>
      <c r="N125" s="452">
        <v>0</v>
      </c>
      <c r="O125" s="452">
        <v>0</v>
      </c>
      <c r="P125" s="452">
        <v>0</v>
      </c>
      <c r="Q125" s="452">
        <v>0</v>
      </c>
      <c r="R125" s="452">
        <v>0</v>
      </c>
      <c r="S125" s="452">
        <v>0</v>
      </c>
      <c r="Y125" s="436"/>
      <c r="Z125" s="435"/>
      <c r="AD125" s="444"/>
      <c r="AE125" s="444"/>
      <c r="AF125" s="444"/>
      <c r="AG125" s="446"/>
      <c r="AH125" s="444"/>
    </row>
    <row r="126" spans="1:34" x14ac:dyDescent="0.6">
      <c r="A126" s="427" t="s">
        <v>23</v>
      </c>
      <c r="B126" s="452">
        <v>206650</v>
      </c>
      <c r="C126" s="452">
        <v>164783</v>
      </c>
      <c r="D126" s="452">
        <v>120348</v>
      </c>
      <c r="E126" s="452">
        <v>86742</v>
      </c>
      <c r="F126" s="452">
        <v>63651</v>
      </c>
      <c r="G126" s="452">
        <v>161343</v>
      </c>
      <c r="H126" s="452">
        <v>182749</v>
      </c>
      <c r="I126" s="452">
        <v>175957</v>
      </c>
      <c r="J126" s="452">
        <v>21510</v>
      </c>
      <c r="K126" s="452">
        <v>123260</v>
      </c>
      <c r="L126" s="452">
        <v>169888</v>
      </c>
      <c r="M126" s="452">
        <v>215385</v>
      </c>
      <c r="N126" s="452">
        <v>67982</v>
      </c>
      <c r="O126" s="452">
        <v>211737</v>
      </c>
      <c r="P126" s="452">
        <v>255909</v>
      </c>
      <c r="Q126" s="452">
        <f>SUM(Q124:Q125)</f>
        <v>29361.208314059993</v>
      </c>
      <c r="R126" s="452">
        <f>SUM(R124:R125)</f>
        <v>243739.21231006057</v>
      </c>
      <c r="S126" s="452">
        <f t="shared" ref="S126" si="44">SUM(S124:S125)</f>
        <v>-678832.34621048183</v>
      </c>
      <c r="Y126" s="436"/>
      <c r="Z126" s="435"/>
      <c r="AD126" s="444"/>
      <c r="AE126" s="444"/>
      <c r="AF126" s="444"/>
      <c r="AG126" s="444"/>
      <c r="AH126" s="444"/>
    </row>
    <row r="127" spans="1:34" x14ac:dyDescent="0.6">
      <c r="A127" s="427" t="s">
        <v>22</v>
      </c>
      <c r="B127" s="452">
        <v>1476</v>
      </c>
      <c r="C127" s="452">
        <v>824</v>
      </c>
      <c r="D127" s="452">
        <v>602</v>
      </c>
      <c r="E127" s="452">
        <v>434</v>
      </c>
      <c r="F127" s="452">
        <v>318</v>
      </c>
      <c r="G127" s="452">
        <v>807</v>
      </c>
      <c r="H127" s="452">
        <v>914</v>
      </c>
      <c r="I127" s="452">
        <v>880</v>
      </c>
      <c r="J127" s="452">
        <v>108</v>
      </c>
      <c r="K127" s="452">
        <v>616</v>
      </c>
      <c r="L127" s="452">
        <v>849</v>
      </c>
      <c r="M127" s="452">
        <v>1077</v>
      </c>
      <c r="N127" s="452">
        <v>340</v>
      </c>
      <c r="O127" s="452">
        <v>1059</v>
      </c>
      <c r="P127" s="452">
        <f>P126*1000/P128</f>
        <v>1279.5450000000001</v>
      </c>
      <c r="Q127" s="452">
        <f>Q126*1000/Q128</f>
        <v>146.80604157029998</v>
      </c>
      <c r="R127" s="452">
        <f>R126*1000/R128</f>
        <v>1218.6960615503028</v>
      </c>
      <c r="S127" s="452">
        <f>S126*1000/S128</f>
        <v>-3394.1617310524093</v>
      </c>
      <c r="Y127" s="436"/>
      <c r="Z127" s="436"/>
      <c r="AD127" s="444"/>
      <c r="AE127" s="444"/>
      <c r="AF127" s="444"/>
      <c r="AG127" s="446"/>
      <c r="AH127" s="444"/>
    </row>
    <row r="128" spans="1:34" x14ac:dyDescent="0.6">
      <c r="A128" s="427" t="s">
        <v>21</v>
      </c>
      <c r="B128" s="452">
        <v>140000</v>
      </c>
      <c r="C128" s="452">
        <v>200000</v>
      </c>
      <c r="D128" s="452">
        <v>200000</v>
      </c>
      <c r="E128" s="452">
        <v>200000</v>
      </c>
      <c r="F128" s="452">
        <v>200000</v>
      </c>
      <c r="G128" s="452">
        <v>200000</v>
      </c>
      <c r="H128" s="452">
        <v>200000</v>
      </c>
      <c r="I128" s="452">
        <v>200000</v>
      </c>
      <c r="J128" s="452">
        <v>200000</v>
      </c>
      <c r="K128" s="452">
        <v>200000</v>
      </c>
      <c r="L128" s="452">
        <v>200000</v>
      </c>
      <c r="M128" s="452">
        <v>200000</v>
      </c>
      <c r="N128" s="452">
        <v>200000</v>
      </c>
      <c r="O128" s="452">
        <v>200000</v>
      </c>
      <c r="P128" s="452">
        <v>200000</v>
      </c>
      <c r="Q128" s="452">
        <v>200000</v>
      </c>
      <c r="R128" s="452">
        <v>200000</v>
      </c>
      <c r="S128" s="452">
        <v>200000</v>
      </c>
      <c r="Y128" s="436"/>
      <c r="Z128" s="435"/>
      <c r="AD128" s="444"/>
      <c r="AE128" s="444"/>
      <c r="AF128" s="444"/>
      <c r="AG128" s="446"/>
      <c r="AH128" s="444"/>
    </row>
    <row r="129" spans="1:34" x14ac:dyDescent="0.6">
      <c r="Y129" s="436"/>
      <c r="Z129" s="435"/>
      <c r="AD129" s="444"/>
      <c r="AE129" s="444"/>
      <c r="AF129" s="444"/>
      <c r="AG129" s="446"/>
      <c r="AH129" s="444"/>
    </row>
    <row r="130" spans="1:34" ht="23.25" thickBot="1" x14ac:dyDescent="0.65">
      <c r="Y130" s="436"/>
      <c r="Z130" s="435"/>
      <c r="AD130" s="444"/>
      <c r="AE130" s="444"/>
      <c r="AF130" s="444"/>
      <c r="AG130" s="444"/>
      <c r="AH130" s="444"/>
    </row>
    <row r="131" spans="1:34" ht="27" customHeight="1" thickTop="1" thickBot="1" x14ac:dyDescent="0.65">
      <c r="A131" s="38" t="s">
        <v>150</v>
      </c>
      <c r="B131" s="38"/>
      <c r="C131" s="38" t="s">
        <v>19</v>
      </c>
      <c r="D131" s="39" t="s">
        <v>18</v>
      </c>
      <c r="E131" s="39" t="s">
        <v>214</v>
      </c>
      <c r="F131" s="39" t="s">
        <v>17</v>
      </c>
      <c r="G131" s="39" t="s">
        <v>2506</v>
      </c>
      <c r="H131" s="39" t="s">
        <v>2508</v>
      </c>
      <c r="I131" s="39" t="s">
        <v>2507</v>
      </c>
      <c r="M131" s="639" t="s">
        <v>150</v>
      </c>
      <c r="N131" s="625" t="s">
        <v>2587</v>
      </c>
      <c r="O131" s="626"/>
      <c r="P131" s="626"/>
      <c r="Q131" s="626"/>
      <c r="R131" s="626"/>
      <c r="S131" s="626"/>
      <c r="T131" s="626"/>
      <c r="U131" s="626"/>
      <c r="V131" s="626"/>
      <c r="W131" s="626"/>
      <c r="X131" s="626"/>
      <c r="Y131" s="626"/>
      <c r="Z131" s="626"/>
      <c r="AA131" s="627"/>
      <c r="AE131" s="435"/>
    </row>
    <row r="132" spans="1:34" ht="27" customHeight="1" thickTop="1" thickBot="1" x14ac:dyDescent="0.65">
      <c r="A132" s="40" t="s">
        <v>2557</v>
      </c>
      <c r="B132" s="41">
        <f>E132</f>
        <v>71620</v>
      </c>
      <c r="C132" s="42">
        <f>AVERAGE(M5,I5,B5:E5)</f>
        <v>51028.5</v>
      </c>
      <c r="D132" s="43">
        <v>71625</v>
      </c>
      <c r="E132" s="43">
        <f>P5</f>
        <v>71620</v>
      </c>
      <c r="F132" s="43"/>
      <c r="G132" s="44"/>
      <c r="H132" s="44">
        <f>MAX(M5,I5,B5:E5)</f>
        <v>67750</v>
      </c>
      <c r="I132" s="44">
        <f>MIN(M5,I5,B5:E5)</f>
        <v>36866</v>
      </c>
      <c r="M132" s="639"/>
      <c r="N132" s="642"/>
      <c r="O132" s="643"/>
      <c r="P132" s="643"/>
      <c r="Q132" s="643"/>
      <c r="R132" s="643"/>
      <c r="S132" s="643"/>
      <c r="T132" s="643"/>
      <c r="U132" s="643"/>
      <c r="V132" s="643"/>
      <c r="W132" s="643"/>
      <c r="X132" s="643"/>
      <c r="Y132" s="643"/>
      <c r="Z132" s="643"/>
      <c r="AA132" s="644"/>
    </row>
    <row r="133" spans="1:34" ht="27" customHeight="1" thickTop="1" thickBot="1" x14ac:dyDescent="0.65">
      <c r="A133" s="45" t="s">
        <v>2559</v>
      </c>
      <c r="B133" s="46">
        <f>E133</f>
        <v>29684581.570871692</v>
      </c>
      <c r="C133" s="460">
        <f>AVERAGE(K36:R36)</f>
        <v>24987437.666869909</v>
      </c>
      <c r="D133" s="48">
        <v>29949431</v>
      </c>
      <c r="E133" s="49">
        <f>P36</f>
        <v>29684581.570871692</v>
      </c>
      <c r="F133" s="49"/>
      <c r="G133" s="50"/>
      <c r="H133" s="49">
        <f>MAX(P36,M36,I36,B36:E36)</f>
        <v>29684581.570871692</v>
      </c>
      <c r="I133" s="49">
        <f>MIN(M36,I36,B36:E36)</f>
        <v>13006643.570409618</v>
      </c>
      <c r="M133" s="631" t="s">
        <v>2516</v>
      </c>
      <c r="N133" s="590">
        <f>B137</f>
        <v>1218.6960615503028</v>
      </c>
      <c r="O133" s="590">
        <v>28000000</v>
      </c>
      <c r="P133" s="591">
        <v>29000000</v>
      </c>
      <c r="Q133" s="590">
        <v>30000000</v>
      </c>
      <c r="R133" s="591">
        <v>31000000</v>
      </c>
      <c r="S133" s="590">
        <v>32000000</v>
      </c>
      <c r="T133" s="591">
        <v>33000000</v>
      </c>
      <c r="U133" s="590">
        <v>34000000</v>
      </c>
      <c r="V133" s="591">
        <v>35000000</v>
      </c>
      <c r="W133" s="590">
        <v>36000000</v>
      </c>
      <c r="X133" s="591">
        <v>37000000</v>
      </c>
      <c r="Y133" s="590">
        <v>38000000</v>
      </c>
      <c r="Z133" s="591">
        <v>39000000</v>
      </c>
      <c r="AA133" s="592">
        <v>40000000</v>
      </c>
    </row>
    <row r="134" spans="1:34" ht="26.25" thickBot="1" x14ac:dyDescent="0.65">
      <c r="A134" s="51" t="s">
        <v>2561</v>
      </c>
      <c r="B134" s="347">
        <f>E134</f>
        <v>7.6447500698129014</v>
      </c>
      <c r="C134" s="299">
        <f>AVERAGE(B68:F68)</f>
        <v>7.3930643804156677</v>
      </c>
      <c r="D134" s="53"/>
      <c r="E134" s="54">
        <f>F68</f>
        <v>7.6447500698129014</v>
      </c>
      <c r="F134" s="55"/>
      <c r="G134" s="55"/>
      <c r="H134" s="54">
        <f>MAX(B68:F68)</f>
        <v>7.6447500698129014</v>
      </c>
      <c r="I134" s="54">
        <f>MIN(B68:F68)</f>
        <v>6.6957490774907749</v>
      </c>
      <c r="M134" s="632"/>
      <c r="N134" s="588">
        <v>55000</v>
      </c>
      <c r="O134" s="433">
        <f t="dataTable" ref="O134:AA145" dt2D="1" dtr="1" r1="B133" r2="B132"/>
        <v>-1985.5252049279893</v>
      </c>
      <c r="P134" s="433">
        <v>-1687.9484979891395</v>
      </c>
      <c r="Q134" s="433">
        <v>-1390.3717910502901</v>
      </c>
      <c r="R134" s="433">
        <v>-1092.7950841114405</v>
      </c>
      <c r="S134" s="433">
        <v>-795.21837717258995</v>
      </c>
      <c r="T134" s="433">
        <v>-497.6416702337367</v>
      </c>
      <c r="U134" s="433">
        <v>-200.06496329488837</v>
      </c>
      <c r="V134" s="433">
        <v>97.511743643962333</v>
      </c>
      <c r="W134" s="433">
        <v>395.08845058281071</v>
      </c>
      <c r="X134" s="433">
        <v>692.6651575216614</v>
      </c>
      <c r="Y134" s="433">
        <v>990.24186446051431</v>
      </c>
      <c r="Z134" s="433">
        <v>1287.8185713993603</v>
      </c>
      <c r="AA134" s="433">
        <v>1585.3952783382133</v>
      </c>
    </row>
    <row r="135" spans="1:34" ht="27" thickTop="1" thickBot="1" x14ac:dyDescent="0.65">
      <c r="A135" s="56" t="s">
        <v>2563</v>
      </c>
      <c r="B135" s="57">
        <f>B134*B132</f>
        <v>547517</v>
      </c>
      <c r="C135" s="58"/>
      <c r="D135" s="59"/>
      <c r="E135" s="60"/>
      <c r="F135" s="60"/>
      <c r="G135" s="60"/>
      <c r="H135" s="60"/>
      <c r="I135" s="60"/>
      <c r="M135" s="632"/>
      <c r="N135" s="588">
        <v>57000</v>
      </c>
      <c r="O135" s="433">
        <v>-1678.4917957097459</v>
      </c>
      <c r="P135" s="433">
        <v>-1370.0941176094816</v>
      </c>
      <c r="Q135" s="433">
        <v>-1061.6964395092186</v>
      </c>
      <c r="R135" s="433">
        <v>-753.29876140895681</v>
      </c>
      <c r="S135" s="433">
        <v>-444.90108330869259</v>
      </c>
      <c r="T135" s="433">
        <v>-136.50340520843071</v>
      </c>
      <c r="U135" s="433">
        <v>171.89427289183115</v>
      </c>
      <c r="V135" s="433">
        <v>480.29195099209534</v>
      </c>
      <c r="W135" s="433">
        <v>788.68962909235938</v>
      </c>
      <c r="X135" s="433">
        <v>1097.0873071926212</v>
      </c>
      <c r="Y135" s="433">
        <v>1405.4849852928828</v>
      </c>
      <c r="Z135" s="433">
        <v>1713.8826633931474</v>
      </c>
      <c r="AA135" s="433">
        <v>2022.2803414934115</v>
      </c>
    </row>
    <row r="136" spans="1:34" ht="27" thickTop="1" thickBot="1" x14ac:dyDescent="0.65">
      <c r="A136" s="61" t="s">
        <v>2565</v>
      </c>
      <c r="B136" s="57">
        <f>E136</f>
        <v>3136079.7929562004</v>
      </c>
      <c r="C136" s="62"/>
      <c r="D136" s="63"/>
      <c r="E136" s="64">
        <f>F77</f>
        <v>3136079.7929562004</v>
      </c>
      <c r="F136" s="64"/>
      <c r="G136" s="65"/>
      <c r="H136" s="65"/>
      <c r="I136" s="65"/>
      <c r="M136" s="632"/>
      <c r="N136" s="588">
        <v>59000</v>
      </c>
      <c r="O136" s="433">
        <v>-1371.4583864915001</v>
      </c>
      <c r="P136" s="433">
        <v>-1052.239737229826</v>
      </c>
      <c r="Q136" s="433">
        <v>-733.02108796814832</v>
      </c>
      <c r="R136" s="433">
        <v>-413.8024387064753</v>
      </c>
      <c r="S136" s="433">
        <v>-94.583789444799976</v>
      </c>
      <c r="T136" s="433">
        <v>224.63485981687765</v>
      </c>
      <c r="U136" s="433">
        <v>543.85350907855297</v>
      </c>
      <c r="V136" s="433">
        <v>863.07215834023054</v>
      </c>
      <c r="W136" s="433">
        <v>1182.2908076019057</v>
      </c>
      <c r="X136" s="433">
        <v>1501.5094568635811</v>
      </c>
      <c r="Y136" s="433">
        <v>1820.728106125254</v>
      </c>
      <c r="Z136" s="433">
        <v>2139.9467553869295</v>
      </c>
      <c r="AA136" s="433">
        <v>2459.1654046486046</v>
      </c>
    </row>
    <row r="137" spans="1:34" ht="27" thickTop="1" thickBot="1" x14ac:dyDescent="0.75">
      <c r="A137" s="66" t="s">
        <v>2567</v>
      </c>
      <c r="B137" s="67">
        <f>R127</f>
        <v>1218.6960615503028</v>
      </c>
      <c r="C137" s="100"/>
      <c r="D137" s="100"/>
      <c r="E137" s="100"/>
      <c r="F137" s="100"/>
      <c r="G137" s="100"/>
      <c r="H137" s="68"/>
      <c r="I137" s="68"/>
      <c r="M137" s="632"/>
      <c r="N137" s="588">
        <v>61000</v>
      </c>
      <c r="O137" s="433">
        <v>-1064.4249772732555</v>
      </c>
      <c r="P137" s="433">
        <v>-734.38535685016689</v>
      </c>
      <c r="Q137" s="433">
        <v>-404.34573642708034</v>
      </c>
      <c r="R137" s="433">
        <v>-74.306116003989217</v>
      </c>
      <c r="S137" s="433">
        <v>255.73350441909724</v>
      </c>
      <c r="T137" s="433">
        <v>585.77312484218601</v>
      </c>
      <c r="U137" s="433">
        <v>915.81274526527466</v>
      </c>
      <c r="V137" s="433">
        <v>1245.8523656883635</v>
      </c>
      <c r="W137" s="433">
        <v>1575.8919861114498</v>
      </c>
      <c r="X137" s="433">
        <v>1905.9316065345388</v>
      </c>
      <c r="Y137" s="433">
        <v>2235.9712269576276</v>
      </c>
      <c r="Z137" s="433">
        <v>2566.0108473807186</v>
      </c>
      <c r="AA137" s="433">
        <v>2896.0504678038055</v>
      </c>
    </row>
    <row r="138" spans="1:34" customFormat="1" ht="23.25" thickTop="1" x14ac:dyDescent="0.6">
      <c r="M138" s="632"/>
      <c r="N138" s="588">
        <v>63000</v>
      </c>
      <c r="O138" s="433">
        <v>-757.39156805501239</v>
      </c>
      <c r="P138" s="433">
        <v>-416.53097647051231</v>
      </c>
      <c r="Q138" s="433">
        <v>-75.670384886010069</v>
      </c>
      <c r="R138" s="433">
        <v>265.19020669848987</v>
      </c>
      <c r="S138" s="433">
        <v>606.05079828299438</v>
      </c>
      <c r="T138" s="433">
        <v>946.91138986749661</v>
      </c>
      <c r="U138" s="433">
        <v>1287.7719814519942</v>
      </c>
      <c r="V138" s="433">
        <v>1628.6325730364963</v>
      </c>
      <c r="W138" s="433">
        <v>1969.4931646209989</v>
      </c>
      <c r="X138" s="433">
        <v>2310.3537562054985</v>
      </c>
      <c r="Y138" s="433">
        <v>2651.214347789999</v>
      </c>
      <c r="Z138" s="433">
        <v>2992.0749393745009</v>
      </c>
      <c r="AA138" s="433">
        <v>3332.935530959001</v>
      </c>
      <c r="AE138" s="423"/>
    </row>
    <row r="139" spans="1:34" ht="26.25" thickBot="1" x14ac:dyDescent="0.65">
      <c r="A139" s="38" t="s">
        <v>159</v>
      </c>
      <c r="B139" s="38"/>
      <c r="C139" s="38" t="s">
        <v>19</v>
      </c>
      <c r="D139" s="39" t="s">
        <v>18</v>
      </c>
      <c r="E139" s="39" t="s">
        <v>214</v>
      </c>
      <c r="F139" s="39" t="s">
        <v>17</v>
      </c>
      <c r="G139" s="39" t="s">
        <v>2506</v>
      </c>
      <c r="H139" s="39" t="s">
        <v>2508</v>
      </c>
      <c r="I139" s="39" t="s">
        <v>2507</v>
      </c>
      <c r="M139" s="632"/>
      <c r="N139" s="588">
        <v>65000</v>
      </c>
      <c r="O139" s="433">
        <v>-450.35815883676895</v>
      </c>
      <c r="P139" s="433">
        <v>-98.676596090855526</v>
      </c>
      <c r="Q139" s="433">
        <v>253.0049666550602</v>
      </c>
      <c r="R139" s="433">
        <v>604.68652940097365</v>
      </c>
      <c r="S139" s="433">
        <v>956.36809214688685</v>
      </c>
      <c r="T139" s="433">
        <v>1308.0496548928004</v>
      </c>
      <c r="U139" s="433">
        <v>1659.7312176387138</v>
      </c>
      <c r="V139" s="433">
        <v>2011.412780384627</v>
      </c>
      <c r="W139" s="433">
        <v>2363.094343130545</v>
      </c>
      <c r="X139" s="433">
        <v>2714.7759058764564</v>
      </c>
      <c r="Y139" s="433">
        <v>3066.4574686223696</v>
      </c>
      <c r="Z139" s="433">
        <v>3418.1390313682832</v>
      </c>
      <c r="AA139" s="433">
        <v>3769.8205941141969</v>
      </c>
    </row>
    <row r="140" spans="1:34" ht="27" thickTop="1" thickBot="1" x14ac:dyDescent="0.65">
      <c r="A140" s="40" t="s">
        <v>2558</v>
      </c>
      <c r="B140" s="41">
        <f>F140</f>
        <v>70000</v>
      </c>
      <c r="C140" s="42">
        <f>AVERAGE(R5,M5,I5,E5)</f>
        <v>61191.75</v>
      </c>
      <c r="D140" s="43"/>
      <c r="E140" s="43"/>
      <c r="F140" s="43">
        <v>70000</v>
      </c>
      <c r="G140" s="44"/>
      <c r="H140" s="44">
        <f>MAX(R5,M5,I5,B5:E5)</f>
        <v>71620</v>
      </c>
      <c r="I140" s="44">
        <f>MIN(R5,M5,I5,B5:E5)</f>
        <v>36866</v>
      </c>
      <c r="M140" s="632"/>
      <c r="N140" s="588">
        <v>67000</v>
      </c>
      <c r="O140" s="433">
        <v>-143.32474961852327</v>
      </c>
      <c r="P140" s="433">
        <v>219.17778428880126</v>
      </c>
      <c r="Q140" s="433">
        <v>581.68031819612577</v>
      </c>
      <c r="R140" s="433">
        <v>944.18285210345255</v>
      </c>
      <c r="S140" s="433">
        <v>1306.6853860107817</v>
      </c>
      <c r="T140" s="433">
        <v>1669.1879199181085</v>
      </c>
      <c r="U140" s="433">
        <v>2031.6904538254332</v>
      </c>
      <c r="V140" s="433">
        <v>2394.1929877327625</v>
      </c>
      <c r="W140" s="433">
        <v>2756.6955216400897</v>
      </c>
      <c r="X140" s="433">
        <v>3119.198055547412</v>
      </c>
      <c r="Y140" s="433">
        <v>3481.7005894547383</v>
      </c>
      <c r="Z140" s="433">
        <v>3844.2031233620655</v>
      </c>
      <c r="AA140" s="433">
        <v>4206.7056572693928</v>
      </c>
    </row>
    <row r="141" spans="1:34" ht="27" thickTop="1" thickBot="1" x14ac:dyDescent="0.65">
      <c r="A141" s="45" t="s">
        <v>2560</v>
      </c>
      <c r="B141" s="46">
        <f>پنل!B1</f>
        <v>40500000</v>
      </c>
      <c r="C141" s="47"/>
      <c r="D141" s="48">
        <f>D133</f>
        <v>29949431</v>
      </c>
      <c r="E141" s="49"/>
      <c r="F141" s="49">
        <v>40500000</v>
      </c>
      <c r="G141" s="50"/>
      <c r="H141" s="49"/>
      <c r="I141" s="49"/>
      <c r="M141" s="632"/>
      <c r="N141" s="588">
        <v>69000</v>
      </c>
      <c r="O141" s="433">
        <v>163.70865959972005</v>
      </c>
      <c r="P141" s="433">
        <v>537.03216466845799</v>
      </c>
      <c r="Q141" s="433">
        <v>910.35566973719835</v>
      </c>
      <c r="R141" s="433">
        <v>1283.6791748059363</v>
      </c>
      <c r="S141" s="433">
        <v>1657.0026798746767</v>
      </c>
      <c r="T141" s="433">
        <v>2030.326184943417</v>
      </c>
      <c r="U141" s="433">
        <v>2403.6496900121551</v>
      </c>
      <c r="V141" s="433">
        <v>2776.9731950808955</v>
      </c>
      <c r="W141" s="433">
        <v>3150.296700149634</v>
      </c>
      <c r="X141" s="433">
        <v>3523.6202052183739</v>
      </c>
      <c r="Y141" s="433">
        <v>3896.9437102871143</v>
      </c>
      <c r="Z141" s="433">
        <v>4270.2672153558497</v>
      </c>
      <c r="AA141" s="433">
        <v>4643.5907204245905</v>
      </c>
    </row>
    <row r="142" spans="1:34" ht="26.25" thickBot="1" x14ac:dyDescent="0.65">
      <c r="A142" s="51" t="s">
        <v>2562</v>
      </c>
      <c r="B142" s="461">
        <f>H142</f>
        <v>7.6447500698129014</v>
      </c>
      <c r="C142" s="299"/>
      <c r="D142" s="53"/>
      <c r="E142" s="54"/>
      <c r="F142" s="55"/>
      <c r="G142" s="55"/>
      <c r="H142" s="54">
        <f>H134</f>
        <v>7.6447500698129014</v>
      </c>
      <c r="I142" s="54"/>
      <c r="M142" s="632"/>
      <c r="N142" s="588">
        <v>71000</v>
      </c>
      <c r="O142" s="433">
        <v>470.7420688179634</v>
      </c>
      <c r="P142" s="433">
        <v>854.88654504811484</v>
      </c>
      <c r="Q142" s="433">
        <v>1239.0310212782686</v>
      </c>
      <c r="R142" s="433">
        <v>1623.1754975084248</v>
      </c>
      <c r="S142" s="433">
        <v>2007.3199737385737</v>
      </c>
      <c r="T142" s="433">
        <v>2391.4644499687256</v>
      </c>
      <c r="U142" s="433">
        <v>2775.6089261988745</v>
      </c>
      <c r="V142" s="433">
        <v>3159.7534024290312</v>
      </c>
      <c r="W142" s="433">
        <v>3543.8978786591806</v>
      </c>
      <c r="X142" s="433">
        <v>3928.0423548893336</v>
      </c>
      <c r="Y142" s="433">
        <v>4312.186831119483</v>
      </c>
      <c r="Z142" s="433">
        <v>4696.3313073496392</v>
      </c>
      <c r="AA142" s="433">
        <v>5080.4757835797909</v>
      </c>
    </row>
    <row r="143" spans="1:34" ht="27" thickTop="1" thickBot="1" x14ac:dyDescent="0.65">
      <c r="A143" s="56" t="s">
        <v>2564</v>
      </c>
      <c r="B143" s="57">
        <f>B142*B140</f>
        <v>535132.5048869031</v>
      </c>
      <c r="C143" s="58"/>
      <c r="D143" s="59"/>
      <c r="E143" s="60"/>
      <c r="F143" s="60"/>
      <c r="G143" s="60"/>
      <c r="H143" s="60"/>
      <c r="I143" s="60"/>
      <c r="M143" s="632"/>
      <c r="N143" s="588">
        <v>73000</v>
      </c>
      <c r="O143" s="433">
        <v>777.77547803620666</v>
      </c>
      <c r="P143" s="433">
        <v>1172.7409254277738</v>
      </c>
      <c r="Q143" s="433">
        <v>1567.7063728193366</v>
      </c>
      <c r="R143" s="433">
        <v>1962.6718202109014</v>
      </c>
      <c r="S143" s="433">
        <v>2357.6372676024662</v>
      </c>
      <c r="T143" s="433">
        <v>2752.6027149940319</v>
      </c>
      <c r="U143" s="433">
        <v>3147.5681623855967</v>
      </c>
      <c r="V143" s="433">
        <v>3542.5336097771615</v>
      </c>
      <c r="W143" s="433">
        <v>3937.4990571687244</v>
      </c>
      <c r="X143" s="433">
        <v>4332.464504560292</v>
      </c>
      <c r="Y143" s="433">
        <v>4727.4299519518563</v>
      </c>
      <c r="Z143" s="433">
        <v>5122.3953993434216</v>
      </c>
      <c r="AA143" s="433">
        <v>5517.3608467349859</v>
      </c>
    </row>
    <row r="144" spans="1:34" ht="27" thickTop="1" thickBot="1" x14ac:dyDescent="0.65">
      <c r="A144" s="61" t="s">
        <v>2566</v>
      </c>
      <c r="B144" s="57">
        <f>پنل!B2</f>
        <v>6000000</v>
      </c>
      <c r="C144" s="62"/>
      <c r="D144" s="63"/>
      <c r="E144" s="64">
        <f>E136</f>
        <v>3136079.7929562004</v>
      </c>
      <c r="F144" s="64"/>
      <c r="G144" s="65"/>
      <c r="H144" s="65"/>
      <c r="I144" s="65"/>
      <c r="M144" s="632"/>
      <c r="N144" s="588">
        <v>75000</v>
      </c>
      <c r="O144" s="433">
        <v>1084.8088872544547</v>
      </c>
      <c r="P144" s="433">
        <v>1490.5953058074308</v>
      </c>
      <c r="Q144" s="433">
        <v>1896.3817243604092</v>
      </c>
      <c r="R144" s="433">
        <v>2302.1681429133855</v>
      </c>
      <c r="S144" s="433">
        <v>2707.9545614663639</v>
      </c>
      <c r="T144" s="433">
        <v>3113.74098001934</v>
      </c>
      <c r="U144" s="433">
        <v>3519.5273985723184</v>
      </c>
      <c r="V144" s="433">
        <v>3925.3138171252949</v>
      </c>
      <c r="W144" s="433">
        <v>4331.1002356782701</v>
      </c>
      <c r="X144" s="433">
        <v>4736.8866542312489</v>
      </c>
      <c r="Y144" s="433">
        <v>5142.6730727842278</v>
      </c>
      <c r="Z144" s="433">
        <v>5548.4594913372066</v>
      </c>
      <c r="AA144" s="433">
        <v>5954.2459098901818</v>
      </c>
    </row>
    <row r="145" spans="1:27" ht="24" customHeight="1" thickTop="1" thickBot="1" x14ac:dyDescent="0.65">
      <c r="M145" s="633"/>
      <c r="N145" s="597">
        <v>77000</v>
      </c>
      <c r="O145" s="433">
        <v>1391.8422964726956</v>
      </c>
      <c r="P145" s="433">
        <v>1808.4496861870875</v>
      </c>
      <c r="Q145" s="433">
        <v>2225.0570759014745</v>
      </c>
      <c r="R145" s="433">
        <v>2641.6644656158669</v>
      </c>
      <c r="S145" s="433">
        <v>3058.2718553302561</v>
      </c>
      <c r="T145" s="433">
        <v>3474.8792450446485</v>
      </c>
      <c r="U145" s="433">
        <v>3891.4866347590355</v>
      </c>
      <c r="V145" s="433">
        <v>4308.0940244734302</v>
      </c>
      <c r="W145" s="433">
        <v>4724.7014141878144</v>
      </c>
      <c r="X145" s="433">
        <v>5141.3088039022086</v>
      </c>
      <c r="Y145" s="433">
        <v>5557.9161936165992</v>
      </c>
      <c r="Z145" s="433">
        <v>5974.523583330988</v>
      </c>
      <c r="AA145" s="433">
        <v>6391.1309730453804</v>
      </c>
    </row>
    <row r="146" spans="1:27" ht="27" customHeight="1" thickTop="1" thickBot="1" x14ac:dyDescent="0.75">
      <c r="A146" s="66" t="s">
        <v>2568</v>
      </c>
      <c r="B146" s="67">
        <f>S127</f>
        <v>-3394.1617310524093</v>
      </c>
      <c r="C146" s="100"/>
      <c r="D146" s="100"/>
      <c r="E146" s="100"/>
      <c r="F146" s="100"/>
      <c r="G146" s="100"/>
      <c r="H146" s="68"/>
      <c r="I146" s="68"/>
    </row>
    <row r="147" spans="1:27" ht="27" customHeight="1" thickTop="1" thickBot="1" x14ac:dyDescent="0.75">
      <c r="F147" s="115"/>
      <c r="G147" s="87"/>
      <c r="H147" s="87"/>
      <c r="I147" s="87"/>
      <c r="M147" s="639" t="s">
        <v>159</v>
      </c>
      <c r="N147" s="625" t="s">
        <v>2587</v>
      </c>
      <c r="O147" s="626"/>
      <c r="P147" s="626"/>
      <c r="Q147" s="626"/>
      <c r="R147" s="626"/>
      <c r="S147" s="626"/>
      <c r="T147" s="626"/>
      <c r="U147" s="626"/>
      <c r="V147" s="626"/>
      <c r="W147" s="626"/>
      <c r="X147" s="626"/>
      <c r="Y147" s="626"/>
      <c r="Z147" s="626"/>
      <c r="AA147" s="627"/>
    </row>
    <row r="148" spans="1:27" ht="30" thickTop="1" thickBot="1" x14ac:dyDescent="0.8">
      <c r="A148" s="634" t="s">
        <v>150</v>
      </c>
      <c r="B148" s="635"/>
      <c r="C148" s="87"/>
      <c r="D148" s="636" t="s">
        <v>159</v>
      </c>
      <c r="E148" s="637"/>
      <c r="F148" s="87"/>
      <c r="G148" s="87"/>
      <c r="H148" s="487" t="s">
        <v>1</v>
      </c>
      <c r="I148" s="488">
        <f>VLOOKUP(J1,'دیده بان بازار'!A:Y,11,0)</f>
        <v>30674</v>
      </c>
      <c r="M148" s="639"/>
      <c r="N148" s="628"/>
      <c r="O148" s="629"/>
      <c r="P148" s="629"/>
      <c r="Q148" s="629"/>
      <c r="R148" s="629"/>
      <c r="S148" s="629"/>
      <c r="T148" s="629"/>
      <c r="U148" s="629"/>
      <c r="V148" s="629"/>
      <c r="W148" s="629"/>
      <c r="X148" s="629"/>
      <c r="Y148" s="629"/>
      <c r="Z148" s="629"/>
      <c r="AA148" s="630"/>
    </row>
    <row r="149" spans="1:27" ht="26.25" customHeight="1" thickTop="1" x14ac:dyDescent="0.7">
      <c r="A149" s="475" t="s">
        <v>10</v>
      </c>
      <c r="B149" s="476">
        <v>0.56999999999999995</v>
      </c>
      <c r="C149" s="87"/>
      <c r="D149" s="475" t="s">
        <v>10</v>
      </c>
      <c r="E149" s="476">
        <v>0.56999999999999995</v>
      </c>
      <c r="F149" s="87"/>
      <c r="G149" s="87"/>
      <c r="H149" s="489">
        <v>6</v>
      </c>
      <c r="I149" s="566">
        <f>$I$148/H149</f>
        <v>5112.333333333333</v>
      </c>
      <c r="M149" s="631" t="s">
        <v>2516</v>
      </c>
      <c r="N149" s="569">
        <f>B146</f>
        <v>-3394.1617310524093</v>
      </c>
      <c r="O149" s="569">
        <v>28000000</v>
      </c>
      <c r="P149" s="570">
        <v>29000000</v>
      </c>
      <c r="Q149" s="569">
        <v>30000000</v>
      </c>
      <c r="R149" s="570">
        <v>31000000</v>
      </c>
      <c r="S149" s="569">
        <v>32000000</v>
      </c>
      <c r="T149" s="570">
        <v>33000000</v>
      </c>
      <c r="U149" s="569">
        <v>34000000</v>
      </c>
      <c r="V149" s="570">
        <v>35000000</v>
      </c>
      <c r="W149" s="569">
        <v>36000000</v>
      </c>
      <c r="X149" s="570">
        <v>37000000</v>
      </c>
      <c r="Y149" s="569">
        <v>38000000</v>
      </c>
      <c r="Z149" s="570">
        <v>39000000</v>
      </c>
      <c r="AA149" s="571">
        <v>40000000</v>
      </c>
    </row>
    <row r="150" spans="1:27" ht="26.25" thickBot="1" x14ac:dyDescent="0.75">
      <c r="A150" s="477" t="s">
        <v>2572</v>
      </c>
      <c r="B150" s="478">
        <f>B137*$B$149</f>
        <v>694.65675508367258</v>
      </c>
      <c r="C150" s="87"/>
      <c r="D150" s="477" t="s">
        <v>2573</v>
      </c>
      <c r="E150" s="478">
        <f>B146*$B$149</f>
        <v>-1934.6721866998732</v>
      </c>
      <c r="F150" s="305"/>
      <c r="G150" s="87"/>
      <c r="H150" s="489">
        <v>8</v>
      </c>
      <c r="I150" s="566">
        <f>$I$148/H150</f>
        <v>3834.25</v>
      </c>
      <c r="M150" s="632"/>
      <c r="N150" s="588">
        <v>55000</v>
      </c>
      <c r="O150" s="397">
        <f t="dataTable" ref="O150:AA161" dt2D="1" dtr="1" r1="B141" r2="B140"/>
        <v>-6194.1719511031934</v>
      </c>
      <c r="P150" s="397">
        <v>-5946.1266939888455</v>
      </c>
      <c r="Q150" s="397">
        <v>-5698.0814368744977</v>
      </c>
      <c r="R150" s="397">
        <v>-5450.0361797601499</v>
      </c>
      <c r="S150" s="397">
        <v>-5201.990922645803</v>
      </c>
      <c r="T150" s="397">
        <v>-4953.9456655314525</v>
      </c>
      <c r="U150" s="397">
        <v>-4705.9004084171047</v>
      </c>
      <c r="V150" s="397">
        <v>-4457.8551513027569</v>
      </c>
      <c r="W150" s="397">
        <v>-4209.8098941884073</v>
      </c>
      <c r="X150" s="397">
        <v>-3961.7646370740595</v>
      </c>
      <c r="Y150" s="397">
        <v>-3713.7193799597121</v>
      </c>
      <c r="Z150" s="397">
        <v>-3465.6741228453652</v>
      </c>
      <c r="AA150" s="573">
        <v>-3217.6288657310183</v>
      </c>
    </row>
    <row r="151" spans="1:27" ht="27" thickTop="1" thickBot="1" x14ac:dyDescent="0.75">
      <c r="C151" s="87"/>
      <c r="D151" s="87"/>
      <c r="E151" s="115"/>
      <c r="F151" s="87"/>
      <c r="G151" s="87"/>
      <c r="H151" s="490">
        <v>10</v>
      </c>
      <c r="I151" s="567">
        <f>$I$148/H151</f>
        <v>3067.4</v>
      </c>
      <c r="M151" s="632"/>
      <c r="N151" s="588">
        <v>57000</v>
      </c>
      <c r="O151" s="397">
        <v>-6336.5487291581221</v>
      </c>
      <c r="P151" s="397">
        <v>-6080.3192550674185</v>
      </c>
      <c r="Q151" s="397">
        <v>-5824.0897809767139</v>
      </c>
      <c r="R151" s="397">
        <v>-5567.8603068860102</v>
      </c>
      <c r="S151" s="397">
        <v>-5311.6308327953057</v>
      </c>
      <c r="T151" s="397">
        <v>-5055.4013587046011</v>
      </c>
      <c r="U151" s="397">
        <v>-4799.1718846138938</v>
      </c>
      <c r="V151" s="397">
        <v>-4542.9424105231919</v>
      </c>
      <c r="W151" s="397">
        <v>-4286.7129364324883</v>
      </c>
      <c r="X151" s="397">
        <v>-4030.4834623417814</v>
      </c>
      <c r="Y151" s="397">
        <v>-3774.2539882510769</v>
      </c>
      <c r="Z151" s="397">
        <v>-3518.02451416037</v>
      </c>
      <c r="AA151" s="573">
        <v>-3261.7950400696695</v>
      </c>
    </row>
    <row r="152" spans="1:27" ht="26.25" thickTop="1" x14ac:dyDescent="0.7">
      <c r="A152" s="479" t="s">
        <v>2510</v>
      </c>
      <c r="B152" s="480" t="s">
        <v>2571</v>
      </c>
      <c r="C152" s="87"/>
      <c r="D152" s="479" t="s">
        <v>2510</v>
      </c>
      <c r="E152" s="480" t="s">
        <v>2571</v>
      </c>
      <c r="F152" s="87"/>
      <c r="G152" s="87"/>
      <c r="H152" s="87"/>
      <c r="I152" s="87"/>
      <c r="M152" s="632"/>
      <c r="N152" s="588">
        <v>59000</v>
      </c>
      <c r="O152" s="397">
        <v>-6478.9255072130536</v>
      </c>
      <c r="P152" s="397">
        <v>-6214.511816145995</v>
      </c>
      <c r="Q152" s="397">
        <v>-5950.0981250789337</v>
      </c>
      <c r="R152" s="397">
        <v>-5685.6844340118714</v>
      </c>
      <c r="S152" s="397">
        <v>-5421.2707429448101</v>
      </c>
      <c r="T152" s="397">
        <v>-5156.8570518777524</v>
      </c>
      <c r="U152" s="397">
        <v>-4892.4433608106883</v>
      </c>
      <c r="V152" s="397">
        <v>-4628.0296697436315</v>
      </c>
      <c r="W152" s="397">
        <v>-4363.6159786765711</v>
      </c>
      <c r="X152" s="397">
        <v>-4099.2022876095052</v>
      </c>
      <c r="Y152" s="397">
        <v>-3834.7885965424466</v>
      </c>
      <c r="Z152" s="397">
        <v>-3570.3749054753853</v>
      </c>
      <c r="AA152" s="573">
        <v>-3305.9612144083244</v>
      </c>
    </row>
    <row r="153" spans="1:27" ht="26.25" thickBot="1" x14ac:dyDescent="0.75">
      <c r="A153" s="481" t="s">
        <v>2511</v>
      </c>
      <c r="B153" s="482" t="s">
        <v>2512</v>
      </c>
      <c r="C153" s="87"/>
      <c r="D153" s="481" t="s">
        <v>2511</v>
      </c>
      <c r="E153" s="482" t="s">
        <v>2512</v>
      </c>
      <c r="F153" s="305"/>
      <c r="G153" s="305"/>
      <c r="H153" s="305"/>
      <c r="I153" s="87"/>
      <c r="M153" s="632"/>
      <c r="N153" s="588">
        <v>61000</v>
      </c>
      <c r="O153" s="397">
        <v>-6621.3022852679833</v>
      </c>
      <c r="P153" s="397">
        <v>-6348.704377224567</v>
      </c>
      <c r="Q153" s="397">
        <v>-6076.1064691811498</v>
      </c>
      <c r="R153" s="397">
        <v>-5803.5085611377326</v>
      </c>
      <c r="S153" s="397">
        <v>-5530.9106530943145</v>
      </c>
      <c r="T153" s="397">
        <v>-5258.3127450508964</v>
      </c>
      <c r="U153" s="397">
        <v>-4985.7148370074792</v>
      </c>
      <c r="V153" s="397">
        <v>-4713.1169289640657</v>
      </c>
      <c r="W153" s="397">
        <v>-4440.5190209206476</v>
      </c>
      <c r="X153" s="397">
        <v>-4167.9211128772267</v>
      </c>
      <c r="Y153" s="397">
        <v>-3895.3232048338095</v>
      </c>
      <c r="Z153" s="397">
        <v>-3622.7252967903955</v>
      </c>
      <c r="AA153" s="573">
        <v>-3350.1273887469756</v>
      </c>
    </row>
    <row r="154" spans="1:27" ht="27" thickTop="1" thickBot="1" x14ac:dyDescent="0.75">
      <c r="A154" s="87"/>
      <c r="B154" s="87"/>
      <c r="C154" s="87"/>
      <c r="D154" s="87"/>
      <c r="E154" s="305"/>
      <c r="F154" s="87"/>
      <c r="G154" s="87"/>
      <c r="H154" s="87"/>
      <c r="I154" s="87"/>
      <c r="M154" s="632"/>
      <c r="N154" s="588">
        <v>63000</v>
      </c>
      <c r="O154" s="397">
        <v>-6763.679063322912</v>
      </c>
      <c r="P154" s="397">
        <v>-6482.8969383031381</v>
      </c>
      <c r="Q154" s="397">
        <v>-6202.114813283365</v>
      </c>
      <c r="R154" s="397">
        <v>-5921.3326882635911</v>
      </c>
      <c r="S154" s="397">
        <v>-5640.550563243818</v>
      </c>
      <c r="T154" s="397">
        <v>-5359.7684382240477</v>
      </c>
      <c r="U154" s="397">
        <v>-5078.9863132042701</v>
      </c>
      <c r="V154" s="397">
        <v>-4798.2041881845007</v>
      </c>
      <c r="W154" s="397">
        <v>-4517.4220631647268</v>
      </c>
      <c r="X154" s="397">
        <v>-4236.6399381449519</v>
      </c>
      <c r="Y154" s="397">
        <v>-3955.8578131251784</v>
      </c>
      <c r="Z154" s="397">
        <v>-3675.0756881054026</v>
      </c>
      <c r="AA154" s="573">
        <v>-3394.2935630856296</v>
      </c>
    </row>
    <row r="155" spans="1:27" ht="26.25" thickTop="1" x14ac:dyDescent="0.7">
      <c r="A155" s="483" t="s">
        <v>2544</v>
      </c>
      <c r="B155" s="486">
        <v>4</v>
      </c>
      <c r="C155" s="114"/>
      <c r="D155" s="483" t="s">
        <v>2547</v>
      </c>
      <c r="E155" s="484">
        <v>16</v>
      </c>
      <c r="F155" s="87"/>
      <c r="G155" s="87"/>
      <c r="H155" s="87"/>
      <c r="I155" s="87"/>
      <c r="M155" s="632"/>
      <c r="N155" s="588">
        <v>65000</v>
      </c>
      <c r="O155" s="397">
        <v>-6906.0558413778399</v>
      </c>
      <c r="P155" s="397">
        <v>-6617.0894993817092</v>
      </c>
      <c r="Q155" s="397">
        <v>-6328.1231573855803</v>
      </c>
      <c r="R155" s="397">
        <v>-6039.1568153894505</v>
      </c>
      <c r="S155" s="397">
        <v>-5750.1904733933197</v>
      </c>
      <c r="T155" s="397">
        <v>-5461.2241313971899</v>
      </c>
      <c r="U155" s="397">
        <v>-5172.257789401061</v>
      </c>
      <c r="V155" s="397">
        <v>-4883.2914474049321</v>
      </c>
      <c r="W155" s="397">
        <v>-4594.3251054088005</v>
      </c>
      <c r="X155" s="397">
        <v>-4305.3587634126707</v>
      </c>
      <c r="Y155" s="397">
        <v>-4016.3924214165409</v>
      </c>
      <c r="Z155" s="397">
        <v>-3727.4260794204115</v>
      </c>
      <c r="AA155" s="573">
        <v>-3438.4597374242812</v>
      </c>
    </row>
    <row r="156" spans="1:27" ht="26.25" thickBot="1" x14ac:dyDescent="0.75">
      <c r="A156" s="477" t="s">
        <v>2545</v>
      </c>
      <c r="B156" s="485">
        <v>7</v>
      </c>
      <c r="C156" s="114"/>
      <c r="D156" s="477" t="s">
        <v>2546</v>
      </c>
      <c r="E156" s="485">
        <v>19</v>
      </c>
      <c r="F156" s="87"/>
      <c r="G156" s="87"/>
      <c r="H156" s="87"/>
      <c r="I156" s="87"/>
      <c r="M156" s="632"/>
      <c r="N156" s="588">
        <v>67000</v>
      </c>
      <c r="O156" s="397">
        <v>-7048.4326194327714</v>
      </c>
      <c r="P156" s="397">
        <v>-6751.2820604602848</v>
      </c>
      <c r="Q156" s="397">
        <v>-6454.131501487801</v>
      </c>
      <c r="R156" s="397">
        <v>-6156.9809425153135</v>
      </c>
      <c r="S156" s="397">
        <v>-5859.8303835428278</v>
      </c>
      <c r="T156" s="397">
        <v>-5562.679824570343</v>
      </c>
      <c r="U156" s="397">
        <v>-5265.5292655978537</v>
      </c>
      <c r="V156" s="397">
        <v>-4968.3787066253708</v>
      </c>
      <c r="W156" s="397">
        <v>-4671.2281476528842</v>
      </c>
      <c r="X156" s="397">
        <v>-4374.0775886803958</v>
      </c>
      <c r="Y156" s="397">
        <v>-4076.9270297079074</v>
      </c>
      <c r="Z156" s="397">
        <v>-3779.7764707354249</v>
      </c>
      <c r="AA156" s="573">
        <v>-3482.6259117629379</v>
      </c>
    </row>
    <row r="157" spans="1:27" ht="27" thickTop="1" thickBot="1" x14ac:dyDescent="0.75">
      <c r="C157" s="114"/>
      <c r="D157" s="115"/>
      <c r="E157" s="87"/>
      <c r="F157" s="87"/>
      <c r="G157" s="87"/>
      <c r="H157" s="87"/>
      <c r="I157" s="87"/>
      <c r="M157" s="632"/>
      <c r="N157" s="588">
        <v>69000</v>
      </c>
      <c r="O157" s="397">
        <v>-7190.8093974877038</v>
      </c>
      <c r="P157" s="397">
        <v>-6885.4746215388623</v>
      </c>
      <c r="Q157" s="397">
        <v>-6580.1398455900207</v>
      </c>
      <c r="R157" s="397">
        <v>-6274.8050696411756</v>
      </c>
      <c r="S157" s="397">
        <v>-5969.470293692335</v>
      </c>
      <c r="T157" s="397">
        <v>-5664.1355177434934</v>
      </c>
      <c r="U157" s="397">
        <v>-5358.8007417946474</v>
      </c>
      <c r="V157" s="397">
        <v>-5053.4659658458058</v>
      </c>
      <c r="W157" s="397">
        <v>-4748.1311898969661</v>
      </c>
      <c r="X157" s="397">
        <v>-4442.7964139481201</v>
      </c>
      <c r="Y157" s="397">
        <v>-4137.4616379992785</v>
      </c>
      <c r="Z157" s="397">
        <v>-3832.1268620504334</v>
      </c>
      <c r="AA157" s="573">
        <v>-3526.7920861015932</v>
      </c>
    </row>
    <row r="158" spans="1:27" ht="27" thickTop="1" thickBot="1" x14ac:dyDescent="0.75">
      <c r="A158" s="319">
        <v>0.2</v>
      </c>
      <c r="B158" s="320" t="s">
        <v>2519</v>
      </c>
      <c r="C158" s="114"/>
      <c r="D158" s="319">
        <v>0.2</v>
      </c>
      <c r="E158" s="320" t="s">
        <v>2519</v>
      </c>
      <c r="F158" s="87"/>
      <c r="G158" s="87"/>
      <c r="H158" s="87"/>
      <c r="I158" s="87"/>
      <c r="M158" s="632"/>
      <c r="N158" s="588">
        <v>71000</v>
      </c>
      <c r="O158" s="589">
        <v>-7333.1861755426326</v>
      </c>
      <c r="P158" s="589">
        <v>-7019.6671826174334</v>
      </c>
      <c r="Q158" s="589">
        <v>-6706.148189692236</v>
      </c>
      <c r="R158" s="589">
        <v>-6392.6291967670359</v>
      </c>
      <c r="S158" s="589">
        <v>-6079.1102038418376</v>
      </c>
      <c r="T158" s="589">
        <v>-5765.5912109166375</v>
      </c>
      <c r="U158" s="589">
        <v>-5452.0722179914383</v>
      </c>
      <c r="V158" s="589">
        <v>-5138.5532250662418</v>
      </c>
      <c r="W158" s="589">
        <v>-4825.0342321410435</v>
      </c>
      <c r="X158" s="589">
        <v>-4511.5152392158425</v>
      </c>
      <c r="Y158" s="589">
        <v>-4197.9962462906424</v>
      </c>
      <c r="Z158" s="589">
        <v>-3884.4772533654445</v>
      </c>
      <c r="AA158" s="594">
        <v>-3570.958260440244</v>
      </c>
    </row>
    <row r="159" spans="1:27" ht="26.25" thickTop="1" x14ac:dyDescent="0.7">
      <c r="A159" s="321" t="s">
        <v>8</v>
      </c>
      <c r="B159" s="322" t="s">
        <v>7</v>
      </c>
      <c r="D159" s="321" t="s">
        <v>8</v>
      </c>
      <c r="E159" s="322" t="s">
        <v>7</v>
      </c>
      <c r="M159" s="632"/>
      <c r="N159" s="588">
        <v>73000</v>
      </c>
      <c r="O159" s="589">
        <v>-7475.5629535975586</v>
      </c>
      <c r="P159" s="589">
        <v>-7153.8597436960063</v>
      </c>
      <c r="Q159" s="589">
        <v>-6832.1565337944494</v>
      </c>
      <c r="R159" s="589">
        <v>-6510.4533238928952</v>
      </c>
      <c r="S159" s="589">
        <v>-6188.750113991342</v>
      </c>
      <c r="T159" s="589">
        <v>-5867.0469040897879</v>
      </c>
      <c r="U159" s="589">
        <v>-5545.3436941882301</v>
      </c>
      <c r="V159" s="589">
        <v>-5223.640484286675</v>
      </c>
      <c r="W159" s="589">
        <v>-4901.93727438512</v>
      </c>
      <c r="X159" s="589">
        <v>-4580.2340644835649</v>
      </c>
      <c r="Y159" s="589">
        <v>-4258.5308545820108</v>
      </c>
      <c r="Z159" s="589">
        <v>-3936.8276446804553</v>
      </c>
      <c r="AA159" s="594">
        <v>-3615.1244347788984</v>
      </c>
    </row>
    <row r="160" spans="1:27" ht="26.25" thickBot="1" x14ac:dyDescent="0.75">
      <c r="A160" s="324">
        <f>A158/12</f>
        <v>1.6666666666666666E-2</v>
      </c>
      <c r="B160" s="323">
        <v>5</v>
      </c>
      <c r="D160" s="324">
        <f>D158/12</f>
        <v>1.6666666666666666E-2</v>
      </c>
      <c r="E160" s="323">
        <v>5</v>
      </c>
      <c r="M160" s="632"/>
      <c r="N160" s="588">
        <v>75000</v>
      </c>
      <c r="O160" s="589">
        <v>-7617.9397316524919</v>
      </c>
      <c r="P160" s="589">
        <v>-7288.0523047745828</v>
      </c>
      <c r="Q160" s="589">
        <v>-6958.1648778966701</v>
      </c>
      <c r="R160" s="589">
        <v>-6628.2774510187564</v>
      </c>
      <c r="S160" s="589">
        <v>-6298.3900241408455</v>
      </c>
      <c r="T160" s="589">
        <v>-5968.5025972629337</v>
      </c>
      <c r="U160" s="589">
        <v>-5638.615170385021</v>
      </c>
      <c r="V160" s="589">
        <v>-5308.7277435071137</v>
      </c>
      <c r="W160" s="589">
        <v>-4978.840316629201</v>
      </c>
      <c r="X160" s="589">
        <v>-4648.9528897512882</v>
      </c>
      <c r="Y160" s="589">
        <v>-4319.0654628733773</v>
      </c>
      <c r="Z160" s="589">
        <v>-3989.1780359954641</v>
      </c>
      <c r="AA160" s="594">
        <v>-3659.2906091175555</v>
      </c>
    </row>
    <row r="161" spans="1:27" ht="27" thickTop="1" thickBot="1" x14ac:dyDescent="0.75">
      <c r="A161" s="176" t="s">
        <v>2548</v>
      </c>
      <c r="B161" s="177">
        <f>B160*B137</f>
        <v>6093.4803077515144</v>
      </c>
      <c r="D161" s="176" t="s">
        <v>2548</v>
      </c>
      <c r="E161" s="473">
        <f>B146*E160</f>
        <v>-16970.808655262048</v>
      </c>
      <c r="M161" s="633"/>
      <c r="N161" s="598">
        <v>77000</v>
      </c>
      <c r="O161" s="595">
        <v>-7760.3165097074188</v>
      </c>
      <c r="P161" s="595">
        <v>-7422.2448658531539</v>
      </c>
      <c r="Q161" s="595">
        <v>-7084.1732219988844</v>
      </c>
      <c r="R161" s="595">
        <v>-6746.1015781446185</v>
      </c>
      <c r="S161" s="595">
        <v>-6408.029934290349</v>
      </c>
      <c r="T161" s="595">
        <v>-6069.9582904360823</v>
      </c>
      <c r="U161" s="595">
        <v>-5731.8866465818128</v>
      </c>
      <c r="V161" s="595">
        <v>-5393.8150027275478</v>
      </c>
      <c r="W161" s="595">
        <v>-5055.7433588732792</v>
      </c>
      <c r="X161" s="595">
        <v>-4717.6717150190107</v>
      </c>
      <c r="Y161" s="595">
        <v>-4379.6000711647393</v>
      </c>
      <c r="Z161" s="595">
        <v>-4041.5284273104735</v>
      </c>
      <c r="AA161" s="596">
        <v>-3703.4567834562063</v>
      </c>
    </row>
    <row r="162" spans="1:27" ht="26.25" thickTop="1" x14ac:dyDescent="0.7">
      <c r="A162" s="176" t="s">
        <v>3</v>
      </c>
      <c r="B162" s="177">
        <f>B161/(1+A160)^B155</f>
        <v>5703.6264383261105</v>
      </c>
      <c r="D162" s="176" t="s">
        <v>3</v>
      </c>
      <c r="E162" s="473">
        <f>E161/(1+D160)^E155</f>
        <v>-13027.023086788473</v>
      </c>
    </row>
    <row r="163" spans="1:27" ht="26.25" thickBot="1" x14ac:dyDescent="0.75">
      <c r="A163" s="178" t="s">
        <v>2</v>
      </c>
      <c r="B163" s="179">
        <f>B150/(1+A160)^B156</f>
        <v>618.75706520520293</v>
      </c>
      <c r="D163" s="178" t="s">
        <v>2</v>
      </c>
      <c r="E163" s="474">
        <f>E150/(1+D160)^E156</f>
        <v>-1413.234660562247</v>
      </c>
    </row>
    <row r="164" spans="1:27" ht="27" thickTop="1" thickBot="1" x14ac:dyDescent="0.75">
      <c r="A164" s="180" t="s">
        <v>0</v>
      </c>
      <c r="B164" s="181">
        <f>B163+B162</f>
        <v>6322.3835035313132</v>
      </c>
      <c r="D164" s="180" t="s">
        <v>0</v>
      </c>
      <c r="E164" s="181">
        <f>E163+E162</f>
        <v>-14440.257747350719</v>
      </c>
    </row>
    <row r="165" spans="1:27" ht="23.25" thickTop="1" x14ac:dyDescent="0.6"/>
  </sheetData>
  <mergeCells count="9">
    <mergeCell ref="N131:AA132"/>
    <mergeCell ref="M147:M148"/>
    <mergeCell ref="N147:AA148"/>
    <mergeCell ref="M133:M145"/>
    <mergeCell ref="M149:M161"/>
    <mergeCell ref="F1:I1"/>
    <mergeCell ref="D148:E148"/>
    <mergeCell ref="A148:B148"/>
    <mergeCell ref="M131:M132"/>
  </mergeCells>
  <conditionalFormatting sqref="O134:AA145">
    <cfRule type="colorScale" priority="2">
      <colorScale>
        <cfvo type="num" val="$I$151"/>
        <cfvo type="num" val="$I$150"/>
        <cfvo type="num" val="$I$149"/>
        <color rgb="FFF8696B"/>
        <color rgb="FFFFEB84"/>
        <color rgb="FF63BE7B"/>
      </colorScale>
    </cfRule>
  </conditionalFormatting>
  <conditionalFormatting sqref="O150:AA161">
    <cfRule type="colorScale" priority="1">
      <colorScale>
        <cfvo type="num" val="$I$151"/>
        <cfvo type="num" val="$I$150"/>
        <cfvo type="num" val="$I$149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Q37 R114:R115 R123 K5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5"/>
  <sheetViews>
    <sheetView rightToLeft="1" topLeftCell="A132" zoomScale="25" zoomScaleNormal="25" workbookViewId="0">
      <pane xSplit="1" topLeftCell="B1" activePane="topRight" state="frozen"/>
      <selection pane="topRight" activeCell="B155" sqref="B155"/>
    </sheetView>
  </sheetViews>
  <sheetFormatPr defaultRowHeight="22.5" x14ac:dyDescent="0.6"/>
  <cols>
    <col min="1" max="1" width="54.85546875" style="357" bestFit="1" customWidth="1"/>
    <col min="2" max="2" width="21.140625" style="357" bestFit="1" customWidth="1"/>
    <col min="3" max="3" width="15.85546875" style="357" bestFit="1" customWidth="1"/>
    <col min="4" max="4" width="30.5703125" style="357" bestFit="1" customWidth="1"/>
    <col min="5" max="5" width="26" style="357" bestFit="1" customWidth="1"/>
    <col min="6" max="6" width="15.85546875" style="357" bestFit="1" customWidth="1"/>
    <col min="7" max="7" width="16.7109375" style="357" bestFit="1" customWidth="1"/>
    <col min="8" max="8" width="24.42578125" style="357" bestFit="1" customWidth="1"/>
    <col min="9" max="9" width="23.42578125" style="357" bestFit="1" customWidth="1"/>
    <col min="10" max="10" width="16.5703125" style="357" bestFit="1" customWidth="1"/>
    <col min="11" max="11" width="16.28515625" style="357" bestFit="1" customWidth="1"/>
    <col min="12" max="26" width="20.140625" style="357" customWidth="1"/>
    <col min="27" max="27" width="9.28515625" style="357" bestFit="1" customWidth="1"/>
    <col min="28" max="28" width="11.7109375" style="357" bestFit="1" customWidth="1"/>
    <col min="29" max="30" width="14.5703125" style="357" bestFit="1" customWidth="1"/>
    <col min="31" max="31" width="9.28515625" style="357" bestFit="1" customWidth="1"/>
    <col min="32" max="32" width="14.5703125" style="357" bestFit="1" customWidth="1"/>
    <col min="33" max="34" width="9.28515625" style="357" bestFit="1" customWidth="1"/>
    <col min="35" max="35" width="17" style="357" bestFit="1" customWidth="1"/>
    <col min="36" max="36" width="11.140625" style="357" bestFit="1" customWidth="1"/>
    <col min="37" max="16384" width="9.140625" style="357"/>
  </cols>
  <sheetData>
    <row r="1" spans="1:72" ht="37.5" thickTop="1" thickBot="1" x14ac:dyDescent="1">
      <c r="G1" s="640" t="str">
        <f>VLOOKUP(K1,'دیده بان بازار'!A:Z,2,0)</f>
        <v>قند اروميه</v>
      </c>
      <c r="H1" s="640"/>
      <c r="I1" s="640"/>
      <c r="J1" s="641"/>
      <c r="K1" s="406" t="s">
        <v>610</v>
      </c>
      <c r="T1" s="415" t="s">
        <v>58</v>
      </c>
      <c r="U1" s="350" t="s">
        <v>112</v>
      </c>
      <c r="V1" s="350" t="s">
        <v>113</v>
      </c>
      <c r="W1" s="349" t="s">
        <v>2550</v>
      </c>
      <c r="X1" s="419" t="s">
        <v>2584</v>
      </c>
    </row>
    <row r="2" spans="1:72" ht="26.25" thickTop="1" x14ac:dyDescent="0.6">
      <c r="A2" s="359" t="s">
        <v>130</v>
      </c>
      <c r="T2" s="416" t="s">
        <v>156</v>
      </c>
      <c r="U2" s="367">
        <v>3000</v>
      </c>
      <c r="V2" s="367"/>
      <c r="W2" s="414" t="s">
        <v>2574</v>
      </c>
      <c r="X2" s="376">
        <v>149</v>
      </c>
    </row>
    <row r="3" spans="1:72" ht="26.25" thickBot="1" x14ac:dyDescent="0.65">
      <c r="A3" s="359" t="s">
        <v>158</v>
      </c>
      <c r="T3" s="417" t="s">
        <v>157</v>
      </c>
      <c r="U3" s="379"/>
      <c r="V3" s="379"/>
      <c r="W3" s="418" t="s">
        <v>2575</v>
      </c>
      <c r="X3" s="381" t="s">
        <v>2585</v>
      </c>
    </row>
    <row r="4" spans="1:72" ht="23.25" thickBot="1" x14ac:dyDescent="0.65">
      <c r="A4" s="415"/>
      <c r="B4" s="350" t="s">
        <v>175</v>
      </c>
      <c r="C4" s="350" t="s">
        <v>174</v>
      </c>
      <c r="D4" s="350" t="s">
        <v>173</v>
      </c>
      <c r="E4" s="350" t="s">
        <v>172</v>
      </c>
      <c r="F4" s="350" t="s">
        <v>171</v>
      </c>
      <c r="G4" s="350" t="s">
        <v>170</v>
      </c>
      <c r="H4" s="350" t="s">
        <v>169</v>
      </c>
      <c r="I4" s="350" t="s">
        <v>168</v>
      </c>
      <c r="J4" s="350" t="s">
        <v>167</v>
      </c>
      <c r="K4" s="350" t="s">
        <v>166</v>
      </c>
      <c r="L4" s="350" t="s">
        <v>165</v>
      </c>
      <c r="M4" s="350" t="s">
        <v>164</v>
      </c>
      <c r="N4" s="350" t="s">
        <v>163</v>
      </c>
      <c r="O4" s="350" t="s">
        <v>162</v>
      </c>
      <c r="P4" s="350" t="s">
        <v>146</v>
      </c>
      <c r="Q4" s="351" t="s">
        <v>161</v>
      </c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  <c r="BL4" s="360"/>
      <c r="BM4" s="360"/>
      <c r="BN4" s="360"/>
      <c r="BO4" s="360"/>
      <c r="BP4" s="360"/>
      <c r="BQ4" s="360"/>
      <c r="BR4" s="360"/>
      <c r="BS4" s="360"/>
      <c r="BT4" s="360"/>
    </row>
    <row r="5" spans="1:72" ht="25.5" x14ac:dyDescent="0.7">
      <c r="A5" s="427" t="s">
        <v>102</v>
      </c>
      <c r="B5" s="352" t="s">
        <v>97</v>
      </c>
      <c r="C5" s="352" t="s">
        <v>96</v>
      </c>
      <c r="D5" s="353" t="s">
        <v>62</v>
      </c>
      <c r="E5" s="353" t="s">
        <v>107</v>
      </c>
      <c r="F5" s="353" t="s">
        <v>108</v>
      </c>
      <c r="G5" s="353" t="s">
        <v>109</v>
      </c>
      <c r="H5" s="353" t="s">
        <v>40</v>
      </c>
      <c r="I5" s="353" t="s">
        <v>55</v>
      </c>
      <c r="J5" s="353" t="s">
        <v>95</v>
      </c>
      <c r="K5" s="353" t="s">
        <v>94</v>
      </c>
      <c r="L5" s="353" t="s">
        <v>39</v>
      </c>
      <c r="M5" s="353" t="s">
        <v>54</v>
      </c>
      <c r="N5" s="352" t="s">
        <v>148</v>
      </c>
      <c r="O5" s="353" t="s">
        <v>149</v>
      </c>
      <c r="P5" s="353" t="s">
        <v>160</v>
      </c>
      <c r="Q5" s="354" t="s">
        <v>159</v>
      </c>
      <c r="R5" s="360"/>
      <c r="S5" s="360"/>
      <c r="T5" s="90" t="s">
        <v>101</v>
      </c>
      <c r="U5" s="350" t="s">
        <v>175</v>
      </c>
      <c r="V5" s="350" t="s">
        <v>174</v>
      </c>
      <c r="W5" s="350" t="s">
        <v>173</v>
      </c>
      <c r="X5" s="350" t="s">
        <v>172</v>
      </c>
      <c r="Y5" s="350" t="s">
        <v>171</v>
      </c>
      <c r="Z5" s="350" t="s">
        <v>170</v>
      </c>
      <c r="AA5" s="350" t="s">
        <v>169</v>
      </c>
      <c r="AB5" s="350" t="s">
        <v>168</v>
      </c>
      <c r="AC5" s="350" t="s">
        <v>167</v>
      </c>
      <c r="AD5" s="350" t="s">
        <v>166</v>
      </c>
      <c r="AE5" s="350" t="s">
        <v>165</v>
      </c>
      <c r="AF5" s="350" t="s">
        <v>164</v>
      </c>
      <c r="AG5" s="350" t="s">
        <v>163</v>
      </c>
      <c r="AH5" s="350" t="s">
        <v>162</v>
      </c>
      <c r="AI5" s="350" t="s">
        <v>146</v>
      </c>
      <c r="AJ5" s="351" t="s">
        <v>161</v>
      </c>
      <c r="AK5" s="360"/>
      <c r="AL5" s="360"/>
      <c r="AM5" s="360"/>
      <c r="AN5" s="360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  <c r="BL5" s="360"/>
      <c r="BM5" s="360"/>
      <c r="BN5" s="360"/>
      <c r="BO5" s="360"/>
      <c r="BP5" s="360"/>
      <c r="BQ5" s="360"/>
      <c r="BR5" s="360"/>
      <c r="BS5" s="360"/>
      <c r="BT5" s="360"/>
    </row>
    <row r="6" spans="1:72" ht="25.5" x14ac:dyDescent="0.7">
      <c r="A6" s="540" t="s">
        <v>86</v>
      </c>
      <c r="B6" s="520">
        <v>9188</v>
      </c>
      <c r="C6" s="520">
        <v>11184</v>
      </c>
      <c r="D6" s="520">
        <v>15400</v>
      </c>
      <c r="E6" s="520">
        <v>7036</v>
      </c>
      <c r="F6" s="520">
        <v>20459</v>
      </c>
      <c r="G6" s="520">
        <v>19264</v>
      </c>
      <c r="H6" s="520">
        <v>20548</v>
      </c>
      <c r="I6" s="520">
        <v>7614</v>
      </c>
      <c r="J6" s="520">
        <v>20421</v>
      </c>
      <c r="K6" s="520">
        <v>26247</v>
      </c>
      <c r="L6" s="520">
        <v>26247</v>
      </c>
      <c r="M6" s="520">
        <v>7110</v>
      </c>
      <c r="N6" s="520">
        <v>22639</v>
      </c>
      <c r="O6" s="520">
        <v>22639</v>
      </c>
      <c r="P6" s="520">
        <f>P9*AI10</f>
        <v>22639</v>
      </c>
      <c r="Q6" s="520">
        <f>Q9*AJ10</f>
        <v>21498.164092175233</v>
      </c>
      <c r="R6" s="365"/>
      <c r="S6" s="365"/>
      <c r="T6" s="94" t="s">
        <v>2521</v>
      </c>
      <c r="U6" s="352" t="s">
        <v>97</v>
      </c>
      <c r="V6" s="352" t="s">
        <v>96</v>
      </c>
      <c r="W6" s="353" t="s">
        <v>62</v>
      </c>
      <c r="X6" s="353" t="s">
        <v>107</v>
      </c>
      <c r="Y6" s="353" t="s">
        <v>108</v>
      </c>
      <c r="Z6" s="353" t="s">
        <v>109</v>
      </c>
      <c r="AA6" s="353" t="s">
        <v>40</v>
      </c>
      <c r="AB6" s="353" t="s">
        <v>55</v>
      </c>
      <c r="AC6" s="353" t="s">
        <v>95</v>
      </c>
      <c r="AD6" s="353" t="s">
        <v>94</v>
      </c>
      <c r="AE6" s="353" t="s">
        <v>39</v>
      </c>
      <c r="AF6" s="353" t="s">
        <v>54</v>
      </c>
      <c r="AG6" s="352" t="s">
        <v>148</v>
      </c>
      <c r="AH6" s="353" t="s">
        <v>149</v>
      </c>
      <c r="AI6" s="353" t="s">
        <v>160</v>
      </c>
      <c r="AJ6" s="354" t="s">
        <v>159</v>
      </c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  <c r="BM6" s="360"/>
      <c r="BN6" s="360"/>
      <c r="BO6" s="360"/>
      <c r="BP6" s="360"/>
      <c r="BQ6" s="360"/>
      <c r="BR6" s="360"/>
      <c r="BS6" s="360"/>
      <c r="BT6" s="360"/>
    </row>
    <row r="7" spans="1:72" ht="25.5" x14ac:dyDescent="0.7">
      <c r="A7" s="540" t="s">
        <v>125</v>
      </c>
      <c r="B7" s="520">
        <v>21853</v>
      </c>
      <c r="C7" s="520">
        <v>22201</v>
      </c>
      <c r="D7" s="520">
        <v>41803</v>
      </c>
      <c r="E7" s="520">
        <v>1231</v>
      </c>
      <c r="F7" s="520">
        <v>45847</v>
      </c>
      <c r="G7" s="520">
        <v>45847</v>
      </c>
      <c r="H7" s="520">
        <v>45381</v>
      </c>
      <c r="I7" s="520">
        <v>27903</v>
      </c>
      <c r="J7" s="520">
        <v>78738</v>
      </c>
      <c r="K7" s="520">
        <v>82202</v>
      </c>
      <c r="L7" s="520">
        <v>82492</v>
      </c>
      <c r="M7" s="520">
        <v>11297</v>
      </c>
      <c r="N7" s="520">
        <v>28816</v>
      </c>
      <c r="O7" s="520">
        <v>29018</v>
      </c>
      <c r="P7" s="520">
        <f>P9*AI9</f>
        <v>29018</v>
      </c>
      <c r="Q7" s="520">
        <f>Q9*AJ9</f>
        <v>33020.458722403069</v>
      </c>
      <c r="R7" s="365"/>
      <c r="S7" s="365"/>
      <c r="T7" s="94" t="s">
        <v>92</v>
      </c>
      <c r="U7" s="375">
        <f>B9/B9</f>
        <v>1</v>
      </c>
      <c r="V7" s="375">
        <f t="shared" ref="V7:AH7" si="0">C9/C9</f>
        <v>1</v>
      </c>
      <c r="W7" s="375">
        <f t="shared" si="0"/>
        <v>1</v>
      </c>
      <c r="X7" s="375">
        <f t="shared" si="0"/>
        <v>1</v>
      </c>
      <c r="Y7" s="375">
        <f t="shared" si="0"/>
        <v>1</v>
      </c>
      <c r="Z7" s="375">
        <f t="shared" si="0"/>
        <v>1</v>
      </c>
      <c r="AA7" s="375">
        <f t="shared" si="0"/>
        <v>1</v>
      </c>
      <c r="AB7" s="375">
        <f t="shared" si="0"/>
        <v>1</v>
      </c>
      <c r="AC7" s="375">
        <f t="shared" si="0"/>
        <v>1</v>
      </c>
      <c r="AD7" s="375">
        <f t="shared" si="0"/>
        <v>1</v>
      </c>
      <c r="AE7" s="375">
        <f t="shared" si="0"/>
        <v>1</v>
      </c>
      <c r="AF7" s="375">
        <f t="shared" si="0"/>
        <v>1</v>
      </c>
      <c r="AG7" s="375">
        <f t="shared" si="0"/>
        <v>1</v>
      </c>
      <c r="AH7" s="375">
        <f t="shared" si="0"/>
        <v>1</v>
      </c>
      <c r="AI7" s="367"/>
      <c r="AJ7" s="376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  <c r="BN7" s="360"/>
      <c r="BO7" s="360"/>
      <c r="BP7" s="360"/>
      <c r="BQ7" s="360"/>
      <c r="BR7" s="360"/>
      <c r="BS7" s="360"/>
      <c r="BT7" s="360"/>
    </row>
    <row r="8" spans="1:72" ht="25.5" x14ac:dyDescent="0.7">
      <c r="A8" s="540" t="s">
        <v>89</v>
      </c>
      <c r="B8" s="520">
        <v>6885</v>
      </c>
      <c r="C8" s="520">
        <v>14200</v>
      </c>
      <c r="D8" s="520">
        <v>12579</v>
      </c>
      <c r="E8" s="520">
        <v>7954</v>
      </c>
      <c r="F8" s="520">
        <v>18530</v>
      </c>
      <c r="G8" s="520">
        <v>18530</v>
      </c>
      <c r="H8" s="520">
        <v>19135</v>
      </c>
      <c r="I8" s="520">
        <v>8550</v>
      </c>
      <c r="J8" s="520">
        <v>24400</v>
      </c>
      <c r="K8" s="520">
        <v>24900</v>
      </c>
      <c r="L8" s="520">
        <v>24776</v>
      </c>
      <c r="M8" s="520">
        <v>7648</v>
      </c>
      <c r="N8" s="520">
        <v>18788</v>
      </c>
      <c r="O8" s="520">
        <v>18788</v>
      </c>
      <c r="P8" s="520">
        <f>AI8*P9</f>
        <v>18788</v>
      </c>
      <c r="Q8" s="520">
        <f>AJ8*Q9</f>
        <v>17315.675706217247</v>
      </c>
      <c r="R8" s="365"/>
      <c r="S8" s="365"/>
      <c r="T8" s="94" t="s">
        <v>89</v>
      </c>
      <c r="U8" s="375">
        <f>B8/B9</f>
        <v>0.24168070766638586</v>
      </c>
      <c r="V8" s="375">
        <f t="shared" ref="V8:AH8" si="1">C8/C9</f>
        <v>0.34455983694069686</v>
      </c>
      <c r="W8" s="375">
        <f t="shared" si="1"/>
        <v>0.2369372763232247</v>
      </c>
      <c r="X8" s="375">
        <f t="shared" si="1"/>
        <v>0.32809470775069094</v>
      </c>
      <c r="Y8" s="375">
        <f t="shared" si="1"/>
        <v>0.27399083247079697</v>
      </c>
      <c r="Z8" s="375">
        <f t="shared" si="1"/>
        <v>0.28010823394252715</v>
      </c>
      <c r="AA8" s="375">
        <f t="shared" si="1"/>
        <v>0.26194028829174137</v>
      </c>
      <c r="AB8" s="375">
        <f t="shared" si="1"/>
        <v>0.18369714678583707</v>
      </c>
      <c r="AC8" s="375">
        <f t="shared" si="1"/>
        <v>0.32460621541081314</v>
      </c>
      <c r="AD8" s="375">
        <f t="shared" si="1"/>
        <v>0.31473569785373007</v>
      </c>
      <c r="AE8" s="375">
        <f t="shared" si="1"/>
        <v>0.31208353802164029</v>
      </c>
      <c r="AF8" s="375">
        <f t="shared" si="1"/>
        <v>0.33667899278041907</v>
      </c>
      <c r="AG8" s="375">
        <f t="shared" si="1"/>
        <v>0.29509793142444279</v>
      </c>
      <c r="AH8" s="375">
        <f t="shared" si="1"/>
        <v>0.29735376044568246</v>
      </c>
      <c r="AI8" s="377">
        <f>AH8</f>
        <v>0.29735376044568246</v>
      </c>
      <c r="AJ8" s="549">
        <f>AVERAGE(U8:AI8)</f>
        <v>0.28859459510362079</v>
      </c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  <c r="BN8" s="360"/>
      <c r="BO8" s="360"/>
      <c r="BP8" s="360"/>
      <c r="BQ8" s="360"/>
      <c r="BR8" s="360"/>
      <c r="BS8" s="360"/>
      <c r="BT8" s="360"/>
    </row>
    <row r="9" spans="1:72" x14ac:dyDescent="0.6">
      <c r="A9" s="541" t="s">
        <v>182</v>
      </c>
      <c r="B9" s="520">
        <v>28488</v>
      </c>
      <c r="C9" s="520">
        <v>41212</v>
      </c>
      <c r="D9" s="520">
        <v>53090</v>
      </c>
      <c r="E9" s="520">
        <v>24243</v>
      </c>
      <c r="F9" s="520">
        <v>67630</v>
      </c>
      <c r="G9" s="520">
        <v>66153</v>
      </c>
      <c r="H9" s="520">
        <v>73051</v>
      </c>
      <c r="I9" s="520">
        <v>46544</v>
      </c>
      <c r="J9" s="520">
        <v>75168</v>
      </c>
      <c r="K9" s="520">
        <v>79114</v>
      </c>
      <c r="L9" s="520">
        <v>79389</v>
      </c>
      <c r="M9" s="520">
        <v>22716</v>
      </c>
      <c r="N9" s="520">
        <v>63667</v>
      </c>
      <c r="O9" s="520">
        <v>63184</v>
      </c>
      <c r="P9" s="520">
        <f>B142</f>
        <v>63184</v>
      </c>
      <c r="Q9" s="538">
        <f>B150</f>
        <v>60000</v>
      </c>
      <c r="R9" s="365"/>
      <c r="S9" s="365"/>
      <c r="T9" s="355" t="s">
        <v>125</v>
      </c>
      <c r="U9" s="375">
        <f>B7/B9</f>
        <v>0.76709491715810163</v>
      </c>
      <c r="V9" s="375">
        <f t="shared" ref="V9:AH9" si="2">C7/C9</f>
        <v>0.53870231971270499</v>
      </c>
      <c r="W9" s="375">
        <f t="shared" si="2"/>
        <v>0.78739875682802785</v>
      </c>
      <c r="X9" s="375">
        <f t="shared" si="2"/>
        <v>5.0777544033329208E-2</v>
      </c>
      <c r="Y9" s="375">
        <f t="shared" si="2"/>
        <v>0.67790921188821529</v>
      </c>
      <c r="Z9" s="375">
        <f t="shared" si="2"/>
        <v>0.69304491103955979</v>
      </c>
      <c r="AA9" s="375">
        <f t="shared" si="2"/>
        <v>0.62122352876757336</v>
      </c>
      <c r="AB9" s="375">
        <f t="shared" si="2"/>
        <v>0.59949724991405984</v>
      </c>
      <c r="AC9" s="375">
        <f t="shared" si="2"/>
        <v>1.047493614303959</v>
      </c>
      <c r="AD9" s="375">
        <f t="shared" si="2"/>
        <v>1.0390322825290088</v>
      </c>
      <c r="AE9" s="375">
        <f t="shared" si="2"/>
        <v>1.0390860194737306</v>
      </c>
      <c r="AF9" s="375">
        <f t="shared" si="2"/>
        <v>0.4973146680753654</v>
      </c>
      <c r="AG9" s="375">
        <f t="shared" si="2"/>
        <v>0.45260496018345453</v>
      </c>
      <c r="AH9" s="375">
        <f t="shared" si="2"/>
        <v>0.45926183844011143</v>
      </c>
      <c r="AI9" s="377">
        <f t="shared" ref="AI9:AI10" si="3">AH9</f>
        <v>0.45926183844011143</v>
      </c>
      <c r="AJ9" s="549">
        <f>AVERAGE(AI9,AF9:AH9,U9:AB9)</f>
        <v>0.55034097870671783</v>
      </c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</row>
    <row r="10" spans="1:72" ht="26.25" thickBot="1" x14ac:dyDescent="0.75">
      <c r="A10" s="541" t="s">
        <v>183</v>
      </c>
      <c r="B10" s="520"/>
      <c r="C10" s="520"/>
      <c r="D10" s="520"/>
      <c r="E10" s="520"/>
      <c r="F10" s="520"/>
      <c r="G10" s="520">
        <v>0</v>
      </c>
      <c r="H10" s="520">
        <v>0</v>
      </c>
      <c r="I10" s="520">
        <v>0</v>
      </c>
      <c r="J10" s="520">
        <v>19969</v>
      </c>
      <c r="K10" s="520">
        <v>22581</v>
      </c>
      <c r="L10" s="520">
        <v>22581</v>
      </c>
      <c r="M10" s="520">
        <v>0</v>
      </c>
      <c r="N10" s="520">
        <v>0</v>
      </c>
      <c r="O10" s="520">
        <v>9212</v>
      </c>
      <c r="P10" s="520">
        <f t="shared" ref="P10:Q11" si="4">O10</f>
        <v>9212</v>
      </c>
      <c r="Q10" s="520">
        <f t="shared" si="4"/>
        <v>9212</v>
      </c>
      <c r="R10" s="365"/>
      <c r="S10" s="365"/>
      <c r="T10" s="97" t="s">
        <v>86</v>
      </c>
      <c r="U10" s="550">
        <f>B6/B9</f>
        <v>0.32252176354956474</v>
      </c>
      <c r="V10" s="550">
        <f t="shared" ref="V10:AH10" si="5">C6/C9</f>
        <v>0.27137726875667284</v>
      </c>
      <c r="W10" s="550">
        <f t="shared" si="5"/>
        <v>0.29007346016198909</v>
      </c>
      <c r="X10" s="550">
        <f t="shared" si="5"/>
        <v>0.29022810708245678</v>
      </c>
      <c r="Y10" s="550">
        <f t="shared" si="5"/>
        <v>0.30251367736211743</v>
      </c>
      <c r="Z10" s="550">
        <f t="shared" si="5"/>
        <v>0.29120372469880429</v>
      </c>
      <c r="AA10" s="550">
        <f t="shared" si="5"/>
        <v>0.281282939316368</v>
      </c>
      <c r="AB10" s="550">
        <f t="shared" si="5"/>
        <v>0.16358714334822963</v>
      </c>
      <c r="AC10" s="550">
        <f t="shared" si="5"/>
        <v>0.27167145593869729</v>
      </c>
      <c r="AD10" s="550">
        <f t="shared" si="5"/>
        <v>0.33176176150870895</v>
      </c>
      <c r="AE10" s="550">
        <f t="shared" si="5"/>
        <v>0.33061255337641238</v>
      </c>
      <c r="AF10" s="550">
        <f t="shared" si="5"/>
        <v>0.31299524564183834</v>
      </c>
      <c r="AG10" s="550">
        <f t="shared" si="5"/>
        <v>0.35558452573546734</v>
      </c>
      <c r="AH10" s="550">
        <f t="shared" si="5"/>
        <v>0.35830273486958725</v>
      </c>
      <c r="AI10" s="551">
        <f t="shared" si="3"/>
        <v>0.35830273486958725</v>
      </c>
      <c r="AJ10" s="552">
        <f t="shared" ref="AJ10" si="6">AI10</f>
        <v>0.35830273486958725</v>
      </c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0"/>
      <c r="AY10" s="360"/>
      <c r="AZ10" s="360"/>
      <c r="BA10" s="360"/>
      <c r="BB10" s="360"/>
      <c r="BC10" s="360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360"/>
      <c r="BO10" s="360"/>
      <c r="BP10" s="360"/>
      <c r="BQ10" s="360"/>
      <c r="BR10" s="360"/>
      <c r="BS10" s="360"/>
      <c r="BT10" s="360"/>
    </row>
    <row r="11" spans="1:72" x14ac:dyDescent="0.6">
      <c r="A11" s="523" t="s">
        <v>184</v>
      </c>
      <c r="B11" s="520"/>
      <c r="C11" s="520"/>
      <c r="D11" s="520"/>
      <c r="E11" s="520"/>
      <c r="F11" s="520"/>
      <c r="G11" s="520"/>
      <c r="H11" s="520">
        <v>0</v>
      </c>
      <c r="I11" s="520">
        <v>0</v>
      </c>
      <c r="J11" s="520">
        <v>0</v>
      </c>
      <c r="K11" s="520">
        <v>0</v>
      </c>
      <c r="L11" s="520">
        <v>0</v>
      </c>
      <c r="M11" s="520">
        <v>0</v>
      </c>
      <c r="N11" s="520">
        <v>63</v>
      </c>
      <c r="O11" s="520">
        <v>63</v>
      </c>
      <c r="P11" s="520">
        <f t="shared" si="4"/>
        <v>63</v>
      </c>
      <c r="Q11" s="520">
        <f t="shared" si="4"/>
        <v>63</v>
      </c>
      <c r="R11" s="365"/>
      <c r="S11" s="365"/>
      <c r="T11" s="365"/>
      <c r="U11" s="360"/>
      <c r="V11" s="371"/>
      <c r="W11" s="371"/>
      <c r="X11" s="360"/>
      <c r="Y11" s="371"/>
      <c r="Z11" s="360"/>
      <c r="AA11" s="360"/>
      <c r="AB11" s="360"/>
      <c r="AC11" s="371"/>
      <c r="AD11" s="371"/>
      <c r="AE11" s="371"/>
      <c r="AF11" s="371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  <c r="BQ11" s="360"/>
      <c r="BR11" s="360"/>
      <c r="BS11" s="360"/>
      <c r="BT11" s="360"/>
    </row>
    <row r="12" spans="1:72" ht="23.25" thickBot="1" x14ac:dyDescent="0.65">
      <c r="A12" s="525"/>
      <c r="B12" s="534"/>
      <c r="C12" s="534"/>
      <c r="D12" s="534"/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366"/>
      <c r="S12" s="366"/>
      <c r="T12" s="360"/>
      <c r="U12" s="360"/>
      <c r="V12" s="371"/>
      <c r="W12" s="371"/>
      <c r="X12" s="360"/>
      <c r="Y12" s="371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0"/>
      <c r="AV12" s="360"/>
      <c r="AW12" s="360"/>
      <c r="AX12" s="360"/>
      <c r="AY12" s="360"/>
      <c r="AZ12" s="360"/>
      <c r="BA12" s="360"/>
      <c r="BB12" s="360"/>
      <c r="BC12" s="360"/>
      <c r="BD12" s="360"/>
      <c r="BE12" s="360"/>
      <c r="BF12" s="360"/>
      <c r="BG12" s="360"/>
      <c r="BH12" s="360"/>
      <c r="BI12" s="360"/>
      <c r="BJ12" s="360"/>
      <c r="BK12" s="360"/>
      <c r="BL12" s="360"/>
      <c r="BM12" s="360"/>
      <c r="BN12" s="360"/>
      <c r="BO12" s="360"/>
      <c r="BP12" s="360"/>
      <c r="BQ12" s="360"/>
      <c r="BR12" s="360"/>
      <c r="BS12" s="360"/>
      <c r="BT12" s="360"/>
    </row>
    <row r="13" spans="1:72" x14ac:dyDescent="0.6">
      <c r="A13" s="360"/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0"/>
      <c r="V13" s="371"/>
      <c r="W13" s="371"/>
      <c r="X13" s="360"/>
      <c r="Y13" s="371"/>
      <c r="Z13" s="360"/>
      <c r="AA13" s="371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  <c r="BL13" s="360"/>
      <c r="BM13" s="360"/>
      <c r="BN13" s="360"/>
      <c r="BO13" s="360"/>
      <c r="BP13" s="360"/>
      <c r="BQ13" s="360"/>
      <c r="BR13" s="360"/>
      <c r="BS13" s="360"/>
      <c r="BT13" s="360"/>
    </row>
    <row r="14" spans="1:72" ht="23.25" thickBot="1" x14ac:dyDescent="0.65">
      <c r="A14" s="360"/>
      <c r="B14" s="365"/>
      <c r="C14" s="365"/>
      <c r="D14" s="365"/>
      <c r="E14" s="365"/>
      <c r="F14" s="366"/>
      <c r="G14" s="366"/>
      <c r="H14" s="366"/>
      <c r="I14" s="365"/>
      <c r="J14" s="365"/>
      <c r="K14" s="365"/>
      <c r="L14" s="365"/>
      <c r="M14" s="366"/>
      <c r="N14" s="366"/>
      <c r="O14" s="365"/>
      <c r="P14" s="366"/>
      <c r="Q14" s="365"/>
      <c r="R14" s="365"/>
      <c r="S14" s="365"/>
      <c r="T14" s="365"/>
      <c r="U14" s="360"/>
      <c r="V14" s="371"/>
      <c r="W14" s="371"/>
      <c r="X14" s="360"/>
      <c r="Y14" s="371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  <c r="BA14" s="360"/>
      <c r="BB14" s="360"/>
      <c r="BC14" s="360"/>
      <c r="BD14" s="360"/>
      <c r="BE14" s="360"/>
      <c r="BF14" s="360"/>
      <c r="BG14" s="360"/>
      <c r="BH14" s="360"/>
      <c r="BI14" s="360"/>
      <c r="BJ14" s="360"/>
      <c r="BK14" s="360"/>
      <c r="BL14" s="360"/>
      <c r="BM14" s="360"/>
      <c r="BN14" s="360"/>
      <c r="BO14" s="360"/>
      <c r="BP14" s="360"/>
      <c r="BQ14" s="360"/>
      <c r="BR14" s="360"/>
      <c r="BS14" s="360"/>
      <c r="BT14" s="360"/>
    </row>
    <row r="15" spans="1:72" ht="25.5" x14ac:dyDescent="0.7">
      <c r="A15" s="353"/>
      <c r="B15" s="353" t="s">
        <v>175</v>
      </c>
      <c r="C15" s="353" t="s">
        <v>174</v>
      </c>
      <c r="D15" s="353" t="s">
        <v>173</v>
      </c>
      <c r="E15" s="353" t="s">
        <v>172</v>
      </c>
      <c r="F15" s="353" t="s">
        <v>171</v>
      </c>
      <c r="G15" s="353" t="s">
        <v>170</v>
      </c>
      <c r="H15" s="353" t="s">
        <v>169</v>
      </c>
      <c r="I15" s="353" t="s">
        <v>168</v>
      </c>
      <c r="J15" s="353" t="s">
        <v>167</v>
      </c>
      <c r="K15" s="353" t="s">
        <v>166</v>
      </c>
      <c r="L15" s="353" t="s">
        <v>165</v>
      </c>
      <c r="M15" s="353" t="s">
        <v>164</v>
      </c>
      <c r="N15" s="353" t="s">
        <v>163</v>
      </c>
      <c r="O15" s="353" t="s">
        <v>162</v>
      </c>
      <c r="P15" s="353" t="s">
        <v>146</v>
      </c>
      <c r="Q15" s="353" t="s">
        <v>161</v>
      </c>
      <c r="R15" s="365"/>
      <c r="S15" s="365"/>
      <c r="T15" s="90" t="s">
        <v>101</v>
      </c>
      <c r="U15" s="350" t="s">
        <v>175</v>
      </c>
      <c r="V15" s="350" t="s">
        <v>174</v>
      </c>
      <c r="W15" s="350" t="s">
        <v>173</v>
      </c>
      <c r="X15" s="350" t="s">
        <v>172</v>
      </c>
      <c r="Y15" s="350" t="s">
        <v>171</v>
      </c>
      <c r="Z15" s="350" t="s">
        <v>170</v>
      </c>
      <c r="AA15" s="350" t="s">
        <v>169</v>
      </c>
      <c r="AB15" s="350" t="s">
        <v>168</v>
      </c>
      <c r="AC15" s="350" t="s">
        <v>167</v>
      </c>
      <c r="AD15" s="350" t="s">
        <v>166</v>
      </c>
      <c r="AE15" s="350" t="s">
        <v>165</v>
      </c>
      <c r="AF15" s="350" t="s">
        <v>164</v>
      </c>
      <c r="AG15" s="350" t="s">
        <v>163</v>
      </c>
      <c r="AH15" s="350" t="s">
        <v>162</v>
      </c>
      <c r="AI15" s="350" t="s">
        <v>146</v>
      </c>
      <c r="AJ15" s="351" t="s">
        <v>161</v>
      </c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0"/>
      <c r="AV15" s="360"/>
      <c r="AW15" s="360"/>
      <c r="AX15" s="360"/>
      <c r="AY15" s="360"/>
      <c r="AZ15" s="360"/>
      <c r="BA15" s="360"/>
      <c r="BB15" s="360"/>
      <c r="BC15" s="360"/>
      <c r="BD15" s="360"/>
      <c r="BE15" s="360"/>
      <c r="BF15" s="360"/>
      <c r="BG15" s="360"/>
      <c r="BH15" s="360"/>
      <c r="BI15" s="360"/>
      <c r="BJ15" s="360"/>
      <c r="BK15" s="360"/>
      <c r="BL15" s="360"/>
      <c r="BM15" s="360"/>
      <c r="BN15" s="360"/>
      <c r="BO15" s="360"/>
      <c r="BP15" s="360"/>
      <c r="BQ15" s="360"/>
      <c r="BR15" s="360"/>
      <c r="BS15" s="360"/>
      <c r="BT15" s="360"/>
    </row>
    <row r="16" spans="1:72" ht="25.5" x14ac:dyDescent="0.7">
      <c r="A16" s="519" t="s">
        <v>105</v>
      </c>
      <c r="B16" s="352" t="s">
        <v>97</v>
      </c>
      <c r="C16" s="352" t="s">
        <v>96</v>
      </c>
      <c r="D16" s="353" t="s">
        <v>62</v>
      </c>
      <c r="E16" s="353" t="s">
        <v>107</v>
      </c>
      <c r="F16" s="353" t="s">
        <v>108</v>
      </c>
      <c r="G16" s="353" t="s">
        <v>109</v>
      </c>
      <c r="H16" s="353" t="s">
        <v>40</v>
      </c>
      <c r="I16" s="353" t="s">
        <v>55</v>
      </c>
      <c r="J16" s="353" t="s">
        <v>95</v>
      </c>
      <c r="K16" s="353" t="s">
        <v>94</v>
      </c>
      <c r="L16" s="353" t="s">
        <v>39</v>
      </c>
      <c r="M16" s="353" t="s">
        <v>54</v>
      </c>
      <c r="N16" s="352" t="s">
        <v>148</v>
      </c>
      <c r="O16" s="353" t="s">
        <v>149</v>
      </c>
      <c r="P16" s="353" t="s">
        <v>160</v>
      </c>
      <c r="Q16" s="353" t="s">
        <v>159</v>
      </c>
      <c r="R16" s="360"/>
      <c r="S16" s="371"/>
      <c r="T16" s="94" t="s">
        <v>2521</v>
      </c>
      <c r="U16" s="352" t="s">
        <v>97</v>
      </c>
      <c r="V16" s="352" t="s">
        <v>96</v>
      </c>
      <c r="W16" s="353" t="s">
        <v>62</v>
      </c>
      <c r="X16" s="353" t="s">
        <v>107</v>
      </c>
      <c r="Y16" s="353" t="s">
        <v>108</v>
      </c>
      <c r="Z16" s="353" t="s">
        <v>109</v>
      </c>
      <c r="AA16" s="353" t="s">
        <v>40</v>
      </c>
      <c r="AB16" s="353" t="s">
        <v>55</v>
      </c>
      <c r="AC16" s="353" t="s">
        <v>95</v>
      </c>
      <c r="AD16" s="353" t="s">
        <v>94</v>
      </c>
      <c r="AE16" s="353" t="s">
        <v>39</v>
      </c>
      <c r="AF16" s="353" t="s">
        <v>54</v>
      </c>
      <c r="AG16" s="352" t="s">
        <v>148</v>
      </c>
      <c r="AH16" s="353" t="s">
        <v>149</v>
      </c>
      <c r="AI16" s="353" t="s">
        <v>160</v>
      </c>
      <c r="AJ16" s="354" t="s">
        <v>159</v>
      </c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  <c r="AW16" s="360"/>
      <c r="AX16" s="360"/>
      <c r="AY16" s="360"/>
      <c r="AZ16" s="360"/>
      <c r="BA16" s="360"/>
      <c r="BB16" s="360"/>
      <c r="BC16" s="360"/>
      <c r="BD16" s="360"/>
      <c r="BE16" s="360"/>
      <c r="BF16" s="360"/>
      <c r="BG16" s="360"/>
      <c r="BH16" s="360"/>
      <c r="BI16" s="360"/>
      <c r="BJ16" s="360"/>
      <c r="BK16" s="360"/>
      <c r="BL16" s="360"/>
      <c r="BM16" s="360"/>
      <c r="BN16" s="360"/>
      <c r="BO16" s="360"/>
      <c r="BP16" s="360"/>
      <c r="BQ16" s="360"/>
      <c r="BR16" s="360"/>
      <c r="BS16" s="360"/>
      <c r="BT16" s="360"/>
    </row>
    <row r="17" spans="1:72" ht="25.5" x14ac:dyDescent="0.7">
      <c r="A17" s="542" t="s">
        <v>86</v>
      </c>
      <c r="B17" s="520">
        <v>7566</v>
      </c>
      <c r="C17" s="520">
        <v>6548</v>
      </c>
      <c r="D17" s="520">
        <v>1660</v>
      </c>
      <c r="E17" s="520">
        <v>767</v>
      </c>
      <c r="F17" s="520">
        <v>127</v>
      </c>
      <c r="G17" s="520">
        <v>1277</v>
      </c>
      <c r="H17" s="520">
        <v>127</v>
      </c>
      <c r="I17" s="520">
        <v>1179</v>
      </c>
      <c r="J17" s="520">
        <v>7162</v>
      </c>
      <c r="K17" s="520">
        <v>11144</v>
      </c>
      <c r="L17" s="520">
        <v>10741</v>
      </c>
      <c r="M17" s="520">
        <v>2669</v>
      </c>
      <c r="N17" s="520">
        <v>4712</v>
      </c>
      <c r="O17" s="520">
        <v>4809</v>
      </c>
      <c r="P17" s="520">
        <f>AI20*P6</f>
        <v>4809</v>
      </c>
      <c r="Q17" s="520">
        <f>AJ20*Q6</f>
        <v>7684.0395903794506</v>
      </c>
      <c r="R17" s="360"/>
      <c r="S17" s="360"/>
      <c r="T17" s="94" t="s">
        <v>92</v>
      </c>
      <c r="U17" s="375">
        <f>B20/B9</f>
        <v>1.0000351024992979</v>
      </c>
      <c r="V17" s="375">
        <f t="shared" ref="V17:AH17" si="7">C20/C9</f>
        <v>1.002669125497428</v>
      </c>
      <c r="W17" s="375">
        <f t="shared" si="7"/>
        <v>0.99229610096063292</v>
      </c>
      <c r="X17" s="375">
        <f t="shared" si="7"/>
        <v>0.706966959534711</v>
      </c>
      <c r="Y17" s="375">
        <f t="shared" si="7"/>
        <v>0.73667011681206562</v>
      </c>
      <c r="Z17" s="375">
        <f t="shared" si="7"/>
        <v>0.96666817831390872</v>
      </c>
      <c r="AA17" s="375">
        <f t="shared" si="7"/>
        <v>0.89047377859303778</v>
      </c>
      <c r="AB17" s="375">
        <f t="shared" si="7"/>
        <v>0.13615073908559641</v>
      </c>
      <c r="AC17" s="375">
        <f t="shared" si="7"/>
        <v>0.77685983397190295</v>
      </c>
      <c r="AD17" s="375">
        <f t="shared" si="7"/>
        <v>0.80759410470965953</v>
      </c>
      <c r="AE17" s="375">
        <f t="shared" si="7"/>
        <v>0.98499792162642175</v>
      </c>
      <c r="AF17" s="375">
        <f t="shared" si="7"/>
        <v>0.71737982039091386</v>
      </c>
      <c r="AG17" s="375">
        <f t="shared" si="7"/>
        <v>0.62143653698148182</v>
      </c>
      <c r="AH17" s="375">
        <f t="shared" si="7"/>
        <v>1.0146714358065334</v>
      </c>
      <c r="AI17" s="377">
        <f>AH17</f>
        <v>1.0146714358065334</v>
      </c>
      <c r="AJ17" s="549">
        <f>AVERAGE(AI17,AE17,AA17,U17:W17)</f>
        <v>0.98085724416389208</v>
      </c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0"/>
      <c r="BC17" s="360"/>
      <c r="BD17" s="360"/>
      <c r="BE17" s="360"/>
      <c r="BF17" s="360"/>
      <c r="BG17" s="360"/>
      <c r="BH17" s="360"/>
      <c r="BI17" s="360"/>
      <c r="BJ17" s="360"/>
      <c r="BK17" s="360"/>
      <c r="BL17" s="360"/>
      <c r="BM17" s="360"/>
      <c r="BN17" s="360"/>
      <c r="BO17" s="360"/>
      <c r="BP17" s="360"/>
      <c r="BQ17" s="360"/>
      <c r="BR17" s="360"/>
      <c r="BS17" s="360"/>
      <c r="BT17" s="360"/>
    </row>
    <row r="18" spans="1:72" ht="25.5" x14ac:dyDescent="0.7">
      <c r="A18" s="542" t="s">
        <v>125</v>
      </c>
      <c r="B18" s="520">
        <v>21853</v>
      </c>
      <c r="C18" s="520">
        <v>22201</v>
      </c>
      <c r="D18" s="520">
        <v>40656</v>
      </c>
      <c r="E18" s="520">
        <v>2294</v>
      </c>
      <c r="F18" s="520">
        <v>44690</v>
      </c>
      <c r="G18" s="520">
        <v>45668</v>
      </c>
      <c r="H18" s="520">
        <v>45011</v>
      </c>
      <c r="I18" s="520">
        <v>26975</v>
      </c>
      <c r="J18" s="520">
        <v>77071</v>
      </c>
      <c r="K18" s="520">
        <v>81265</v>
      </c>
      <c r="L18" s="520">
        <v>82252</v>
      </c>
      <c r="M18" s="520">
        <v>11533</v>
      </c>
      <c r="N18" s="520">
        <v>26300</v>
      </c>
      <c r="O18" s="520">
        <v>29060</v>
      </c>
      <c r="P18" s="520">
        <f>P7*AI19</f>
        <v>29059.999999999996</v>
      </c>
      <c r="Q18" s="520">
        <f>Q7*AJ19</f>
        <v>32816.538625686066</v>
      </c>
      <c r="R18" s="360"/>
      <c r="S18" s="360"/>
      <c r="T18" s="94" t="s">
        <v>89</v>
      </c>
      <c r="U18" s="375">
        <f>B19/B8</f>
        <v>1</v>
      </c>
      <c r="V18" s="375">
        <f t="shared" ref="V18:AH18" si="8">C19/C8</f>
        <v>1</v>
      </c>
      <c r="W18" s="375">
        <f t="shared" si="8"/>
        <v>1</v>
      </c>
      <c r="X18" s="375">
        <f t="shared" si="8"/>
        <v>0.53733970329394021</v>
      </c>
      <c r="Y18" s="375">
        <f t="shared" si="8"/>
        <v>0.62261198057204536</v>
      </c>
      <c r="Z18" s="375">
        <f t="shared" si="8"/>
        <v>0.97145169994603342</v>
      </c>
      <c r="AA18" s="375">
        <f t="shared" si="8"/>
        <v>0.94073686961066105</v>
      </c>
      <c r="AB18" s="375">
        <f t="shared" si="8"/>
        <v>0.60327485380116963</v>
      </c>
      <c r="AC18" s="375">
        <f t="shared" si="8"/>
        <v>0.69860655737704913</v>
      </c>
      <c r="AD18" s="375">
        <f t="shared" si="8"/>
        <v>0.90518072289156626</v>
      </c>
      <c r="AE18" s="375">
        <f t="shared" si="8"/>
        <v>0.99975783015821762</v>
      </c>
      <c r="AF18" s="375">
        <f t="shared" si="8"/>
        <v>0.47881799163179917</v>
      </c>
      <c r="AG18" s="375">
        <f t="shared" si="8"/>
        <v>0.68596976793698106</v>
      </c>
      <c r="AH18" s="375">
        <f t="shared" si="8"/>
        <v>0.97131147540983609</v>
      </c>
      <c r="AI18" s="377">
        <f t="shared" ref="AI18:AI20" si="9">AH18</f>
        <v>0.97131147540983609</v>
      </c>
      <c r="AJ18" s="549">
        <f t="shared" ref="AJ18:AJ20" si="10">AVERAGE(AI18,AE18,AA18,U18:W18)</f>
        <v>0.98530102919645246</v>
      </c>
      <c r="AK18" s="360"/>
      <c r="AL18" s="360"/>
      <c r="AM18" s="360"/>
      <c r="AN18" s="360"/>
      <c r="AO18" s="360"/>
      <c r="AP18" s="360"/>
      <c r="AQ18" s="360"/>
      <c r="AR18" s="360"/>
      <c r="AS18" s="360"/>
      <c r="AT18" s="360"/>
      <c r="AU18" s="360"/>
      <c r="AV18" s="360"/>
      <c r="AW18" s="360"/>
      <c r="AX18" s="360"/>
      <c r="AY18" s="360"/>
      <c r="AZ18" s="360"/>
      <c r="BA18" s="360"/>
      <c r="BB18" s="360"/>
      <c r="BC18" s="360"/>
      <c r="BD18" s="360"/>
      <c r="BE18" s="360"/>
      <c r="BF18" s="360"/>
      <c r="BG18" s="360"/>
      <c r="BH18" s="360"/>
      <c r="BI18" s="360"/>
      <c r="BJ18" s="360"/>
      <c r="BK18" s="360"/>
      <c r="BL18" s="360"/>
      <c r="BM18" s="360"/>
      <c r="BN18" s="360"/>
      <c r="BO18" s="360"/>
      <c r="BP18" s="360"/>
      <c r="BQ18" s="360"/>
      <c r="BR18" s="360"/>
      <c r="BS18" s="360"/>
      <c r="BT18" s="360"/>
    </row>
    <row r="19" spans="1:72" x14ac:dyDescent="0.6">
      <c r="A19" s="542" t="s">
        <v>89</v>
      </c>
      <c r="B19" s="520">
        <v>6885</v>
      </c>
      <c r="C19" s="520">
        <v>14200</v>
      </c>
      <c r="D19" s="520">
        <v>12579</v>
      </c>
      <c r="E19" s="520">
        <v>4274</v>
      </c>
      <c r="F19" s="520">
        <v>11537</v>
      </c>
      <c r="G19" s="520">
        <v>18001</v>
      </c>
      <c r="H19" s="520">
        <v>18001</v>
      </c>
      <c r="I19" s="520">
        <v>5158</v>
      </c>
      <c r="J19" s="520">
        <v>17046</v>
      </c>
      <c r="K19" s="520">
        <v>22539</v>
      </c>
      <c r="L19" s="520">
        <v>24770</v>
      </c>
      <c r="M19" s="520">
        <v>3662</v>
      </c>
      <c r="N19" s="520">
        <v>12888</v>
      </c>
      <c r="O19" s="520">
        <v>18249</v>
      </c>
      <c r="P19" s="520">
        <f>P8*AI18</f>
        <v>18249</v>
      </c>
      <c r="Q19" s="520">
        <f>Q8*AJ18</f>
        <v>17061.153094567864</v>
      </c>
      <c r="R19" s="360"/>
      <c r="S19" s="360"/>
      <c r="T19" s="355" t="s">
        <v>125</v>
      </c>
      <c r="U19" s="375">
        <f>B18/B7</f>
        <v>1</v>
      </c>
      <c r="V19" s="375">
        <f t="shared" ref="V19:AH19" si="11">C18/C7</f>
        <v>1</v>
      </c>
      <c r="W19" s="375">
        <f t="shared" si="11"/>
        <v>0.97256177786283282</v>
      </c>
      <c r="X19" s="375">
        <f t="shared" si="11"/>
        <v>1.8635255889520714</v>
      </c>
      <c r="Y19" s="375">
        <f t="shared" si="11"/>
        <v>0.97476388858594887</v>
      </c>
      <c r="Z19" s="375">
        <f t="shared" si="11"/>
        <v>0.99609570964294281</v>
      </c>
      <c r="AA19" s="375">
        <f t="shared" si="11"/>
        <v>0.99184680813556336</v>
      </c>
      <c r="AB19" s="375">
        <f t="shared" si="11"/>
        <v>0.96674192739131992</v>
      </c>
      <c r="AC19" s="375">
        <f t="shared" si="11"/>
        <v>0.97882851990144526</v>
      </c>
      <c r="AD19" s="375">
        <f t="shared" si="11"/>
        <v>0.98860125057784487</v>
      </c>
      <c r="AE19" s="375">
        <f t="shared" si="11"/>
        <v>0.99709062696988804</v>
      </c>
      <c r="AF19" s="375">
        <f t="shared" si="11"/>
        <v>1.0208905019031602</v>
      </c>
      <c r="AG19" s="375">
        <f t="shared" si="11"/>
        <v>0.91268739589117154</v>
      </c>
      <c r="AH19" s="375">
        <f t="shared" si="11"/>
        <v>1.0014473774898338</v>
      </c>
      <c r="AI19" s="377">
        <f t="shared" si="9"/>
        <v>1.0014473774898338</v>
      </c>
      <c r="AJ19" s="549">
        <f t="shared" si="10"/>
        <v>0.9938244317430196</v>
      </c>
      <c r="AK19" s="360"/>
      <c r="AL19" s="360"/>
      <c r="AM19" s="360"/>
      <c r="AN19" s="360"/>
      <c r="AO19" s="360"/>
      <c r="AP19" s="360"/>
      <c r="AQ19" s="360"/>
      <c r="AR19" s="360"/>
      <c r="AS19" s="360"/>
      <c r="AT19" s="360"/>
      <c r="AU19" s="360"/>
      <c r="AV19" s="360"/>
      <c r="AW19" s="360"/>
      <c r="AX19" s="360"/>
      <c r="AY19" s="360"/>
      <c r="AZ19" s="360"/>
      <c r="BA19" s="360"/>
      <c r="BB19" s="360"/>
      <c r="BC19" s="360"/>
      <c r="BD19" s="360"/>
      <c r="BE19" s="360"/>
      <c r="BF19" s="360"/>
      <c r="BG19" s="360"/>
      <c r="BH19" s="360"/>
      <c r="BI19" s="360"/>
      <c r="BJ19" s="360"/>
      <c r="BK19" s="360"/>
      <c r="BL19" s="360"/>
      <c r="BM19" s="360"/>
      <c r="BN19" s="360"/>
      <c r="BO19" s="360"/>
      <c r="BP19" s="360"/>
      <c r="BQ19" s="360"/>
      <c r="BR19" s="360"/>
      <c r="BS19" s="360"/>
      <c r="BT19" s="360"/>
    </row>
    <row r="20" spans="1:72" ht="26.25" thickBot="1" x14ac:dyDescent="0.75">
      <c r="A20" s="543" t="s">
        <v>182</v>
      </c>
      <c r="B20" s="520">
        <v>28489</v>
      </c>
      <c r="C20" s="520">
        <v>41322</v>
      </c>
      <c r="D20" s="520">
        <v>52681</v>
      </c>
      <c r="E20" s="520">
        <v>17139</v>
      </c>
      <c r="F20" s="520">
        <v>49821</v>
      </c>
      <c r="G20" s="520">
        <v>63948</v>
      </c>
      <c r="H20" s="520">
        <v>65050</v>
      </c>
      <c r="I20" s="520">
        <v>6337</v>
      </c>
      <c r="J20" s="520">
        <v>58395</v>
      </c>
      <c r="K20" s="520">
        <v>63892</v>
      </c>
      <c r="L20" s="520">
        <v>78198</v>
      </c>
      <c r="M20" s="520">
        <v>16296</v>
      </c>
      <c r="N20" s="520">
        <v>39565</v>
      </c>
      <c r="O20" s="520">
        <v>64111</v>
      </c>
      <c r="P20" s="520">
        <f>P9*AI17</f>
        <v>64111.000000000007</v>
      </c>
      <c r="Q20" s="520">
        <f>Q9*AJ17</f>
        <v>58851.434649833522</v>
      </c>
      <c r="R20" s="360"/>
      <c r="S20" s="360"/>
      <c r="T20" s="97" t="s">
        <v>86</v>
      </c>
      <c r="U20" s="550">
        <f>B17/B6</f>
        <v>0.82346538963865912</v>
      </c>
      <c r="V20" s="550">
        <f t="shared" ref="V20:AH20" si="12">C17/C6</f>
        <v>0.58547925608011442</v>
      </c>
      <c r="W20" s="550">
        <f t="shared" si="12"/>
        <v>0.10779220779220779</v>
      </c>
      <c r="X20" s="550">
        <f t="shared" si="12"/>
        <v>0.10901080159181353</v>
      </c>
      <c r="Y20" s="550">
        <f t="shared" si="12"/>
        <v>6.2075370252700525E-3</v>
      </c>
      <c r="Z20" s="550">
        <f t="shared" si="12"/>
        <v>6.6289451827242524E-2</v>
      </c>
      <c r="AA20" s="550">
        <f t="shared" si="12"/>
        <v>6.1806501849328401E-3</v>
      </c>
      <c r="AB20" s="550">
        <f t="shared" si="12"/>
        <v>0.15484633569739953</v>
      </c>
      <c r="AC20" s="550">
        <f t="shared" si="12"/>
        <v>0.35071739875618235</v>
      </c>
      <c r="AD20" s="550">
        <f t="shared" si="12"/>
        <v>0.42458185697413037</v>
      </c>
      <c r="AE20" s="550">
        <f t="shared" si="12"/>
        <v>0.40922772126338247</v>
      </c>
      <c r="AF20" s="550">
        <f t="shared" si="12"/>
        <v>0.37538677918424757</v>
      </c>
      <c r="AG20" s="550">
        <f t="shared" si="12"/>
        <v>0.20813640178453111</v>
      </c>
      <c r="AH20" s="550">
        <f t="shared" si="12"/>
        <v>0.21242104333230266</v>
      </c>
      <c r="AI20" s="551">
        <f t="shared" si="9"/>
        <v>0.21242104333230266</v>
      </c>
      <c r="AJ20" s="552">
        <f t="shared" si="10"/>
        <v>0.35742771138193324</v>
      </c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0"/>
      <c r="BM20" s="360"/>
      <c r="BN20" s="360"/>
      <c r="BO20" s="360"/>
      <c r="BP20" s="360"/>
      <c r="BQ20" s="360"/>
      <c r="BR20" s="360"/>
      <c r="BS20" s="360"/>
      <c r="BT20" s="360"/>
    </row>
    <row r="21" spans="1:72" x14ac:dyDescent="0.6">
      <c r="A21" s="543" t="s">
        <v>183</v>
      </c>
      <c r="B21" s="520"/>
      <c r="C21" s="520"/>
      <c r="D21" s="520"/>
      <c r="E21" s="520"/>
      <c r="F21" s="520"/>
      <c r="G21" s="520">
        <v>0</v>
      </c>
      <c r="H21" s="520">
        <v>8050</v>
      </c>
      <c r="I21" s="520">
        <v>0</v>
      </c>
      <c r="J21" s="520">
        <v>17734</v>
      </c>
      <c r="K21" s="520">
        <v>22581</v>
      </c>
      <c r="L21" s="520">
        <v>22581</v>
      </c>
      <c r="M21" s="520">
        <v>0</v>
      </c>
      <c r="N21" s="520">
        <v>0</v>
      </c>
      <c r="O21" s="520">
        <v>9212</v>
      </c>
      <c r="P21" s="520">
        <f t="shared" ref="P21:Q22" si="13">O21</f>
        <v>9212</v>
      </c>
      <c r="Q21" s="520">
        <f t="shared" si="13"/>
        <v>9212</v>
      </c>
      <c r="R21" s="360"/>
      <c r="S21" s="360"/>
      <c r="T21" s="360"/>
      <c r="U21" s="360"/>
      <c r="V21" s="371"/>
      <c r="W21" s="371"/>
      <c r="X21" s="360"/>
      <c r="Y21" s="371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  <c r="BO21" s="360"/>
      <c r="BP21" s="360"/>
      <c r="BQ21" s="360"/>
      <c r="BR21" s="360"/>
      <c r="BS21" s="360"/>
      <c r="BT21" s="360"/>
    </row>
    <row r="22" spans="1:72" x14ac:dyDescent="0.6">
      <c r="A22" s="353" t="s">
        <v>184</v>
      </c>
      <c r="B22" s="520"/>
      <c r="C22" s="520"/>
      <c r="D22" s="520"/>
      <c r="E22" s="520"/>
      <c r="F22" s="520"/>
      <c r="G22" s="520"/>
      <c r="H22" s="520">
        <v>0</v>
      </c>
      <c r="I22" s="520">
        <v>0</v>
      </c>
      <c r="J22" s="520">
        <v>50</v>
      </c>
      <c r="K22" s="520">
        <v>350</v>
      </c>
      <c r="L22" s="520">
        <v>2598</v>
      </c>
      <c r="M22" s="520">
        <v>3222</v>
      </c>
      <c r="N22" s="520">
        <v>3222</v>
      </c>
      <c r="O22" s="520">
        <v>3222</v>
      </c>
      <c r="P22" s="520">
        <f t="shared" si="13"/>
        <v>3222</v>
      </c>
      <c r="Q22" s="520">
        <f t="shared" si="13"/>
        <v>3222</v>
      </c>
      <c r="R22" s="364"/>
      <c r="S22" s="365"/>
      <c r="T22" s="366"/>
      <c r="U22" s="360"/>
      <c r="V22" s="366"/>
      <c r="W22" s="365"/>
      <c r="X22" s="364"/>
      <c r="Y22" s="365"/>
      <c r="Z22" s="366"/>
      <c r="AA22" s="364"/>
      <c r="AB22" s="365"/>
      <c r="AC22" s="360"/>
      <c r="AD22" s="360"/>
      <c r="AE22" s="360"/>
      <c r="AF22" s="360"/>
      <c r="AG22" s="360"/>
      <c r="AH22" s="360"/>
      <c r="AI22" s="360"/>
      <c r="AJ22" s="360"/>
      <c r="AK22" s="360"/>
      <c r="AL22" s="360"/>
      <c r="AM22" s="360"/>
      <c r="AN22" s="360"/>
      <c r="AO22" s="360"/>
      <c r="AP22" s="360"/>
      <c r="AQ22" s="360"/>
      <c r="AR22" s="360"/>
      <c r="AS22" s="360"/>
      <c r="AT22" s="360"/>
      <c r="AU22" s="360"/>
      <c r="AV22" s="360"/>
      <c r="AW22" s="360"/>
      <c r="AX22" s="360"/>
      <c r="AY22" s="360"/>
      <c r="AZ22" s="360"/>
      <c r="BA22" s="360"/>
      <c r="BB22" s="360"/>
      <c r="BC22" s="360"/>
      <c r="BD22" s="360"/>
      <c r="BE22" s="360"/>
      <c r="BF22" s="360"/>
      <c r="BG22" s="360"/>
      <c r="BH22" s="360"/>
      <c r="BI22" s="360"/>
      <c r="BJ22" s="360"/>
      <c r="BK22" s="360"/>
      <c r="BL22" s="360"/>
      <c r="BM22" s="360"/>
      <c r="BN22" s="360"/>
      <c r="BO22" s="360"/>
      <c r="BP22" s="360"/>
      <c r="BQ22" s="360"/>
      <c r="BR22" s="360"/>
      <c r="BS22" s="360"/>
      <c r="BT22" s="360"/>
    </row>
    <row r="23" spans="1:72" x14ac:dyDescent="0.6">
      <c r="A23" s="353"/>
      <c r="B23" s="520"/>
      <c r="C23" s="520"/>
      <c r="D23" s="520"/>
      <c r="E23" s="520"/>
      <c r="F23" s="520"/>
      <c r="G23" s="520"/>
      <c r="H23" s="520"/>
      <c r="I23" s="520"/>
      <c r="J23" s="520"/>
      <c r="K23" s="520"/>
      <c r="L23" s="520"/>
      <c r="M23" s="520"/>
      <c r="N23" s="520"/>
      <c r="O23" s="520"/>
      <c r="P23" s="520"/>
      <c r="Q23" s="520"/>
      <c r="R23" s="364"/>
      <c r="S23" s="365"/>
      <c r="T23" s="366"/>
      <c r="U23" s="360"/>
      <c r="V23" s="366"/>
      <c r="W23" s="365"/>
      <c r="X23" s="364"/>
      <c r="Y23" s="365"/>
      <c r="Z23" s="365"/>
      <c r="AA23" s="364"/>
      <c r="AB23" s="365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0"/>
      <c r="BC23" s="360"/>
      <c r="BD23" s="360"/>
      <c r="BE23" s="360"/>
      <c r="BF23" s="360"/>
      <c r="BG23" s="360"/>
      <c r="BH23" s="360"/>
      <c r="BI23" s="360"/>
      <c r="BJ23" s="360"/>
      <c r="BK23" s="360"/>
      <c r="BL23" s="360"/>
      <c r="BM23" s="360"/>
      <c r="BN23" s="360"/>
      <c r="BO23" s="360"/>
      <c r="BP23" s="360"/>
      <c r="BQ23" s="360"/>
      <c r="BR23" s="360"/>
      <c r="BS23" s="360"/>
      <c r="BT23" s="360"/>
    </row>
    <row r="24" spans="1:72" x14ac:dyDescent="0.6">
      <c r="A24" s="36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6"/>
      <c r="O24" s="364"/>
      <c r="P24" s="365"/>
      <c r="Q24" s="365"/>
      <c r="R24" s="364"/>
      <c r="S24" s="365"/>
      <c r="T24" s="366"/>
      <c r="U24" s="360"/>
      <c r="V24" s="366"/>
      <c r="W24" s="365"/>
      <c r="X24" s="364"/>
      <c r="Y24" s="365"/>
      <c r="Z24" s="365"/>
      <c r="AA24" s="364"/>
      <c r="AB24" s="365"/>
      <c r="AC24" s="360"/>
      <c r="AD24" s="360"/>
      <c r="AE24" s="360"/>
      <c r="AF24" s="360"/>
      <c r="AG24" s="360"/>
      <c r="AH24" s="360"/>
      <c r="AI24" s="360"/>
      <c r="AJ24" s="360"/>
      <c r="AK24" s="360"/>
      <c r="AL24" s="360"/>
      <c r="AM24" s="360"/>
      <c r="AN24" s="360"/>
      <c r="AO24" s="360"/>
      <c r="AP24" s="360"/>
      <c r="AQ24" s="360"/>
      <c r="AR24" s="360"/>
      <c r="AS24" s="360"/>
      <c r="AT24" s="360"/>
      <c r="AU24" s="360"/>
      <c r="AV24" s="360"/>
      <c r="AW24" s="360"/>
      <c r="AX24" s="360"/>
      <c r="AY24" s="360"/>
      <c r="AZ24" s="360"/>
      <c r="BA24" s="360"/>
      <c r="BB24" s="360"/>
      <c r="BC24" s="360"/>
      <c r="BD24" s="360"/>
      <c r="BE24" s="360"/>
      <c r="BF24" s="360"/>
      <c r="BG24" s="360"/>
      <c r="BH24" s="360"/>
      <c r="BI24" s="360"/>
      <c r="BJ24" s="360"/>
      <c r="BK24" s="360"/>
      <c r="BL24" s="360"/>
      <c r="BM24" s="360"/>
      <c r="BN24" s="360"/>
      <c r="BO24" s="360"/>
      <c r="BP24" s="360"/>
      <c r="BQ24" s="360"/>
      <c r="BR24" s="360"/>
      <c r="BS24" s="360"/>
      <c r="BT24" s="360"/>
    </row>
    <row r="25" spans="1:72" ht="23.25" thickBot="1" x14ac:dyDescent="0.65">
      <c r="A25" s="360"/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6"/>
      <c r="O25" s="364"/>
      <c r="P25" s="365"/>
      <c r="Q25" s="365"/>
      <c r="R25" s="364"/>
      <c r="S25" s="365"/>
      <c r="T25" s="366"/>
      <c r="U25" s="360"/>
      <c r="V25" s="366"/>
      <c r="W25" s="365"/>
      <c r="X25" s="364"/>
      <c r="Y25" s="365"/>
      <c r="Z25" s="365"/>
      <c r="AA25" s="364"/>
      <c r="AB25" s="365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360"/>
      <c r="BG25" s="360"/>
      <c r="BH25" s="360"/>
      <c r="BI25" s="360"/>
      <c r="BJ25" s="360"/>
      <c r="BK25" s="360"/>
      <c r="BL25" s="360"/>
      <c r="BM25" s="360"/>
      <c r="BN25" s="360"/>
      <c r="BO25" s="360"/>
      <c r="BP25" s="360"/>
      <c r="BQ25" s="360"/>
      <c r="BR25" s="360"/>
      <c r="BS25" s="360"/>
      <c r="BT25" s="360"/>
    </row>
    <row r="26" spans="1:72" x14ac:dyDescent="0.6">
      <c r="A26" s="415"/>
      <c r="B26" s="350" t="s">
        <v>175</v>
      </c>
      <c r="C26" s="350" t="s">
        <v>174</v>
      </c>
      <c r="D26" s="350" t="s">
        <v>173</v>
      </c>
      <c r="E26" s="350" t="s">
        <v>172</v>
      </c>
      <c r="F26" s="350" t="s">
        <v>171</v>
      </c>
      <c r="G26" s="350" t="s">
        <v>170</v>
      </c>
      <c r="H26" s="350" t="s">
        <v>169</v>
      </c>
      <c r="I26" s="350" t="s">
        <v>168</v>
      </c>
      <c r="J26" s="350" t="s">
        <v>167</v>
      </c>
      <c r="K26" s="350" t="s">
        <v>166</v>
      </c>
      <c r="L26" s="350" t="s">
        <v>165</v>
      </c>
      <c r="M26" s="350" t="s">
        <v>164</v>
      </c>
      <c r="N26" s="350" t="s">
        <v>163</v>
      </c>
      <c r="O26" s="350" t="s">
        <v>162</v>
      </c>
      <c r="P26" s="350" t="s">
        <v>146</v>
      </c>
      <c r="Q26" s="351" t="s">
        <v>161</v>
      </c>
      <c r="R26" s="364"/>
      <c r="S26" s="365"/>
      <c r="T26" s="366"/>
      <c r="U26" s="360"/>
      <c r="V26" s="366"/>
      <c r="W26" s="365"/>
      <c r="X26" s="364"/>
      <c r="Y26" s="365"/>
      <c r="Z26" s="366"/>
      <c r="AA26" s="360"/>
      <c r="AB26" s="366"/>
      <c r="AC26" s="360"/>
      <c r="AD26" s="360"/>
      <c r="AE26" s="360"/>
      <c r="AF26" s="360"/>
      <c r="AG26" s="360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  <c r="BB26" s="360"/>
      <c r="BC26" s="360"/>
      <c r="BD26" s="360"/>
      <c r="BE26" s="360"/>
      <c r="BF26" s="360"/>
      <c r="BG26" s="360"/>
      <c r="BH26" s="360"/>
      <c r="BI26" s="360"/>
      <c r="BJ26" s="360"/>
      <c r="BK26" s="360"/>
      <c r="BL26" s="360"/>
      <c r="BM26" s="360"/>
      <c r="BN26" s="360"/>
      <c r="BO26" s="360"/>
      <c r="BP26" s="360"/>
      <c r="BQ26" s="360"/>
      <c r="BR26" s="360"/>
      <c r="BS26" s="360"/>
      <c r="BT26" s="360"/>
    </row>
    <row r="27" spans="1:72" x14ac:dyDescent="0.6">
      <c r="A27" s="427" t="s">
        <v>99</v>
      </c>
      <c r="B27" s="352" t="s">
        <v>97</v>
      </c>
      <c r="C27" s="352" t="s">
        <v>96</v>
      </c>
      <c r="D27" s="353" t="s">
        <v>62</v>
      </c>
      <c r="E27" s="353" t="s">
        <v>107</v>
      </c>
      <c r="F27" s="353" t="s">
        <v>108</v>
      </c>
      <c r="G27" s="353" t="s">
        <v>109</v>
      </c>
      <c r="H27" s="353" t="s">
        <v>40</v>
      </c>
      <c r="I27" s="353" t="s">
        <v>55</v>
      </c>
      <c r="J27" s="353" t="s">
        <v>95</v>
      </c>
      <c r="K27" s="353" t="s">
        <v>94</v>
      </c>
      <c r="L27" s="353" t="s">
        <v>39</v>
      </c>
      <c r="M27" s="353" t="s">
        <v>54</v>
      </c>
      <c r="N27" s="352" t="s">
        <v>148</v>
      </c>
      <c r="O27" s="353" t="s">
        <v>149</v>
      </c>
      <c r="P27" s="353" t="s">
        <v>160</v>
      </c>
      <c r="Q27" s="354" t="s">
        <v>159</v>
      </c>
      <c r="R27" s="364"/>
      <c r="S27" s="365"/>
      <c r="T27" s="365"/>
      <c r="U27" s="364"/>
      <c r="V27" s="365"/>
      <c r="W27" s="365"/>
      <c r="X27" s="364"/>
      <c r="Y27" s="365"/>
      <c r="Z27" s="365"/>
      <c r="AA27" s="364"/>
      <c r="AB27" s="365"/>
      <c r="AC27" s="365"/>
      <c r="AD27" s="365"/>
      <c r="AE27" s="365"/>
      <c r="AF27" s="365"/>
      <c r="AG27" s="360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0"/>
      <c r="AU27" s="360"/>
      <c r="AV27" s="360"/>
      <c r="AW27" s="360"/>
      <c r="AX27" s="360"/>
      <c r="AY27" s="360"/>
      <c r="AZ27" s="360"/>
      <c r="BA27" s="360"/>
      <c r="BB27" s="360"/>
      <c r="BC27" s="360"/>
      <c r="BD27" s="360"/>
      <c r="BE27" s="360"/>
      <c r="BF27" s="360"/>
      <c r="BG27" s="360"/>
      <c r="BH27" s="360"/>
      <c r="BI27" s="360"/>
      <c r="BJ27" s="360"/>
      <c r="BK27" s="360"/>
      <c r="BL27" s="360"/>
      <c r="BM27" s="360"/>
      <c r="BN27" s="360"/>
      <c r="BO27" s="360"/>
      <c r="BP27" s="360"/>
      <c r="BQ27" s="360"/>
      <c r="BR27" s="360"/>
      <c r="BS27" s="360"/>
      <c r="BT27" s="360"/>
    </row>
    <row r="28" spans="1:72" x14ac:dyDescent="0.6">
      <c r="A28" s="540" t="s">
        <v>86</v>
      </c>
      <c r="B28" s="520">
        <v>49777</v>
      </c>
      <c r="C28" s="520">
        <v>28168</v>
      </c>
      <c r="D28" s="520">
        <v>7699</v>
      </c>
      <c r="E28" s="520">
        <v>2507</v>
      </c>
      <c r="F28" s="520">
        <v>3921</v>
      </c>
      <c r="G28" s="520">
        <v>66057</v>
      </c>
      <c r="H28" s="520">
        <v>2140</v>
      </c>
      <c r="I28" s="520">
        <v>3661</v>
      </c>
      <c r="J28" s="520">
        <v>20556</v>
      </c>
      <c r="K28" s="520">
        <v>28700</v>
      </c>
      <c r="L28" s="520">
        <v>26653</v>
      </c>
      <c r="M28" s="520">
        <v>6575</v>
      </c>
      <c r="N28" s="520">
        <v>12454</v>
      </c>
      <c r="O28" s="520">
        <v>31243</v>
      </c>
      <c r="P28" s="520">
        <f>P17*P39/1000000</f>
        <v>31243</v>
      </c>
      <c r="Q28" s="538">
        <f>Q39*Q17/1000000</f>
        <v>90659.727830349366</v>
      </c>
      <c r="R28" s="364"/>
      <c r="S28" s="366"/>
      <c r="T28" s="366"/>
      <c r="U28" s="360"/>
      <c r="V28" s="366"/>
      <c r="W28" s="366"/>
      <c r="X28" s="364"/>
      <c r="Y28" s="366"/>
      <c r="Z28" s="366"/>
      <c r="AA28" s="360"/>
      <c r="AB28" s="366"/>
      <c r="AC28" s="365"/>
      <c r="AD28" s="365"/>
      <c r="AE28" s="365"/>
      <c r="AF28" s="365"/>
      <c r="AG28" s="360"/>
      <c r="AH28" s="360"/>
      <c r="AI28" s="360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0"/>
      <c r="AV28" s="360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0"/>
      <c r="BH28" s="360"/>
      <c r="BI28" s="360"/>
      <c r="BJ28" s="360"/>
      <c r="BK28" s="360"/>
      <c r="BL28" s="360"/>
      <c r="BM28" s="360"/>
      <c r="BN28" s="360"/>
      <c r="BO28" s="360"/>
      <c r="BP28" s="360"/>
      <c r="BQ28" s="360"/>
      <c r="BR28" s="360"/>
      <c r="BS28" s="360"/>
      <c r="BT28" s="360"/>
    </row>
    <row r="29" spans="1:72" x14ac:dyDescent="0.6">
      <c r="A29" s="540" t="s">
        <v>125</v>
      </c>
      <c r="B29" s="520">
        <v>17994</v>
      </c>
      <c r="C29" s="520">
        <v>29128</v>
      </c>
      <c r="D29" s="520">
        <v>26961</v>
      </c>
      <c r="E29" s="520">
        <v>10694</v>
      </c>
      <c r="F29" s="520">
        <v>34567</v>
      </c>
      <c r="G29" s="520">
        <v>43965</v>
      </c>
      <c r="H29" s="520">
        <v>35591</v>
      </c>
      <c r="I29" s="520">
        <v>19941</v>
      </c>
      <c r="J29" s="520">
        <v>62315</v>
      </c>
      <c r="K29" s="520">
        <v>68644</v>
      </c>
      <c r="L29" s="520">
        <v>70820</v>
      </c>
      <c r="M29" s="520">
        <v>14474</v>
      </c>
      <c r="N29" s="520">
        <v>44854</v>
      </c>
      <c r="O29" s="520">
        <v>57558</v>
      </c>
      <c r="P29" s="520">
        <f t="shared" ref="P29:P33" si="14">P18*P40/1000000</f>
        <v>57557.999999999993</v>
      </c>
      <c r="Q29" s="538">
        <f t="shared" ref="Q29:Q33" si="15">Q40*Q18/1000000</f>
        <v>58705.2386885468</v>
      </c>
      <c r="R29" s="360"/>
      <c r="S29" s="360"/>
      <c r="T29" s="360"/>
      <c r="U29" s="360"/>
      <c r="V29" s="371"/>
      <c r="W29" s="371"/>
      <c r="X29" s="360"/>
      <c r="Y29" s="371"/>
      <c r="Z29" s="360"/>
      <c r="AA29" s="360"/>
      <c r="AB29" s="360"/>
      <c r="AC29" s="365"/>
      <c r="AD29" s="365"/>
      <c r="AE29" s="365"/>
      <c r="AF29" s="365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360"/>
      <c r="AT29" s="360"/>
      <c r="AU29" s="360"/>
      <c r="AV29" s="360"/>
      <c r="AW29" s="360"/>
      <c r="AX29" s="360"/>
      <c r="AY29" s="360"/>
      <c r="AZ29" s="360"/>
      <c r="BA29" s="360"/>
      <c r="BB29" s="360"/>
      <c r="BC29" s="360"/>
      <c r="BD29" s="360"/>
      <c r="BE29" s="360"/>
      <c r="BF29" s="360"/>
      <c r="BG29" s="360"/>
      <c r="BH29" s="360"/>
      <c r="BI29" s="360"/>
      <c r="BJ29" s="360"/>
      <c r="BK29" s="360"/>
      <c r="BL29" s="360"/>
      <c r="BM29" s="360"/>
      <c r="BN29" s="360"/>
      <c r="BO29" s="360"/>
      <c r="BP29" s="360"/>
      <c r="BQ29" s="360"/>
      <c r="BR29" s="360"/>
      <c r="BS29" s="360"/>
      <c r="BT29" s="360"/>
    </row>
    <row r="30" spans="1:72" x14ac:dyDescent="0.6">
      <c r="A30" s="540" t="s">
        <v>89</v>
      </c>
      <c r="B30" s="520">
        <v>21068</v>
      </c>
      <c r="C30" s="520">
        <v>68017</v>
      </c>
      <c r="D30" s="520">
        <v>38877</v>
      </c>
      <c r="E30" s="520">
        <v>27621</v>
      </c>
      <c r="F30" s="520">
        <v>39914</v>
      </c>
      <c r="G30" s="520">
        <v>4821</v>
      </c>
      <c r="H30" s="520">
        <v>70870</v>
      </c>
      <c r="I30" s="520">
        <v>44118</v>
      </c>
      <c r="J30" s="520">
        <v>114791</v>
      </c>
      <c r="K30" s="520">
        <v>125132</v>
      </c>
      <c r="L30" s="520">
        <v>129614</v>
      </c>
      <c r="M30" s="520">
        <v>35394</v>
      </c>
      <c r="N30" s="520">
        <v>118262</v>
      </c>
      <c r="O30" s="520">
        <v>135222</v>
      </c>
      <c r="P30" s="520">
        <f t="shared" si="14"/>
        <v>135222</v>
      </c>
      <c r="Q30" s="538">
        <f t="shared" si="15"/>
        <v>129736.23265823757</v>
      </c>
      <c r="R30" s="360"/>
      <c r="S30" s="365"/>
      <c r="T30" s="360"/>
      <c r="U30" s="360"/>
      <c r="V30" s="365"/>
      <c r="W30" s="371"/>
      <c r="X30" s="360"/>
      <c r="Y30" s="365"/>
      <c r="Z30" s="360"/>
      <c r="AA30" s="360"/>
      <c r="AB30" s="365"/>
      <c r="AC30" s="371"/>
      <c r="AD30" s="371"/>
      <c r="AE30" s="371"/>
      <c r="AF30" s="371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0"/>
      <c r="AW30" s="360"/>
      <c r="AX30" s="360"/>
      <c r="AY30" s="360"/>
      <c r="AZ30" s="360"/>
      <c r="BA30" s="360"/>
      <c r="BB30" s="360"/>
      <c r="BC30" s="360"/>
      <c r="BD30" s="360"/>
      <c r="BE30" s="360"/>
      <c r="BF30" s="360"/>
      <c r="BG30" s="360"/>
      <c r="BH30" s="360"/>
      <c r="BI30" s="360"/>
      <c r="BJ30" s="360"/>
      <c r="BK30" s="360"/>
      <c r="BL30" s="360"/>
      <c r="BM30" s="360"/>
      <c r="BN30" s="360"/>
      <c r="BO30" s="360"/>
      <c r="BP30" s="360"/>
      <c r="BQ30" s="360"/>
      <c r="BR30" s="360"/>
      <c r="BS30" s="360"/>
      <c r="BT30" s="360"/>
    </row>
    <row r="31" spans="1:72" x14ac:dyDescent="0.6">
      <c r="A31" s="541" t="s">
        <v>182</v>
      </c>
      <c r="B31" s="520">
        <v>510260</v>
      </c>
      <c r="C31" s="520">
        <v>916302</v>
      </c>
      <c r="D31" s="520">
        <v>1193610</v>
      </c>
      <c r="E31" s="520">
        <v>444720</v>
      </c>
      <c r="F31" s="520">
        <v>1253483</v>
      </c>
      <c r="G31" s="520">
        <v>0</v>
      </c>
      <c r="H31" s="520">
        <v>1637394</v>
      </c>
      <c r="I31" s="520">
        <v>164263</v>
      </c>
      <c r="J31" s="520">
        <v>1511751</v>
      </c>
      <c r="K31" s="520">
        <v>1684033</v>
      </c>
      <c r="L31" s="520">
        <v>2076199</v>
      </c>
      <c r="M31" s="520">
        <v>483348</v>
      </c>
      <c r="N31" s="520">
        <v>1181419</v>
      </c>
      <c r="O31" s="520">
        <v>1901796</v>
      </c>
      <c r="P31" s="520">
        <f t="shared" si="14"/>
        <v>1901796.0000000002</v>
      </c>
      <c r="Q31" s="538">
        <f t="shared" si="15"/>
        <v>2383483.1033182577</v>
      </c>
      <c r="R31" s="360"/>
      <c r="S31" s="360"/>
      <c r="T31" s="360"/>
      <c r="U31" s="360"/>
      <c r="V31" s="371"/>
      <c r="W31" s="371"/>
      <c r="X31" s="360"/>
      <c r="Y31" s="371"/>
      <c r="Z31" s="360"/>
      <c r="AA31" s="360"/>
      <c r="AB31" s="360"/>
      <c r="AC31" s="371"/>
      <c r="AD31" s="371"/>
      <c r="AE31" s="371"/>
      <c r="AF31" s="371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0"/>
      <c r="BK31" s="360"/>
      <c r="BL31" s="360"/>
      <c r="BM31" s="360"/>
      <c r="BN31" s="360"/>
      <c r="BO31" s="360"/>
      <c r="BP31" s="360"/>
      <c r="BQ31" s="360"/>
      <c r="BR31" s="360"/>
      <c r="BS31" s="360"/>
      <c r="BT31" s="360"/>
    </row>
    <row r="32" spans="1:72" x14ac:dyDescent="0.6">
      <c r="A32" s="541" t="s">
        <v>183</v>
      </c>
      <c r="B32" s="520"/>
      <c r="C32" s="520"/>
      <c r="D32" s="520"/>
      <c r="E32" s="520"/>
      <c r="F32" s="520"/>
      <c r="G32" s="520">
        <v>0</v>
      </c>
      <c r="H32" s="520">
        <v>9987</v>
      </c>
      <c r="I32" s="520">
        <v>0</v>
      </c>
      <c r="J32" s="520">
        <v>23054</v>
      </c>
      <c r="K32" s="520">
        <v>29356</v>
      </c>
      <c r="L32" s="520">
        <v>29356</v>
      </c>
      <c r="M32" s="520">
        <v>0</v>
      </c>
      <c r="N32" s="520">
        <v>0</v>
      </c>
      <c r="O32" s="520">
        <v>18340</v>
      </c>
      <c r="P32" s="520">
        <f t="shared" si="14"/>
        <v>18339.999999999996</v>
      </c>
      <c r="Q32" s="538">
        <f t="shared" si="15"/>
        <v>21653.637635403367</v>
      </c>
      <c r="R32" s="360"/>
      <c r="S32" s="360"/>
      <c r="T32" s="360"/>
      <c r="U32" s="360"/>
      <c r="V32" s="371"/>
      <c r="W32" s="371"/>
      <c r="X32" s="360"/>
      <c r="Y32" s="371"/>
      <c r="Z32" s="360"/>
      <c r="AA32" s="360"/>
      <c r="AB32" s="360"/>
      <c r="AC32" s="365"/>
      <c r="AD32" s="365"/>
      <c r="AE32" s="365"/>
      <c r="AF32" s="365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360"/>
      <c r="BM32" s="360"/>
      <c r="BN32" s="360"/>
      <c r="BO32" s="360"/>
      <c r="BP32" s="360"/>
      <c r="BQ32" s="360"/>
      <c r="BR32" s="360"/>
      <c r="BS32" s="360"/>
      <c r="BT32" s="360"/>
    </row>
    <row r="33" spans="1:72" x14ac:dyDescent="0.6">
      <c r="A33" s="523" t="s">
        <v>184</v>
      </c>
      <c r="B33" s="520"/>
      <c r="C33" s="520"/>
      <c r="D33" s="520"/>
      <c r="E33" s="520"/>
      <c r="F33" s="520"/>
      <c r="G33" s="520"/>
      <c r="H33" s="520">
        <v>0</v>
      </c>
      <c r="I33" s="520">
        <v>7593</v>
      </c>
      <c r="J33" s="520">
        <v>1010</v>
      </c>
      <c r="K33" s="520">
        <v>7593</v>
      </c>
      <c r="L33" s="520">
        <v>58538</v>
      </c>
      <c r="M33" s="520">
        <v>72495</v>
      </c>
      <c r="N33" s="520">
        <v>72495</v>
      </c>
      <c r="O33" s="520">
        <v>72495</v>
      </c>
      <c r="P33" s="520">
        <f t="shared" si="14"/>
        <v>72495</v>
      </c>
      <c r="Q33" s="538">
        <f t="shared" si="15"/>
        <v>104858.38899131244</v>
      </c>
      <c r="R33" s="360"/>
      <c r="S33" s="360"/>
      <c r="T33" s="360"/>
      <c r="U33" s="360"/>
      <c r="V33" s="371"/>
      <c r="W33" s="371"/>
      <c r="X33" s="360"/>
      <c r="Y33" s="371"/>
      <c r="Z33" s="360"/>
      <c r="AA33" s="360"/>
      <c r="AB33" s="360"/>
      <c r="AC33" s="365"/>
      <c r="AD33" s="365"/>
      <c r="AE33" s="365"/>
      <c r="AF33" s="365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0"/>
      <c r="AV33" s="360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360"/>
      <c r="BM33" s="360"/>
      <c r="BN33" s="360"/>
      <c r="BO33" s="360"/>
      <c r="BP33" s="360"/>
      <c r="BQ33" s="360"/>
      <c r="BR33" s="360"/>
      <c r="BS33" s="360"/>
      <c r="BT33" s="360"/>
    </row>
    <row r="34" spans="1:72" ht="23.25" thickBot="1" x14ac:dyDescent="0.65">
      <c r="A34" s="525"/>
      <c r="B34" s="535">
        <f t="shared" ref="B34:P34" si="16">SUM(B28:B33)</f>
        <v>599099</v>
      </c>
      <c r="C34" s="535">
        <f t="shared" si="16"/>
        <v>1041615</v>
      </c>
      <c r="D34" s="535">
        <f t="shared" si="16"/>
        <v>1267147</v>
      </c>
      <c r="E34" s="535">
        <f t="shared" si="16"/>
        <v>485542</v>
      </c>
      <c r="F34" s="535">
        <f t="shared" si="16"/>
        <v>1331885</v>
      </c>
      <c r="G34" s="535">
        <f t="shared" si="16"/>
        <v>114843</v>
      </c>
      <c r="H34" s="535">
        <f t="shared" si="16"/>
        <v>1755982</v>
      </c>
      <c r="I34" s="535">
        <f t="shared" si="16"/>
        <v>239576</v>
      </c>
      <c r="J34" s="535">
        <f t="shared" si="16"/>
        <v>1733477</v>
      </c>
      <c r="K34" s="535">
        <f t="shared" si="16"/>
        <v>1943458</v>
      </c>
      <c r="L34" s="535">
        <f t="shared" si="16"/>
        <v>2391180</v>
      </c>
      <c r="M34" s="535">
        <f t="shared" si="16"/>
        <v>612286</v>
      </c>
      <c r="N34" s="535">
        <f t="shared" si="16"/>
        <v>1429484</v>
      </c>
      <c r="O34" s="535">
        <f t="shared" si="16"/>
        <v>2216654</v>
      </c>
      <c r="P34" s="535">
        <f t="shared" si="16"/>
        <v>2216654</v>
      </c>
      <c r="Q34" s="535">
        <f>SUM(Q28:Q33)</f>
        <v>2789096.3291221075</v>
      </c>
      <c r="R34" s="360"/>
      <c r="S34" s="360"/>
      <c r="T34" s="360"/>
      <c r="U34" s="360"/>
      <c r="V34" s="371"/>
      <c r="W34" s="371"/>
      <c r="X34" s="522"/>
      <c r="Y34" s="371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0"/>
      <c r="BC34" s="360"/>
      <c r="BD34" s="360"/>
      <c r="BE34" s="360"/>
      <c r="BF34" s="360"/>
      <c r="BG34" s="360"/>
      <c r="BH34" s="360"/>
      <c r="BI34" s="360"/>
      <c r="BJ34" s="360"/>
      <c r="BK34" s="360"/>
      <c r="BL34" s="360"/>
      <c r="BM34" s="360"/>
      <c r="BN34" s="360"/>
      <c r="BO34" s="360"/>
      <c r="BP34" s="360"/>
      <c r="BQ34" s="360"/>
      <c r="BR34" s="360"/>
      <c r="BS34" s="360"/>
      <c r="BT34" s="360"/>
    </row>
    <row r="35" spans="1:72" x14ac:dyDescent="0.6">
      <c r="A35" s="360"/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71"/>
      <c r="W35" s="371"/>
      <c r="X35" s="522"/>
      <c r="Y35" s="371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360"/>
      <c r="BM35" s="360"/>
      <c r="BN35" s="360"/>
      <c r="BO35" s="360"/>
      <c r="BP35" s="360"/>
      <c r="BQ35" s="360"/>
      <c r="BR35" s="360"/>
      <c r="BS35" s="360"/>
      <c r="BT35" s="360"/>
    </row>
    <row r="36" spans="1:72" x14ac:dyDescent="0.6">
      <c r="A36" s="360"/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71"/>
      <c r="W36" s="371"/>
      <c r="X36" s="360"/>
      <c r="Y36" s="371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360"/>
      <c r="AO36" s="360"/>
      <c r="AP36" s="360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360"/>
      <c r="BM36" s="360"/>
      <c r="BN36" s="360"/>
      <c r="BO36" s="360"/>
      <c r="BP36" s="360"/>
      <c r="BQ36" s="360"/>
      <c r="BR36" s="360"/>
      <c r="BS36" s="360"/>
      <c r="BT36" s="360"/>
    </row>
    <row r="37" spans="1:72" x14ac:dyDescent="0.6">
      <c r="A37" s="353"/>
      <c r="B37" s="353" t="s">
        <v>175</v>
      </c>
      <c r="C37" s="353" t="s">
        <v>174</v>
      </c>
      <c r="D37" s="353" t="s">
        <v>173</v>
      </c>
      <c r="E37" s="353" t="s">
        <v>172</v>
      </c>
      <c r="F37" s="353" t="s">
        <v>171</v>
      </c>
      <c r="G37" s="353" t="s">
        <v>170</v>
      </c>
      <c r="H37" s="353" t="s">
        <v>169</v>
      </c>
      <c r="I37" s="353" t="s">
        <v>168</v>
      </c>
      <c r="J37" s="353" t="s">
        <v>167</v>
      </c>
      <c r="K37" s="353" t="s">
        <v>166</v>
      </c>
      <c r="L37" s="353" t="s">
        <v>165</v>
      </c>
      <c r="M37" s="353" t="s">
        <v>164</v>
      </c>
      <c r="N37" s="353" t="s">
        <v>163</v>
      </c>
      <c r="O37" s="353" t="s">
        <v>162</v>
      </c>
      <c r="P37" s="353" t="s">
        <v>146</v>
      </c>
      <c r="Q37" s="353" t="s">
        <v>161</v>
      </c>
      <c r="R37" s="360"/>
      <c r="S37" s="365"/>
      <c r="T37" s="353"/>
      <c r="U37" s="353" t="s">
        <v>175</v>
      </c>
      <c r="V37" s="353" t="s">
        <v>174</v>
      </c>
      <c r="W37" s="353" t="s">
        <v>173</v>
      </c>
      <c r="X37" s="353" t="s">
        <v>172</v>
      </c>
      <c r="Y37" s="353" t="s">
        <v>171</v>
      </c>
      <c r="Z37" s="353" t="s">
        <v>170</v>
      </c>
      <c r="AA37" s="353" t="s">
        <v>169</v>
      </c>
      <c r="AB37" s="353" t="s">
        <v>168</v>
      </c>
      <c r="AC37" s="353" t="s">
        <v>167</v>
      </c>
      <c r="AD37" s="353" t="s">
        <v>166</v>
      </c>
      <c r="AE37" s="353" t="s">
        <v>165</v>
      </c>
      <c r="AF37" s="353" t="s">
        <v>164</v>
      </c>
      <c r="AG37" s="353" t="s">
        <v>163</v>
      </c>
      <c r="AH37" s="353" t="s">
        <v>162</v>
      </c>
      <c r="AI37" s="353" t="s">
        <v>146</v>
      </c>
      <c r="AJ37" s="353" t="s">
        <v>161</v>
      </c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360"/>
      <c r="BE37" s="360"/>
      <c r="BF37" s="360"/>
      <c r="BG37" s="360"/>
      <c r="BH37" s="360"/>
      <c r="BI37" s="360"/>
      <c r="BJ37" s="360"/>
      <c r="BK37" s="360"/>
      <c r="BL37" s="360"/>
      <c r="BM37" s="360"/>
      <c r="BN37" s="360"/>
      <c r="BO37" s="360"/>
      <c r="BP37" s="360"/>
      <c r="BQ37" s="360"/>
      <c r="BR37" s="360"/>
      <c r="BS37" s="360"/>
      <c r="BT37" s="360"/>
    </row>
    <row r="38" spans="1:72" x14ac:dyDescent="0.6">
      <c r="A38" s="519" t="s">
        <v>98</v>
      </c>
      <c r="B38" s="352" t="s">
        <v>97</v>
      </c>
      <c r="C38" s="352" t="s">
        <v>96</v>
      </c>
      <c r="D38" s="353" t="s">
        <v>62</v>
      </c>
      <c r="E38" s="353" t="s">
        <v>107</v>
      </c>
      <c r="F38" s="353" t="s">
        <v>108</v>
      </c>
      <c r="G38" s="353" t="s">
        <v>109</v>
      </c>
      <c r="H38" s="353" t="s">
        <v>40</v>
      </c>
      <c r="I38" s="353" t="s">
        <v>55</v>
      </c>
      <c r="J38" s="353" t="s">
        <v>95</v>
      </c>
      <c r="K38" s="353" t="s">
        <v>94</v>
      </c>
      <c r="L38" s="353" t="s">
        <v>39</v>
      </c>
      <c r="M38" s="353" t="s">
        <v>54</v>
      </c>
      <c r="N38" s="352" t="s">
        <v>148</v>
      </c>
      <c r="O38" s="353" t="s">
        <v>149</v>
      </c>
      <c r="P38" s="353" t="s">
        <v>160</v>
      </c>
      <c r="Q38" s="353" t="s">
        <v>159</v>
      </c>
      <c r="R38" s="360"/>
      <c r="S38" s="365"/>
      <c r="T38" s="519" t="s">
        <v>98</v>
      </c>
      <c r="U38" s="352" t="s">
        <v>97</v>
      </c>
      <c r="V38" s="352" t="s">
        <v>96</v>
      </c>
      <c r="W38" s="353" t="s">
        <v>62</v>
      </c>
      <c r="X38" s="353" t="s">
        <v>107</v>
      </c>
      <c r="Y38" s="353" t="s">
        <v>108</v>
      </c>
      <c r="Z38" s="353" t="s">
        <v>109</v>
      </c>
      <c r="AA38" s="353" t="s">
        <v>40</v>
      </c>
      <c r="AB38" s="353" t="s">
        <v>55</v>
      </c>
      <c r="AC38" s="353" t="s">
        <v>95</v>
      </c>
      <c r="AD38" s="353" t="s">
        <v>94</v>
      </c>
      <c r="AE38" s="353" t="s">
        <v>39</v>
      </c>
      <c r="AF38" s="353" t="s">
        <v>54</v>
      </c>
      <c r="AG38" s="352" t="s">
        <v>148</v>
      </c>
      <c r="AH38" s="353" t="s">
        <v>149</v>
      </c>
      <c r="AI38" s="353" t="s">
        <v>160</v>
      </c>
      <c r="AJ38" s="353" t="s">
        <v>159</v>
      </c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  <c r="BL38" s="360"/>
      <c r="BM38" s="360"/>
      <c r="BN38" s="360"/>
      <c r="BO38" s="360"/>
      <c r="BP38" s="360"/>
      <c r="BQ38" s="360"/>
      <c r="BR38" s="360"/>
      <c r="BS38" s="360"/>
      <c r="BT38" s="360"/>
    </row>
    <row r="39" spans="1:72" x14ac:dyDescent="0.6">
      <c r="A39" s="542" t="s">
        <v>86</v>
      </c>
      <c r="B39" s="520">
        <f>B28*1000000/B17</f>
        <v>6579037.8006872851</v>
      </c>
      <c r="C39" s="520">
        <f t="shared" ref="C39:O39" si="17">C28*1000000/C17</f>
        <v>4301771.5332926083</v>
      </c>
      <c r="D39" s="520">
        <f t="shared" si="17"/>
        <v>4637951.8072289154</v>
      </c>
      <c r="E39" s="520">
        <f t="shared" si="17"/>
        <v>3268578.8787483703</v>
      </c>
      <c r="F39" s="520">
        <f t="shared" si="17"/>
        <v>30874015.748031497</v>
      </c>
      <c r="G39" s="520">
        <f t="shared" si="17"/>
        <v>51728269.381362565</v>
      </c>
      <c r="H39" s="520">
        <f t="shared" si="17"/>
        <v>16850393.700787403</v>
      </c>
      <c r="I39" s="520">
        <f t="shared" si="17"/>
        <v>3105173.8761662426</v>
      </c>
      <c r="J39" s="520">
        <f t="shared" si="17"/>
        <v>2870148.0033510192</v>
      </c>
      <c r="K39" s="520">
        <f t="shared" si="17"/>
        <v>2575376.8844221104</v>
      </c>
      <c r="L39" s="520">
        <f t="shared" si="17"/>
        <v>2481426.3103994043</v>
      </c>
      <c r="M39" s="520">
        <f t="shared" si="17"/>
        <v>2463469.4642188083</v>
      </c>
      <c r="N39" s="520">
        <f t="shared" si="17"/>
        <v>2643039.0492359931</v>
      </c>
      <c r="O39" s="520">
        <f t="shared" si="17"/>
        <v>6496776.8766895402</v>
      </c>
      <c r="P39" s="544">
        <f>$P$42*AI39</f>
        <v>6496776.8766895402</v>
      </c>
      <c r="Q39" s="544">
        <f>$Q$42*AJ39</f>
        <v>11798446.216213787</v>
      </c>
      <c r="R39" s="360"/>
      <c r="S39" s="366"/>
      <c r="T39" s="542" t="s">
        <v>86</v>
      </c>
      <c r="U39" s="375">
        <f>B39/$B$42</f>
        <v>0.36732294889620992</v>
      </c>
      <c r="V39" s="375">
        <f>C39/C42</f>
        <v>0.19399477824856559</v>
      </c>
      <c r="W39" s="375">
        <f t="shared" ref="W39:AH39" si="18">D39/D42</f>
        <v>0.20469997667297232</v>
      </c>
      <c r="X39" s="375">
        <f t="shared" si="18"/>
        <v>0.12596729043638316</v>
      </c>
      <c r="Y39" s="375">
        <f t="shared" si="18"/>
        <v>1.2271202230765612</v>
      </c>
      <c r="Z39" s="375"/>
      <c r="AA39" s="375">
        <f t="shared" si="18"/>
        <v>0.66942843948140796</v>
      </c>
      <c r="AB39" s="375">
        <f t="shared" si="18"/>
        <v>0.11979256955775482</v>
      </c>
      <c r="AC39" s="375">
        <f t="shared" si="18"/>
        <v>0.11086633490282644</v>
      </c>
      <c r="AD39" s="375">
        <f t="shared" si="18"/>
        <v>9.7709474754649986E-2</v>
      </c>
      <c r="AE39" s="375">
        <f t="shared" si="18"/>
        <v>9.3460489394616139E-2</v>
      </c>
      <c r="AF39" s="375">
        <f t="shared" si="18"/>
        <v>8.3055476362599412E-2</v>
      </c>
      <c r="AG39" s="375">
        <f t="shared" si="18"/>
        <v>8.8513761826263221E-2</v>
      </c>
      <c r="AH39" s="375">
        <f t="shared" si="18"/>
        <v>0.21901132526382594</v>
      </c>
      <c r="AI39" s="375">
        <f>AH39</f>
        <v>0.21901132526382594</v>
      </c>
      <c r="AJ39" s="375">
        <f>AVERAGE(AI39,AE39,AA39,V39:W39,U39)</f>
        <v>0.29131965965959966</v>
      </c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360"/>
      <c r="BE39" s="360"/>
      <c r="BF39" s="360"/>
      <c r="BG39" s="360"/>
      <c r="BH39" s="360"/>
      <c r="BI39" s="360"/>
      <c r="BJ39" s="360"/>
      <c r="BK39" s="360"/>
      <c r="BL39" s="360"/>
      <c r="BM39" s="360"/>
      <c r="BN39" s="360"/>
      <c r="BO39" s="360"/>
      <c r="BP39" s="360"/>
      <c r="BQ39" s="360"/>
      <c r="BR39" s="360"/>
      <c r="BS39" s="360"/>
      <c r="BT39" s="360"/>
    </row>
    <row r="40" spans="1:72" x14ac:dyDescent="0.6">
      <c r="A40" s="542" t="s">
        <v>125</v>
      </c>
      <c r="B40" s="520">
        <f t="shared" ref="B40:O40" si="19">B29*1000000/B18</f>
        <v>823410.97332174075</v>
      </c>
      <c r="C40" s="520">
        <f t="shared" si="19"/>
        <v>1312012.9723886312</v>
      </c>
      <c r="D40" s="520">
        <f t="shared" si="19"/>
        <v>663149.35064935067</v>
      </c>
      <c r="E40" s="520">
        <f t="shared" si="19"/>
        <v>4661726.2423714036</v>
      </c>
      <c r="F40" s="520">
        <f t="shared" si="19"/>
        <v>773484.00089505478</v>
      </c>
      <c r="G40" s="520">
        <f t="shared" si="19"/>
        <v>962709.11798195669</v>
      </c>
      <c r="H40" s="520">
        <f t="shared" si="19"/>
        <v>790717.82453178114</v>
      </c>
      <c r="I40" s="520">
        <f t="shared" si="19"/>
        <v>739240.03707136237</v>
      </c>
      <c r="J40" s="520">
        <f t="shared" si="19"/>
        <v>808540.17723916913</v>
      </c>
      <c r="K40" s="520">
        <f t="shared" si="19"/>
        <v>844693.2873930966</v>
      </c>
      <c r="L40" s="520">
        <f t="shared" si="19"/>
        <v>861012.49817633617</v>
      </c>
      <c r="M40" s="520">
        <f t="shared" si="19"/>
        <v>1255007.3701552069</v>
      </c>
      <c r="N40" s="520">
        <f t="shared" si="19"/>
        <v>1705475.2851711027</v>
      </c>
      <c r="O40" s="520">
        <f t="shared" si="19"/>
        <v>1980660.7019958706</v>
      </c>
      <c r="P40" s="544">
        <f>$P$42*AI40</f>
        <v>1980660.7019958706</v>
      </c>
      <c r="Q40" s="544">
        <f t="shared" ref="Q40:Q44" si="20">$Q$42*AJ40</f>
        <v>1788891.8559679296</v>
      </c>
      <c r="R40" s="360"/>
      <c r="S40" s="366"/>
      <c r="T40" s="542" t="s">
        <v>125</v>
      </c>
      <c r="U40" s="375">
        <f t="shared" ref="U40:U42" si="21">B40/$B$42</f>
        <v>4.5972945594330489E-2</v>
      </c>
      <c r="V40" s="375">
        <f>C40/C42</f>
        <v>5.9167174190433956E-2</v>
      </c>
      <c r="W40" s="375">
        <f t="shared" ref="W40:AH40" si="22">D40/D42</f>
        <v>2.9268664757800659E-2</v>
      </c>
      <c r="X40" s="375">
        <f t="shared" si="22"/>
        <v>0.17965759594352285</v>
      </c>
      <c r="Y40" s="375">
        <f t="shared" si="22"/>
        <v>3.0742935012754481E-2</v>
      </c>
      <c r="Z40" s="375"/>
      <c r="AA40" s="375">
        <f t="shared" si="22"/>
        <v>3.1413449961214202E-2</v>
      </c>
      <c r="AB40" s="375">
        <f t="shared" si="22"/>
        <v>2.8518681108473748E-2</v>
      </c>
      <c r="AC40" s="375">
        <f t="shared" si="22"/>
        <v>3.1231799185104745E-2</v>
      </c>
      <c r="AD40" s="375">
        <f t="shared" si="22"/>
        <v>3.204755697668616E-2</v>
      </c>
      <c r="AE40" s="375">
        <f t="shared" si="22"/>
        <v>3.2429191677865725E-2</v>
      </c>
      <c r="AF40" s="375">
        <f t="shared" si="22"/>
        <v>4.2312371426072415E-2</v>
      </c>
      <c r="AG40" s="375">
        <f t="shared" si="22"/>
        <v>5.711532458661548E-2</v>
      </c>
      <c r="AH40" s="375">
        <f t="shared" si="22"/>
        <v>6.6769589517307465E-2</v>
      </c>
      <c r="AI40" s="375">
        <f t="shared" ref="AI40:AI44" si="23">AH40</f>
        <v>6.6769589517307465E-2</v>
      </c>
      <c r="AJ40" s="375">
        <f t="shared" ref="AJ40:AJ44" si="24">AVERAGE(AI40,AE40,AA40,V40:W40,U40)</f>
        <v>4.4170169283158756E-2</v>
      </c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360"/>
      <c r="BE40" s="360"/>
      <c r="BF40" s="360"/>
      <c r="BG40" s="360"/>
      <c r="BH40" s="360"/>
      <c r="BI40" s="360"/>
      <c r="BJ40" s="360"/>
      <c r="BK40" s="360"/>
      <c r="BL40" s="360"/>
      <c r="BM40" s="360"/>
      <c r="BN40" s="360"/>
      <c r="BO40" s="360"/>
      <c r="BP40" s="360"/>
      <c r="BQ40" s="360"/>
      <c r="BR40" s="360"/>
      <c r="BS40" s="360"/>
      <c r="BT40" s="360"/>
    </row>
    <row r="41" spans="1:72" x14ac:dyDescent="0.6">
      <c r="A41" s="542" t="s">
        <v>89</v>
      </c>
      <c r="B41" s="520">
        <f t="shared" ref="B41:O41" si="25">B30*1000000/B19</f>
        <v>3059985.47567175</v>
      </c>
      <c r="C41" s="520">
        <f t="shared" si="25"/>
        <v>4789929.5774647892</v>
      </c>
      <c r="D41" s="520">
        <f t="shared" si="25"/>
        <v>3090627.2358693061</v>
      </c>
      <c r="E41" s="520">
        <f t="shared" si="25"/>
        <v>6462564.342536266</v>
      </c>
      <c r="F41" s="520">
        <f t="shared" si="25"/>
        <v>3459651.5558637427</v>
      </c>
      <c r="G41" s="520">
        <f t="shared" si="25"/>
        <v>267818.45453030389</v>
      </c>
      <c r="H41" s="520">
        <f t="shared" si="25"/>
        <v>3937003.4998055664</v>
      </c>
      <c r="I41" s="520">
        <f t="shared" si="25"/>
        <v>8553315.2384645212</v>
      </c>
      <c r="J41" s="520">
        <f t="shared" si="25"/>
        <v>6734189.8392584771</v>
      </c>
      <c r="K41" s="520">
        <f t="shared" si="25"/>
        <v>5551799.1037756773</v>
      </c>
      <c r="L41" s="520">
        <f t="shared" si="25"/>
        <v>5232700.8477997575</v>
      </c>
      <c r="M41" s="520">
        <f t="shared" si="25"/>
        <v>9665210.2676133253</v>
      </c>
      <c r="N41" s="520">
        <f t="shared" si="25"/>
        <v>9176132.8367473613</v>
      </c>
      <c r="O41" s="520">
        <f t="shared" si="25"/>
        <v>7409830.6756534604</v>
      </c>
      <c r="P41" s="544">
        <f>$P$42*AI41</f>
        <v>7409830.6756534604</v>
      </c>
      <c r="Q41" s="544">
        <f t="shared" si="20"/>
        <v>7604188.9981952365</v>
      </c>
      <c r="R41" s="360"/>
      <c r="S41" s="366"/>
      <c r="T41" s="542" t="s">
        <v>89</v>
      </c>
      <c r="U41" s="375">
        <f t="shared" si="21"/>
        <v>0.17084609065263295</v>
      </c>
      <c r="V41" s="375">
        <f>C41/C42</f>
        <v>0.2160089904856696</v>
      </c>
      <c r="W41" s="375">
        <f t="shared" ref="W41:AH41" si="26">D41/D42</f>
        <v>0.13640748101375735</v>
      </c>
      <c r="X41" s="375">
        <f t="shared" si="26"/>
        <v>0.24905983600181925</v>
      </c>
      <c r="Y41" s="375">
        <f t="shared" si="26"/>
        <v>0.13750748926366574</v>
      </c>
      <c r="Z41" s="375"/>
      <c r="AA41" s="375">
        <f t="shared" si="26"/>
        <v>0.15640834011994187</v>
      </c>
      <c r="AB41" s="375">
        <f t="shared" si="26"/>
        <v>0.32997302293364705</v>
      </c>
      <c r="AC41" s="375">
        <f t="shared" si="26"/>
        <v>0.26012419747927984</v>
      </c>
      <c r="AD41" s="375">
        <f t="shared" si="26"/>
        <v>0.21063455902493333</v>
      </c>
      <c r="AE41" s="375">
        <f t="shared" si="26"/>
        <v>0.19708454772218148</v>
      </c>
      <c r="AF41" s="375">
        <f t="shared" si="26"/>
        <v>0.32586100805429369</v>
      </c>
      <c r="AG41" s="375">
        <f t="shared" si="26"/>
        <v>0.30730307848943461</v>
      </c>
      <c r="AH41" s="375">
        <f t="shared" si="26"/>
        <v>0.2497910682569629</v>
      </c>
      <c r="AI41" s="375">
        <f t="shared" si="23"/>
        <v>0.2497910682569629</v>
      </c>
      <c r="AJ41" s="375">
        <f t="shared" si="24"/>
        <v>0.18775775304185768</v>
      </c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  <c r="BL41" s="360"/>
      <c r="BM41" s="360"/>
      <c r="BN41" s="360"/>
      <c r="BO41" s="360"/>
      <c r="BP41" s="360"/>
      <c r="BQ41" s="360"/>
      <c r="BR41" s="360"/>
      <c r="BS41" s="360"/>
      <c r="BT41" s="360"/>
    </row>
    <row r="42" spans="1:72" x14ac:dyDescent="0.6">
      <c r="A42" s="543" t="s">
        <v>182</v>
      </c>
      <c r="B42" s="520">
        <f t="shared" ref="B42:O44" si="27">B31*1000000/B20</f>
        <v>17910772.578890096</v>
      </c>
      <c r="C42" s="520">
        <f t="shared" si="27"/>
        <v>22174676.92754465</v>
      </c>
      <c r="D42" s="520">
        <f t="shared" si="27"/>
        <v>22657314.781420246</v>
      </c>
      <c r="E42" s="520">
        <f t="shared" si="27"/>
        <v>25947838.263609312</v>
      </c>
      <c r="F42" s="520">
        <f t="shared" si="27"/>
        <v>25159731.839987155</v>
      </c>
      <c r="G42" s="520">
        <f t="shared" si="27"/>
        <v>0</v>
      </c>
      <c r="H42" s="520">
        <f t="shared" si="27"/>
        <v>25171314.373558801</v>
      </c>
      <c r="I42" s="520">
        <f t="shared" si="27"/>
        <v>25921256.11488086</v>
      </c>
      <c r="J42" s="520">
        <f t="shared" si="27"/>
        <v>25888363.729771383</v>
      </c>
      <c r="K42" s="520">
        <f t="shared" si="27"/>
        <v>26357493.895949416</v>
      </c>
      <c r="L42" s="520">
        <f t="shared" si="27"/>
        <v>26550538.376940586</v>
      </c>
      <c r="M42" s="520">
        <f t="shared" si="27"/>
        <v>29660530.191458028</v>
      </c>
      <c r="N42" s="520">
        <f t="shared" si="27"/>
        <v>29860204.726399597</v>
      </c>
      <c r="O42" s="520">
        <f t="shared" si="27"/>
        <v>29664113.802623574</v>
      </c>
      <c r="P42" s="520">
        <f>B143</f>
        <v>29664113.802623574</v>
      </c>
      <c r="Q42" s="520">
        <f>B151</f>
        <v>40500000</v>
      </c>
      <c r="R42" s="360"/>
      <c r="S42" s="366"/>
      <c r="T42" s="543" t="s">
        <v>182</v>
      </c>
      <c r="U42" s="375">
        <f t="shared" si="21"/>
        <v>1</v>
      </c>
      <c r="V42" s="375">
        <f>C42/C42</f>
        <v>1</v>
      </c>
      <c r="W42" s="375">
        <f t="shared" ref="W42:AH42" si="28">D42/D42</f>
        <v>1</v>
      </c>
      <c r="X42" s="375">
        <f t="shared" si="28"/>
        <v>1</v>
      </c>
      <c r="Y42" s="375">
        <f t="shared" si="28"/>
        <v>1</v>
      </c>
      <c r="Z42" s="375"/>
      <c r="AA42" s="375">
        <f t="shared" si="28"/>
        <v>1</v>
      </c>
      <c r="AB42" s="375">
        <f t="shared" si="28"/>
        <v>1</v>
      </c>
      <c r="AC42" s="375">
        <f t="shared" si="28"/>
        <v>1</v>
      </c>
      <c r="AD42" s="375">
        <f t="shared" si="28"/>
        <v>1</v>
      </c>
      <c r="AE42" s="375">
        <f t="shared" si="28"/>
        <v>1</v>
      </c>
      <c r="AF42" s="375">
        <f t="shared" si="28"/>
        <v>1</v>
      </c>
      <c r="AG42" s="375">
        <f t="shared" si="28"/>
        <v>1</v>
      </c>
      <c r="AH42" s="375">
        <f t="shared" si="28"/>
        <v>1</v>
      </c>
      <c r="AI42" s="375">
        <f t="shared" si="23"/>
        <v>1</v>
      </c>
      <c r="AJ42" s="375">
        <f t="shared" si="24"/>
        <v>1</v>
      </c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  <c r="BL42" s="360"/>
      <c r="BM42" s="360"/>
      <c r="BN42" s="360"/>
      <c r="BO42" s="360"/>
      <c r="BP42" s="360"/>
      <c r="BQ42" s="360"/>
      <c r="BR42" s="360"/>
      <c r="BS42" s="360"/>
      <c r="BT42" s="360"/>
    </row>
    <row r="43" spans="1:72" x14ac:dyDescent="0.6">
      <c r="A43" s="543" t="s">
        <v>183</v>
      </c>
      <c r="B43" s="520"/>
      <c r="C43" s="520"/>
      <c r="D43" s="520"/>
      <c r="E43" s="520"/>
      <c r="F43" s="520"/>
      <c r="G43" s="520"/>
      <c r="H43" s="520">
        <f t="shared" si="27"/>
        <v>1240621.1180124225</v>
      </c>
      <c r="I43" s="520"/>
      <c r="J43" s="520">
        <f t="shared" si="27"/>
        <v>1299988.7222284877</v>
      </c>
      <c r="K43" s="520">
        <f t="shared" si="27"/>
        <v>1300030.9995128647</v>
      </c>
      <c r="L43" s="520">
        <f t="shared" si="27"/>
        <v>1300030.9995128647</v>
      </c>
      <c r="M43" s="520"/>
      <c r="N43" s="520"/>
      <c r="O43" s="520">
        <f t="shared" si="27"/>
        <v>1990881.4589665653</v>
      </c>
      <c r="P43" s="520">
        <f>$P$42*AI43</f>
        <v>1990881.4589665651</v>
      </c>
      <c r="Q43" s="520">
        <f t="shared" si="20"/>
        <v>2350590.27739941</v>
      </c>
      <c r="R43" s="360"/>
      <c r="S43" s="360"/>
      <c r="T43" s="543" t="s">
        <v>183</v>
      </c>
      <c r="U43" s="520"/>
      <c r="V43" s="520"/>
      <c r="W43" s="520"/>
      <c r="X43" s="520"/>
      <c r="Y43" s="520"/>
      <c r="Z43" s="520"/>
      <c r="AA43" s="520"/>
      <c r="AB43" s="520"/>
      <c r="AC43" s="375">
        <f>J43/J42</f>
        <v>5.021517527326428E-2</v>
      </c>
      <c r="AD43" s="375">
        <f t="shared" ref="AD43:AH43" si="29">K43/K42</f>
        <v>4.932301244742588E-2</v>
      </c>
      <c r="AE43" s="375">
        <f t="shared" si="29"/>
        <v>4.8964393153020015E-2</v>
      </c>
      <c r="AF43" s="375">
        <f t="shared" si="29"/>
        <v>0</v>
      </c>
      <c r="AG43" s="375">
        <f t="shared" si="29"/>
        <v>0</v>
      </c>
      <c r="AH43" s="375">
        <f t="shared" si="29"/>
        <v>6.7114139064234787E-2</v>
      </c>
      <c r="AI43" s="375">
        <f t="shared" si="23"/>
        <v>6.7114139064234787E-2</v>
      </c>
      <c r="AJ43" s="375">
        <f t="shared" si="24"/>
        <v>5.8039266108627405E-2</v>
      </c>
      <c r="AK43" s="360"/>
      <c r="AL43" s="360"/>
      <c r="AM43" s="360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  <c r="BL43" s="360"/>
      <c r="BM43" s="360"/>
      <c r="BN43" s="360"/>
      <c r="BO43" s="360"/>
      <c r="BP43" s="360"/>
      <c r="BQ43" s="360"/>
      <c r="BR43" s="360"/>
      <c r="BS43" s="360"/>
      <c r="BT43" s="360"/>
    </row>
    <row r="44" spans="1:72" x14ac:dyDescent="0.6">
      <c r="A44" s="353" t="s">
        <v>184</v>
      </c>
      <c r="B44" s="520"/>
      <c r="C44" s="520"/>
      <c r="D44" s="520"/>
      <c r="E44" s="520"/>
      <c r="F44" s="520"/>
      <c r="G44" s="520"/>
      <c r="H44" s="520"/>
      <c r="I44" s="520"/>
      <c r="J44" s="520">
        <f t="shared" si="27"/>
        <v>20200000</v>
      </c>
      <c r="K44" s="520">
        <f t="shared" si="27"/>
        <v>21694285.714285713</v>
      </c>
      <c r="L44" s="520">
        <f t="shared" si="27"/>
        <v>22531947.652040031</v>
      </c>
      <c r="M44" s="520">
        <f t="shared" si="27"/>
        <v>22500000</v>
      </c>
      <c r="N44" s="520">
        <f t="shared" si="27"/>
        <v>22500000</v>
      </c>
      <c r="O44" s="520">
        <f t="shared" si="27"/>
        <v>22500000</v>
      </c>
      <c r="P44" s="520">
        <f>$P$42*AI44</f>
        <v>22500000</v>
      </c>
      <c r="Q44" s="520">
        <f t="shared" si="20"/>
        <v>32544503.100965995</v>
      </c>
      <c r="R44" s="360"/>
      <c r="S44" s="360"/>
      <c r="T44" s="353" t="s">
        <v>184</v>
      </c>
      <c r="U44" s="520"/>
      <c r="V44" s="520"/>
      <c r="W44" s="520"/>
      <c r="X44" s="520"/>
      <c r="Y44" s="520"/>
      <c r="Z44" s="520"/>
      <c r="AA44" s="520"/>
      <c r="AB44" s="520"/>
      <c r="AC44" s="375">
        <f>J44/J42</f>
        <v>0.78027333866489923</v>
      </c>
      <c r="AD44" s="375">
        <f t="shared" ref="AD44:AH44" si="30">K44/K42</f>
        <v>0.82307846868626844</v>
      </c>
      <c r="AE44" s="375">
        <f t="shared" si="30"/>
        <v>0.8486437198429565</v>
      </c>
      <c r="AF44" s="375">
        <f t="shared" si="30"/>
        <v>0.75858387745475309</v>
      </c>
      <c r="AG44" s="375">
        <f t="shared" si="30"/>
        <v>0.75351124368238531</v>
      </c>
      <c r="AH44" s="375">
        <f t="shared" si="30"/>
        <v>0.75849223576030245</v>
      </c>
      <c r="AI44" s="375">
        <f t="shared" si="23"/>
        <v>0.75849223576030245</v>
      </c>
      <c r="AJ44" s="375">
        <f t="shared" si="24"/>
        <v>0.80356797780162947</v>
      </c>
      <c r="AK44" s="360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  <c r="BL44" s="360"/>
      <c r="BM44" s="360"/>
      <c r="BN44" s="360"/>
      <c r="BO44" s="360"/>
      <c r="BP44" s="360"/>
      <c r="BQ44" s="360"/>
      <c r="BR44" s="360"/>
      <c r="BS44" s="360"/>
      <c r="BT44" s="360"/>
    </row>
    <row r="45" spans="1:72" x14ac:dyDescent="0.6">
      <c r="A45" s="360"/>
      <c r="B45" s="360"/>
      <c r="C45" s="360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71"/>
      <c r="W45" s="371"/>
      <c r="X45" s="360"/>
      <c r="Y45" s="371"/>
      <c r="Z45" s="360"/>
      <c r="AA45" s="360"/>
      <c r="AB45" s="360"/>
      <c r="AC45" s="360"/>
      <c r="AD45" s="360"/>
      <c r="AE45" s="360"/>
      <c r="AF45" s="360"/>
      <c r="AG45" s="360"/>
      <c r="AH45" s="360"/>
      <c r="AI45" s="360"/>
      <c r="AJ45" s="360"/>
      <c r="AK45" s="360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  <c r="BL45" s="360"/>
      <c r="BM45" s="360"/>
      <c r="BN45" s="360"/>
      <c r="BO45" s="360"/>
      <c r="BP45" s="360"/>
      <c r="BQ45" s="360"/>
      <c r="BR45" s="360"/>
      <c r="BS45" s="360"/>
      <c r="BT45" s="360"/>
    </row>
    <row r="46" spans="1:72" x14ac:dyDescent="0.6">
      <c r="A46" s="360"/>
      <c r="B46" s="360"/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71"/>
      <c r="W46" s="371"/>
      <c r="X46" s="360"/>
      <c r="Y46" s="371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 s="360"/>
      <c r="BN46" s="360"/>
      <c r="BO46" s="360"/>
      <c r="BP46" s="360"/>
      <c r="BQ46" s="360"/>
      <c r="BR46" s="360"/>
      <c r="BS46" s="360"/>
      <c r="BT46" s="360"/>
    </row>
    <row r="47" spans="1:72" ht="23.25" thickBot="1" x14ac:dyDescent="0.65">
      <c r="A47" s="360"/>
      <c r="B47" s="366"/>
      <c r="C47" s="366"/>
      <c r="D47" s="366"/>
      <c r="E47" s="360"/>
      <c r="F47" s="366"/>
      <c r="G47" s="366"/>
      <c r="H47" s="366"/>
      <c r="I47" s="366"/>
      <c r="J47" s="360"/>
      <c r="K47" s="366"/>
      <c r="L47" s="366"/>
      <c r="M47" s="366"/>
      <c r="N47" s="366"/>
      <c r="O47" s="366"/>
      <c r="P47" s="360"/>
      <c r="Q47" s="360"/>
      <c r="R47" s="360"/>
      <c r="S47" s="360"/>
      <c r="T47" s="360"/>
      <c r="U47" s="360"/>
      <c r="V47" s="371"/>
      <c r="W47" s="371"/>
      <c r="X47" s="360"/>
      <c r="Y47" s="371"/>
      <c r="Z47" s="360"/>
      <c r="AA47" s="360"/>
      <c r="AB47" s="360"/>
      <c r="AC47" s="371"/>
      <c r="AD47" s="371"/>
      <c r="AE47" s="371"/>
      <c r="AF47" s="371"/>
      <c r="AG47" s="36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0"/>
      <c r="BC47" s="360"/>
      <c r="BD47" s="360"/>
      <c r="BE47" s="360"/>
      <c r="BF47" s="360"/>
      <c r="BG47" s="360"/>
      <c r="BH47" s="360"/>
      <c r="BI47" s="360"/>
      <c r="BJ47" s="360"/>
      <c r="BK47" s="360"/>
      <c r="BL47" s="360"/>
      <c r="BM47" s="360"/>
      <c r="BN47" s="360"/>
      <c r="BO47" s="360"/>
      <c r="BP47" s="360"/>
      <c r="BQ47" s="360"/>
      <c r="BR47" s="360"/>
      <c r="BS47" s="360"/>
      <c r="BT47" s="360"/>
    </row>
    <row r="48" spans="1:72" x14ac:dyDescent="0.6">
      <c r="A48" s="437" t="s">
        <v>111</v>
      </c>
      <c r="B48" s="350" t="s">
        <v>169</v>
      </c>
      <c r="C48" s="350" t="s">
        <v>167</v>
      </c>
      <c r="D48" s="350" t="s">
        <v>165</v>
      </c>
      <c r="E48" s="350" t="s">
        <v>164</v>
      </c>
      <c r="F48" s="350" t="s">
        <v>163</v>
      </c>
      <c r="G48" s="350" t="s">
        <v>162</v>
      </c>
      <c r="H48" s="350" t="s">
        <v>146</v>
      </c>
      <c r="I48" s="350" t="s">
        <v>161</v>
      </c>
      <c r="J48" s="351" t="s">
        <v>161</v>
      </c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71"/>
      <c r="W48" s="371"/>
      <c r="X48" s="360"/>
      <c r="Y48" s="371"/>
      <c r="Z48" s="360"/>
      <c r="AA48" s="360"/>
      <c r="AB48" s="360"/>
      <c r="AC48" s="371"/>
      <c r="AD48" s="371"/>
      <c r="AE48" s="371"/>
      <c r="AF48" s="371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  <c r="BO48" s="360"/>
      <c r="BP48" s="360"/>
      <c r="BQ48" s="360"/>
      <c r="BR48" s="360"/>
      <c r="BS48" s="360"/>
      <c r="BT48" s="360"/>
    </row>
    <row r="49" spans="1:72" x14ac:dyDescent="0.6">
      <c r="A49" s="427" t="s">
        <v>58</v>
      </c>
      <c r="B49" s="353" t="s">
        <v>40</v>
      </c>
      <c r="C49" s="353" t="s">
        <v>95</v>
      </c>
      <c r="D49" s="353" t="s">
        <v>39</v>
      </c>
      <c r="E49" s="353" t="s">
        <v>54</v>
      </c>
      <c r="F49" s="352" t="s">
        <v>148</v>
      </c>
      <c r="G49" s="353" t="s">
        <v>149</v>
      </c>
      <c r="H49" s="353" t="s">
        <v>146</v>
      </c>
      <c r="I49" s="353" t="s">
        <v>150</v>
      </c>
      <c r="J49" s="354" t="s">
        <v>159</v>
      </c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71"/>
      <c r="W49" s="371"/>
      <c r="X49" s="360"/>
      <c r="Y49" s="371"/>
      <c r="Z49" s="360"/>
      <c r="AA49" s="360"/>
      <c r="AB49" s="360"/>
      <c r="AC49" s="371"/>
      <c r="AD49" s="371"/>
      <c r="AE49" s="371"/>
      <c r="AF49" s="371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360"/>
      <c r="BB49" s="360"/>
      <c r="BC49" s="360"/>
      <c r="BD49" s="360"/>
      <c r="BE49" s="360"/>
      <c r="BF49" s="360"/>
      <c r="BG49" s="360"/>
      <c r="BH49" s="360"/>
      <c r="BI49" s="360"/>
      <c r="BJ49" s="360"/>
      <c r="BK49" s="360"/>
      <c r="BL49" s="360"/>
      <c r="BM49" s="360"/>
      <c r="BN49" s="360"/>
      <c r="BO49" s="360"/>
      <c r="BP49" s="360"/>
      <c r="BQ49" s="360"/>
      <c r="BR49" s="360"/>
      <c r="BS49" s="360"/>
      <c r="BT49" s="360"/>
    </row>
    <row r="50" spans="1:72" x14ac:dyDescent="0.6">
      <c r="A50" s="427" t="s">
        <v>82</v>
      </c>
      <c r="B50" s="524">
        <v>1547501</v>
      </c>
      <c r="C50" s="524">
        <v>2062073</v>
      </c>
      <c r="D50" s="524">
        <v>2237460</v>
      </c>
      <c r="E50" s="524">
        <v>0</v>
      </c>
      <c r="F50" s="524">
        <v>1474014</v>
      </c>
      <c r="G50" s="524">
        <f>F50</f>
        <v>1474014</v>
      </c>
      <c r="H50" s="524">
        <v>0</v>
      </c>
      <c r="I50" s="524">
        <f>F77</f>
        <v>1430274</v>
      </c>
      <c r="J50" s="545">
        <f>I77</f>
        <v>2643399.5948341354</v>
      </c>
      <c r="L50" s="366"/>
      <c r="M50" s="366"/>
      <c r="N50" s="366"/>
      <c r="O50" s="366"/>
      <c r="P50" s="360"/>
      <c r="Q50" s="360"/>
      <c r="R50" s="360"/>
      <c r="S50" s="365"/>
      <c r="T50" s="365"/>
      <c r="U50" s="365"/>
      <c r="V50" s="365"/>
      <c r="W50" s="364"/>
      <c r="X50" s="365"/>
      <c r="Y50" s="366"/>
      <c r="Z50" s="360"/>
      <c r="AA50" s="366"/>
      <c r="AB50" s="365"/>
      <c r="AC50" s="364"/>
      <c r="AD50" s="364"/>
      <c r="AE50" s="364"/>
      <c r="AF50" s="364"/>
      <c r="AG50" s="365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  <c r="BO50" s="360"/>
      <c r="BP50" s="360"/>
      <c r="BQ50" s="360"/>
      <c r="BR50" s="360"/>
      <c r="BS50" s="360"/>
      <c r="BT50" s="360"/>
    </row>
    <row r="51" spans="1:72" x14ac:dyDescent="0.6">
      <c r="A51" s="427" t="s">
        <v>81</v>
      </c>
      <c r="B51" s="524">
        <v>27796</v>
      </c>
      <c r="C51" s="524">
        <v>23763</v>
      </c>
      <c r="D51" s="524">
        <v>36770</v>
      </c>
      <c r="E51" s="524">
        <v>0</v>
      </c>
      <c r="F51" s="524">
        <v>28624</v>
      </c>
      <c r="G51" s="524">
        <f t="shared" ref="G51:G52" si="31">F51</f>
        <v>28624</v>
      </c>
      <c r="H51" s="524">
        <v>0</v>
      </c>
      <c r="I51" s="524">
        <f>G51*1.3</f>
        <v>37211.200000000004</v>
      </c>
      <c r="J51" s="545">
        <f>I51*1.2</f>
        <v>44653.440000000002</v>
      </c>
      <c r="L51" s="366"/>
      <c r="M51" s="366"/>
      <c r="N51" s="366"/>
      <c r="O51" s="366"/>
      <c r="P51" s="360"/>
      <c r="Q51" s="360"/>
      <c r="R51" s="360"/>
      <c r="S51" s="365"/>
      <c r="T51" s="365"/>
      <c r="U51" s="366"/>
      <c r="V51" s="365"/>
      <c r="W51" s="364"/>
      <c r="X51" s="365"/>
      <c r="Y51" s="366"/>
      <c r="Z51" s="360"/>
      <c r="AA51" s="366"/>
      <c r="AB51" s="365"/>
      <c r="AC51" s="364"/>
      <c r="AD51" s="364"/>
      <c r="AE51" s="364"/>
      <c r="AF51" s="364"/>
      <c r="AG51" s="365"/>
      <c r="AH51" s="360"/>
      <c r="AI51" s="360"/>
      <c r="AJ51" s="360"/>
      <c r="AK51" s="360"/>
      <c r="AL51" s="360"/>
      <c r="AM51" s="360"/>
      <c r="AN51" s="360"/>
      <c r="AO51" s="360"/>
      <c r="AP51" s="360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60"/>
      <c r="BL51" s="360"/>
      <c r="BM51" s="360"/>
      <c r="BN51" s="360"/>
      <c r="BO51" s="360"/>
      <c r="BP51" s="360"/>
      <c r="BQ51" s="360"/>
      <c r="BR51" s="360"/>
      <c r="BS51" s="360"/>
      <c r="BT51" s="360"/>
    </row>
    <row r="52" spans="1:72" x14ac:dyDescent="0.6">
      <c r="A52" s="427" t="s">
        <v>80</v>
      </c>
      <c r="B52" s="524">
        <v>316323</v>
      </c>
      <c r="C52" s="524">
        <v>168938</v>
      </c>
      <c r="D52" s="524">
        <v>378549</v>
      </c>
      <c r="E52" s="524">
        <v>0</v>
      </c>
      <c r="F52" s="524">
        <v>251322</v>
      </c>
      <c r="G52" s="524">
        <f t="shared" si="31"/>
        <v>251322</v>
      </c>
      <c r="H52" s="524">
        <v>0</v>
      </c>
      <c r="I52" s="524">
        <f>H95</f>
        <v>511366.69999999995</v>
      </c>
      <c r="J52" s="387">
        <f>I95</f>
        <v>664776.71000000008</v>
      </c>
      <c r="L52" s="366"/>
      <c r="M52" s="366"/>
      <c r="N52" s="366"/>
      <c r="O52" s="366"/>
      <c r="P52" s="360"/>
      <c r="Q52" s="360"/>
      <c r="R52" s="360"/>
      <c r="S52" s="366"/>
      <c r="T52" s="364"/>
      <c r="U52" s="365"/>
      <c r="V52" s="365"/>
      <c r="W52" s="364"/>
      <c r="X52" s="365"/>
      <c r="Y52" s="366"/>
      <c r="Z52" s="360"/>
      <c r="AA52" s="366"/>
      <c r="AB52" s="365"/>
      <c r="AC52" s="364"/>
      <c r="AD52" s="364"/>
      <c r="AE52" s="364"/>
      <c r="AF52" s="364"/>
      <c r="AG52" s="366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0"/>
      <c r="AV52" s="360"/>
      <c r="AW52" s="360"/>
      <c r="AX52" s="360"/>
      <c r="AY52" s="360"/>
      <c r="AZ52" s="360"/>
      <c r="BA52" s="360"/>
      <c r="BB52" s="360"/>
      <c r="BC52" s="360"/>
      <c r="BD52" s="360"/>
      <c r="BE52" s="360"/>
      <c r="BF52" s="360"/>
      <c r="BG52" s="360"/>
      <c r="BH52" s="360"/>
      <c r="BI52" s="360"/>
      <c r="BJ52" s="360"/>
      <c r="BK52" s="360"/>
      <c r="BL52" s="360"/>
      <c r="BM52" s="360"/>
      <c r="BN52" s="360"/>
      <c r="BO52" s="360"/>
      <c r="BP52" s="360"/>
      <c r="BQ52" s="360"/>
      <c r="BR52" s="360"/>
      <c r="BS52" s="360"/>
      <c r="BT52" s="360"/>
    </row>
    <row r="53" spans="1:72" x14ac:dyDescent="0.6">
      <c r="A53" s="427" t="s">
        <v>42</v>
      </c>
      <c r="B53" s="524">
        <f t="shared" ref="B53" si="32">SUM(B50:B52)</f>
        <v>1891620</v>
      </c>
      <c r="C53" s="524">
        <f>SUM(C50:C52)</f>
        <v>2254774</v>
      </c>
      <c r="D53" s="524">
        <f>SUM(D50:D52)</f>
        <v>2652779</v>
      </c>
      <c r="E53" s="524">
        <v>0</v>
      </c>
      <c r="F53" s="524">
        <f>SUM(F50:F52)</f>
        <v>1753960</v>
      </c>
      <c r="G53" s="524">
        <f t="shared" ref="G53:J53" si="33">SUM(G50:G52)</f>
        <v>1753960</v>
      </c>
      <c r="H53" s="524">
        <v>0</v>
      </c>
      <c r="I53" s="524">
        <f t="shared" si="33"/>
        <v>1978851.9</v>
      </c>
      <c r="J53" s="387">
        <f t="shared" si="33"/>
        <v>3352829.7448341353</v>
      </c>
      <c r="L53" s="403"/>
      <c r="M53" s="365"/>
      <c r="N53" s="365"/>
      <c r="O53" s="366"/>
      <c r="P53" s="360"/>
      <c r="Q53" s="360"/>
      <c r="R53" s="360"/>
      <c r="S53" s="366"/>
      <c r="T53" s="360"/>
      <c r="U53" s="366"/>
      <c r="V53" s="365"/>
      <c r="W53" s="364"/>
      <c r="X53" s="365"/>
      <c r="Y53" s="366"/>
      <c r="Z53" s="360"/>
      <c r="AA53" s="366"/>
      <c r="AB53" s="365"/>
      <c r="AC53" s="364"/>
      <c r="AD53" s="364"/>
      <c r="AE53" s="364"/>
      <c r="AF53" s="364"/>
      <c r="AG53" s="365"/>
      <c r="AH53" s="360"/>
      <c r="AI53" s="360"/>
      <c r="AJ53" s="360"/>
      <c r="AK53" s="360"/>
      <c r="AL53" s="360"/>
      <c r="AM53" s="360"/>
      <c r="AN53" s="360"/>
      <c r="AO53" s="360"/>
      <c r="AP53" s="360"/>
      <c r="AQ53" s="360"/>
      <c r="AR53" s="360"/>
      <c r="AS53" s="360"/>
      <c r="AT53" s="360"/>
      <c r="AU53" s="360"/>
      <c r="AV53" s="360"/>
      <c r="AW53" s="360"/>
      <c r="AX53" s="360"/>
      <c r="AY53" s="360"/>
      <c r="AZ53" s="360"/>
      <c r="BA53" s="360"/>
      <c r="BB53" s="360"/>
      <c r="BC53" s="360"/>
      <c r="BD53" s="360"/>
      <c r="BE53" s="360"/>
      <c r="BF53" s="360"/>
      <c r="BG53" s="360"/>
      <c r="BH53" s="360"/>
      <c r="BI53" s="360"/>
      <c r="BJ53" s="360"/>
      <c r="BK53" s="360"/>
      <c r="BL53" s="360"/>
      <c r="BM53" s="360"/>
      <c r="BN53" s="360"/>
      <c r="BO53" s="360"/>
      <c r="BP53" s="360"/>
      <c r="BQ53" s="360"/>
      <c r="BR53" s="360"/>
      <c r="BS53" s="360"/>
      <c r="BT53" s="360"/>
    </row>
    <row r="54" spans="1:72" x14ac:dyDescent="0.6">
      <c r="A54" s="427" t="s">
        <v>79</v>
      </c>
      <c r="B54" s="524">
        <v>0</v>
      </c>
      <c r="C54" s="524">
        <v>0</v>
      </c>
      <c r="D54" s="524">
        <v>0</v>
      </c>
      <c r="E54" s="524">
        <v>0</v>
      </c>
      <c r="F54" s="524">
        <v>0</v>
      </c>
      <c r="G54" s="524">
        <f>F54</f>
        <v>0</v>
      </c>
      <c r="H54" s="524">
        <v>0</v>
      </c>
      <c r="I54" s="524">
        <f>G54</f>
        <v>0</v>
      </c>
      <c r="J54" s="387">
        <f>H54</f>
        <v>0</v>
      </c>
      <c r="L54" s="360"/>
      <c r="M54" s="360"/>
      <c r="N54" s="360"/>
      <c r="O54" s="360"/>
      <c r="P54" s="360"/>
      <c r="Q54" s="360"/>
      <c r="R54" s="360"/>
      <c r="S54" s="366"/>
      <c r="T54" s="360"/>
      <c r="U54" s="366"/>
      <c r="V54" s="365"/>
      <c r="W54" s="364"/>
      <c r="X54" s="365"/>
      <c r="Y54" s="365"/>
      <c r="Z54" s="364"/>
      <c r="AA54" s="365"/>
      <c r="AB54" s="365"/>
      <c r="AC54" s="360"/>
      <c r="AD54" s="360"/>
      <c r="AE54" s="360"/>
      <c r="AF54" s="360"/>
      <c r="AG54" s="365"/>
      <c r="AH54" s="360"/>
      <c r="AI54" s="360"/>
      <c r="AJ54" s="360"/>
      <c r="AK54" s="360"/>
      <c r="AL54" s="360"/>
      <c r="AM54" s="360"/>
      <c r="AN54" s="360"/>
      <c r="AO54" s="360"/>
      <c r="AP54" s="360"/>
      <c r="AQ54" s="360"/>
      <c r="AR54" s="360"/>
      <c r="AS54" s="360"/>
      <c r="AT54" s="360"/>
      <c r="AU54" s="360"/>
      <c r="AV54" s="360"/>
      <c r="AW54" s="360"/>
      <c r="AX54" s="360"/>
      <c r="AY54" s="360"/>
      <c r="AZ54" s="360"/>
      <c r="BA54" s="360"/>
      <c r="BB54" s="360"/>
      <c r="BC54" s="360"/>
      <c r="BD54" s="360"/>
      <c r="BE54" s="360"/>
      <c r="BF54" s="360"/>
      <c r="BG54" s="360"/>
      <c r="BH54" s="360"/>
      <c r="BI54" s="360"/>
      <c r="BJ54" s="360"/>
      <c r="BK54" s="360"/>
      <c r="BL54" s="360"/>
      <c r="BM54" s="360"/>
      <c r="BN54" s="360"/>
      <c r="BO54" s="360"/>
      <c r="BP54" s="360"/>
      <c r="BQ54" s="360"/>
      <c r="BR54" s="360"/>
      <c r="BS54" s="360"/>
      <c r="BT54" s="360"/>
    </row>
    <row r="55" spans="1:72" x14ac:dyDescent="0.6">
      <c r="A55" s="427" t="s">
        <v>78</v>
      </c>
      <c r="B55" s="524">
        <f t="shared" ref="B55:C55" si="34">SUM(B53:B54)</f>
        <v>1891620</v>
      </c>
      <c r="C55" s="524">
        <f t="shared" si="34"/>
        <v>2254774</v>
      </c>
      <c r="D55" s="524">
        <f>SUM(D53:D54)</f>
        <v>2652779</v>
      </c>
      <c r="E55" s="524">
        <v>0</v>
      </c>
      <c r="F55" s="524">
        <f>SUM(F53:F54)</f>
        <v>1753960</v>
      </c>
      <c r="G55" s="524">
        <f t="shared" ref="G55:J55" si="35">SUM(G53:G54)</f>
        <v>1753960</v>
      </c>
      <c r="H55" s="524">
        <v>0</v>
      </c>
      <c r="I55" s="524">
        <f t="shared" si="35"/>
        <v>1978851.9</v>
      </c>
      <c r="J55" s="387">
        <f t="shared" si="35"/>
        <v>3352829.7448341353</v>
      </c>
      <c r="L55" s="360"/>
      <c r="M55" s="360"/>
      <c r="N55" s="360"/>
      <c r="O55" s="360"/>
      <c r="P55" s="360"/>
      <c r="Q55" s="360"/>
      <c r="R55" s="360"/>
      <c r="S55" s="366"/>
      <c r="T55" s="360"/>
      <c r="U55" s="366"/>
      <c r="V55" s="366"/>
      <c r="W55" s="364"/>
      <c r="X55" s="366"/>
      <c r="Y55" s="366"/>
      <c r="Z55" s="360"/>
      <c r="AA55" s="366"/>
      <c r="AB55" s="366"/>
      <c r="AC55" s="364"/>
      <c r="AD55" s="366"/>
      <c r="AE55" s="366"/>
      <c r="AF55" s="360"/>
      <c r="AG55" s="366"/>
      <c r="AH55" s="360"/>
      <c r="AI55" s="360"/>
      <c r="AJ55" s="360"/>
      <c r="AK55" s="360"/>
      <c r="AL55" s="360"/>
      <c r="AM55" s="360"/>
      <c r="AN55" s="360"/>
      <c r="AO55" s="360"/>
      <c r="AP55" s="360"/>
      <c r="AQ55" s="360"/>
      <c r="AR55" s="360"/>
      <c r="AS55" s="360"/>
      <c r="AT55" s="360"/>
      <c r="AU55" s="360"/>
      <c r="AV55" s="360"/>
      <c r="AW55" s="360"/>
      <c r="AX55" s="360"/>
      <c r="AY55" s="360"/>
      <c r="AZ55" s="360"/>
      <c r="BA55" s="360"/>
      <c r="BB55" s="360"/>
      <c r="BC55" s="360"/>
      <c r="BD55" s="360"/>
      <c r="BE55" s="360"/>
      <c r="BF55" s="360"/>
      <c r="BG55" s="360"/>
      <c r="BH55" s="360"/>
      <c r="BI55" s="360"/>
      <c r="BJ55" s="360"/>
      <c r="BK55" s="360"/>
      <c r="BL55" s="360"/>
      <c r="BM55" s="360"/>
      <c r="BN55" s="360"/>
      <c r="BO55" s="360"/>
      <c r="BP55" s="360"/>
      <c r="BQ55" s="360"/>
      <c r="BR55" s="360"/>
      <c r="BS55" s="360"/>
      <c r="BT55" s="360"/>
    </row>
    <row r="56" spans="1:72" x14ac:dyDescent="0.6">
      <c r="A56" s="427" t="s">
        <v>77</v>
      </c>
      <c r="B56" s="524">
        <v>0</v>
      </c>
      <c r="C56" s="524">
        <v>6841</v>
      </c>
      <c r="D56" s="524">
        <v>6841</v>
      </c>
      <c r="E56" s="524">
        <v>0</v>
      </c>
      <c r="F56" s="524">
        <v>674</v>
      </c>
      <c r="G56" s="524">
        <f>F56</f>
        <v>674</v>
      </c>
      <c r="H56" s="524">
        <v>0</v>
      </c>
      <c r="I56" s="524">
        <f>G56</f>
        <v>674</v>
      </c>
      <c r="J56" s="387">
        <f>I56</f>
        <v>674</v>
      </c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71"/>
      <c r="X56" s="360"/>
      <c r="Y56" s="371"/>
      <c r="Z56" s="360"/>
      <c r="AA56" s="360"/>
      <c r="AB56" s="360"/>
      <c r="AC56" s="360"/>
      <c r="AD56" s="360"/>
      <c r="AE56" s="360"/>
      <c r="AF56" s="360"/>
      <c r="AG56" s="360"/>
      <c r="AH56" s="360"/>
      <c r="AI56" s="360"/>
      <c r="AJ56" s="360"/>
      <c r="AK56" s="360"/>
      <c r="AL56" s="360"/>
      <c r="AM56" s="360"/>
      <c r="AN56" s="360"/>
      <c r="AO56" s="360"/>
      <c r="AP56" s="360"/>
      <c r="AQ56" s="360"/>
      <c r="AR56" s="360"/>
      <c r="AS56" s="360"/>
      <c r="AT56" s="360"/>
      <c r="AU56" s="360"/>
      <c r="AV56" s="360"/>
      <c r="AW56" s="360"/>
      <c r="AX56" s="360"/>
      <c r="AY56" s="360"/>
      <c r="AZ56" s="360"/>
      <c r="BA56" s="360"/>
      <c r="BB56" s="360"/>
      <c r="BC56" s="360"/>
      <c r="BD56" s="360"/>
      <c r="BE56" s="360"/>
      <c r="BF56" s="360"/>
      <c r="BG56" s="360"/>
      <c r="BH56" s="360"/>
      <c r="BI56" s="360"/>
      <c r="BJ56" s="360"/>
      <c r="BK56" s="360"/>
      <c r="BL56" s="360"/>
      <c r="BM56" s="360"/>
      <c r="BN56" s="360"/>
      <c r="BO56" s="360"/>
      <c r="BP56" s="360"/>
      <c r="BQ56" s="360"/>
      <c r="BR56" s="360"/>
      <c r="BS56" s="360"/>
      <c r="BT56" s="360"/>
    </row>
    <row r="57" spans="1:72" x14ac:dyDescent="0.6">
      <c r="A57" s="427" t="s">
        <v>76</v>
      </c>
      <c r="B57" s="524">
        <f>-6841-108601</f>
        <v>-115442</v>
      </c>
      <c r="C57" s="524">
        <v>0</v>
      </c>
      <c r="D57" s="524">
        <v>-674</v>
      </c>
      <c r="E57" s="524">
        <v>0</v>
      </c>
      <c r="F57" s="524">
        <v>-3497</v>
      </c>
      <c r="G57" s="524">
        <f>F57</f>
        <v>-3497</v>
      </c>
      <c r="H57" s="524">
        <v>0</v>
      </c>
      <c r="I57" s="524">
        <f>G57</f>
        <v>-3497</v>
      </c>
      <c r="J57" s="387">
        <f>I57</f>
        <v>-3497</v>
      </c>
      <c r="L57" s="360"/>
      <c r="M57" s="360"/>
      <c r="N57" s="360"/>
      <c r="O57" s="360"/>
      <c r="P57" s="360"/>
      <c r="Q57" s="360"/>
      <c r="R57" s="360"/>
      <c r="S57" s="360"/>
      <c r="T57" s="360"/>
      <c r="U57" s="365"/>
      <c r="V57" s="371"/>
      <c r="W57" s="371"/>
      <c r="X57" s="365"/>
      <c r="Y57" s="371"/>
      <c r="Z57" s="360"/>
      <c r="AA57" s="365"/>
      <c r="AB57" s="360"/>
      <c r="AC57" s="360"/>
      <c r="AD57" s="365"/>
      <c r="AE57" s="360"/>
      <c r="AF57" s="360"/>
      <c r="AG57" s="365"/>
      <c r="AH57" s="360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0"/>
      <c r="AT57" s="360"/>
      <c r="AU57" s="360"/>
      <c r="AV57" s="360"/>
      <c r="AW57" s="360"/>
      <c r="AX57" s="360"/>
      <c r="AY57" s="360"/>
      <c r="AZ57" s="360"/>
      <c r="BA57" s="360"/>
      <c r="BB57" s="360"/>
      <c r="BC57" s="360"/>
      <c r="BD57" s="360"/>
      <c r="BE57" s="360"/>
      <c r="BF57" s="360"/>
      <c r="BG57" s="360"/>
      <c r="BH57" s="360"/>
      <c r="BI57" s="360"/>
      <c r="BJ57" s="360"/>
      <c r="BK57" s="360"/>
      <c r="BL57" s="360"/>
      <c r="BM57" s="360"/>
      <c r="BN57" s="360"/>
      <c r="BO57" s="360"/>
      <c r="BP57" s="360"/>
      <c r="BQ57" s="360"/>
      <c r="BR57" s="360"/>
      <c r="BS57" s="360"/>
      <c r="BT57" s="360"/>
    </row>
    <row r="58" spans="1:72" x14ac:dyDescent="0.6">
      <c r="A58" s="427" t="s">
        <v>75</v>
      </c>
      <c r="B58" s="524">
        <v>0</v>
      </c>
      <c r="C58" s="524">
        <v>0</v>
      </c>
      <c r="D58" s="524">
        <v>0</v>
      </c>
      <c r="E58" s="524">
        <v>0</v>
      </c>
      <c r="F58" s="524">
        <v>0</v>
      </c>
      <c r="G58" s="524">
        <f>F58</f>
        <v>0</v>
      </c>
      <c r="H58" s="524">
        <v>0</v>
      </c>
      <c r="I58" s="524">
        <v>0</v>
      </c>
      <c r="J58" s="387">
        <f>I58</f>
        <v>0</v>
      </c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71"/>
      <c r="W58" s="371"/>
      <c r="X58" s="360"/>
      <c r="Y58" s="371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0"/>
      <c r="AN58" s="360"/>
      <c r="AO58" s="360"/>
      <c r="AP58" s="360"/>
      <c r="AQ58" s="360"/>
      <c r="AR58" s="360"/>
      <c r="AS58" s="360"/>
      <c r="AT58" s="360"/>
      <c r="AU58" s="360"/>
      <c r="AV58" s="360"/>
      <c r="AW58" s="360"/>
      <c r="AX58" s="360"/>
      <c r="AY58" s="360"/>
      <c r="AZ58" s="360"/>
      <c r="BA58" s="360"/>
      <c r="BB58" s="360"/>
      <c r="BC58" s="360"/>
      <c r="BD58" s="360"/>
      <c r="BE58" s="360"/>
      <c r="BF58" s="360"/>
      <c r="BG58" s="360"/>
      <c r="BH58" s="360"/>
      <c r="BI58" s="360"/>
      <c r="BJ58" s="360"/>
      <c r="BK58" s="360"/>
      <c r="BL58" s="360"/>
      <c r="BM58" s="360"/>
      <c r="BN58" s="360"/>
      <c r="BO58" s="360"/>
      <c r="BP58" s="360"/>
      <c r="BQ58" s="360"/>
      <c r="BR58" s="360"/>
      <c r="BS58" s="360"/>
      <c r="BT58" s="360"/>
    </row>
    <row r="59" spans="1:72" x14ac:dyDescent="0.6">
      <c r="A59" s="427" t="s">
        <v>74</v>
      </c>
      <c r="B59" s="524">
        <f t="shared" ref="B59:C59" si="36">SUM(B55:B58)</f>
        <v>1776178</v>
      </c>
      <c r="C59" s="524">
        <f t="shared" si="36"/>
        <v>2261615</v>
      </c>
      <c r="D59" s="524">
        <f>SUM(D55:D58)</f>
        <v>2658946</v>
      </c>
      <c r="E59" s="524">
        <v>0</v>
      </c>
      <c r="F59" s="524">
        <f>SUM(F55:F58)</f>
        <v>1751137</v>
      </c>
      <c r="G59" s="524">
        <f t="shared" ref="G59" si="37">SUM(G55:G58)</f>
        <v>1751137</v>
      </c>
      <c r="H59" s="524">
        <v>0</v>
      </c>
      <c r="I59" s="524">
        <f>SUM(I55:I58)</f>
        <v>1976028.9</v>
      </c>
      <c r="J59" s="387">
        <f>SUM(J55:J58)</f>
        <v>3350006.7448341353</v>
      </c>
      <c r="L59" s="365"/>
      <c r="M59" s="365"/>
      <c r="N59" s="365"/>
      <c r="O59" s="360"/>
      <c r="P59" s="360"/>
      <c r="Q59" s="360"/>
      <c r="R59" s="360"/>
      <c r="S59" s="360"/>
      <c r="T59" s="360"/>
      <c r="U59" s="360"/>
      <c r="V59" s="371"/>
      <c r="W59" s="360"/>
      <c r="X59" s="360"/>
      <c r="Y59" s="371"/>
      <c r="Z59" s="360"/>
      <c r="AA59" s="360"/>
      <c r="AB59" s="360"/>
      <c r="AC59" s="360"/>
      <c r="AD59" s="360"/>
      <c r="AE59" s="360"/>
      <c r="AF59" s="360"/>
      <c r="AG59" s="360"/>
      <c r="AH59" s="360"/>
      <c r="AI59" s="360"/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0"/>
      <c r="AU59" s="360"/>
      <c r="AV59" s="360"/>
      <c r="AW59" s="360"/>
      <c r="AX59" s="360"/>
      <c r="AY59" s="360"/>
      <c r="AZ59" s="360"/>
      <c r="BA59" s="360"/>
      <c r="BB59" s="360"/>
      <c r="BC59" s="360"/>
      <c r="BD59" s="360"/>
      <c r="BE59" s="360"/>
      <c r="BF59" s="360"/>
      <c r="BG59" s="360"/>
      <c r="BH59" s="360"/>
      <c r="BI59" s="360"/>
      <c r="BJ59" s="360"/>
      <c r="BK59" s="360"/>
      <c r="BL59" s="360"/>
      <c r="BM59" s="360"/>
      <c r="BN59" s="360"/>
      <c r="BO59" s="360"/>
      <c r="BP59" s="360"/>
      <c r="BQ59" s="360"/>
      <c r="BR59" s="360"/>
      <c r="BS59" s="360"/>
      <c r="BT59" s="360"/>
    </row>
    <row r="60" spans="1:72" x14ac:dyDescent="0.6">
      <c r="A60" s="427" t="s">
        <v>73</v>
      </c>
      <c r="B60" s="524">
        <v>241</v>
      </c>
      <c r="C60" s="524">
        <f>129730+12027</f>
        <v>141757</v>
      </c>
      <c r="D60" s="524">
        <f>129+12027</f>
        <v>12156</v>
      </c>
      <c r="E60" s="524">
        <v>0</v>
      </c>
      <c r="F60" s="524">
        <f>88336+8888</f>
        <v>97224</v>
      </c>
      <c r="G60" s="524">
        <f>F60</f>
        <v>97224</v>
      </c>
      <c r="H60" s="524">
        <v>0</v>
      </c>
      <c r="I60" s="524">
        <f>G60</f>
        <v>97224</v>
      </c>
      <c r="J60" s="392">
        <f>I60</f>
        <v>97224</v>
      </c>
      <c r="L60" s="365"/>
      <c r="M60" s="365"/>
      <c r="N60" s="365"/>
      <c r="O60" s="360"/>
      <c r="P60" s="360"/>
      <c r="Q60" s="360"/>
      <c r="R60" s="360"/>
      <c r="S60" s="360"/>
      <c r="T60" s="360"/>
      <c r="U60" s="360"/>
      <c r="V60" s="360"/>
      <c r="W60" s="371"/>
      <c r="X60" s="360"/>
      <c r="Y60" s="371"/>
      <c r="Z60" s="360"/>
      <c r="AA60" s="360"/>
      <c r="AB60" s="360"/>
      <c r="AC60" s="360"/>
      <c r="AD60" s="360"/>
      <c r="AE60" s="360"/>
      <c r="AF60" s="360"/>
      <c r="AG60" s="360"/>
      <c r="AH60" s="360"/>
      <c r="AI60" s="360"/>
      <c r="AJ60" s="360"/>
      <c r="AK60" s="360"/>
      <c r="AL60" s="360"/>
      <c r="AM60" s="360"/>
      <c r="AN60" s="360"/>
      <c r="AO60" s="360"/>
      <c r="AP60" s="360"/>
      <c r="AQ60" s="360"/>
      <c r="AR60" s="360"/>
      <c r="AS60" s="360"/>
      <c r="AT60" s="360"/>
      <c r="AU60" s="360"/>
      <c r="AV60" s="360"/>
      <c r="AW60" s="360"/>
      <c r="AX60" s="360"/>
      <c r="AY60" s="360"/>
      <c r="AZ60" s="360"/>
      <c r="BA60" s="360"/>
      <c r="BB60" s="360"/>
      <c r="BC60" s="360"/>
      <c r="BD60" s="360"/>
      <c r="BE60" s="360"/>
      <c r="BF60" s="360"/>
      <c r="BG60" s="360"/>
      <c r="BH60" s="360"/>
      <c r="BI60" s="360"/>
      <c r="BJ60" s="360"/>
      <c r="BK60" s="360"/>
      <c r="BL60" s="360"/>
      <c r="BM60" s="360"/>
      <c r="BN60" s="360"/>
      <c r="BO60" s="360"/>
      <c r="BP60" s="360"/>
      <c r="BQ60" s="360"/>
      <c r="BR60" s="360"/>
      <c r="BS60" s="360"/>
      <c r="BT60" s="360"/>
    </row>
    <row r="61" spans="1:72" x14ac:dyDescent="0.6">
      <c r="A61" s="427" t="s">
        <v>72</v>
      </c>
      <c r="B61" s="524">
        <v>-129730</v>
      </c>
      <c r="C61" s="524">
        <f>-834285-11573</f>
        <v>-845858</v>
      </c>
      <c r="D61" s="524">
        <f>-88336-8888</f>
        <v>-97224</v>
      </c>
      <c r="E61" s="524">
        <v>0</v>
      </c>
      <c r="F61" s="524">
        <f>-628518-51820</f>
        <v>-680338</v>
      </c>
      <c r="G61" s="524">
        <f>F61</f>
        <v>-680338</v>
      </c>
      <c r="H61" s="524">
        <v>0</v>
      </c>
      <c r="I61" s="524">
        <v>0</v>
      </c>
      <c r="J61" s="387">
        <f>I61</f>
        <v>0</v>
      </c>
      <c r="L61" s="365"/>
      <c r="M61" s="365"/>
      <c r="N61" s="365"/>
      <c r="O61" s="360"/>
      <c r="P61" s="360"/>
      <c r="Q61" s="360"/>
      <c r="R61" s="360"/>
      <c r="S61" s="360"/>
      <c r="T61" s="360"/>
      <c r="U61" s="360"/>
      <c r="V61" s="371"/>
      <c r="W61" s="371"/>
      <c r="X61" s="360"/>
      <c r="Y61" s="371"/>
      <c r="Z61" s="360"/>
      <c r="AA61" s="360"/>
      <c r="AB61" s="360"/>
      <c r="AC61" s="360"/>
      <c r="AD61" s="360"/>
      <c r="AE61" s="360"/>
      <c r="AF61" s="360"/>
      <c r="AG61" s="36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0"/>
      <c r="AV61" s="360"/>
      <c r="AW61" s="360"/>
      <c r="AX61" s="360"/>
      <c r="AY61" s="360"/>
      <c r="AZ61" s="360"/>
      <c r="BA61" s="360"/>
      <c r="BB61" s="360"/>
      <c r="BC61" s="360"/>
      <c r="BD61" s="360"/>
      <c r="BE61" s="360"/>
      <c r="BF61" s="360"/>
      <c r="BG61" s="360"/>
      <c r="BH61" s="360"/>
      <c r="BI61" s="360"/>
      <c r="BJ61" s="360"/>
      <c r="BK61" s="360"/>
      <c r="BL61" s="360"/>
      <c r="BM61" s="360"/>
      <c r="BN61" s="360"/>
      <c r="BO61" s="360"/>
      <c r="BP61" s="360"/>
      <c r="BQ61" s="360"/>
      <c r="BR61" s="360"/>
      <c r="BS61" s="360"/>
      <c r="BT61" s="360"/>
    </row>
    <row r="62" spans="1:72" x14ac:dyDescent="0.6">
      <c r="A62" s="427" t="s">
        <v>71</v>
      </c>
      <c r="B62" s="524">
        <f t="shared" ref="B62:C62" si="38">SUM(B59:B61)</f>
        <v>1646689</v>
      </c>
      <c r="C62" s="524">
        <f t="shared" si="38"/>
        <v>1557514</v>
      </c>
      <c r="D62" s="524">
        <f>SUM(D59:D61)</f>
        <v>2573878</v>
      </c>
      <c r="E62" s="524">
        <v>0</v>
      </c>
      <c r="F62" s="524">
        <f>SUM(F59:F61)</f>
        <v>1168023</v>
      </c>
      <c r="G62" s="524">
        <f t="shared" ref="G62" si="39">SUM(G59:G61)</f>
        <v>1168023</v>
      </c>
      <c r="H62" s="524">
        <v>0</v>
      </c>
      <c r="I62" s="524">
        <f>SUM(I59:I61)</f>
        <v>2073252.9</v>
      </c>
      <c r="J62" s="387">
        <f>SUM(J59:J61)</f>
        <v>3447230.7448341353</v>
      </c>
      <c r="L62" s="365"/>
      <c r="M62" s="365"/>
      <c r="N62" s="365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  <c r="Z62" s="360"/>
      <c r="AA62" s="360"/>
      <c r="AB62" s="360"/>
      <c r="AC62" s="360"/>
      <c r="AD62" s="360"/>
      <c r="AE62" s="360"/>
      <c r="AF62" s="360"/>
      <c r="AG62" s="36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0"/>
      <c r="AT62" s="360"/>
      <c r="AU62" s="360"/>
      <c r="AV62" s="360"/>
      <c r="AW62" s="360"/>
      <c r="AX62" s="360"/>
      <c r="AY62" s="360"/>
      <c r="AZ62" s="360"/>
      <c r="BA62" s="360"/>
      <c r="BB62" s="360"/>
      <c r="BC62" s="360"/>
      <c r="BD62" s="360"/>
      <c r="BE62" s="360"/>
      <c r="BF62" s="360"/>
      <c r="BG62" s="360"/>
      <c r="BH62" s="360"/>
      <c r="BI62" s="360"/>
      <c r="BJ62" s="360"/>
      <c r="BK62" s="360"/>
      <c r="BL62" s="360"/>
      <c r="BM62" s="360"/>
      <c r="BN62" s="360"/>
      <c r="BO62" s="360"/>
      <c r="BP62" s="360"/>
      <c r="BQ62" s="360"/>
      <c r="BR62" s="360"/>
      <c r="BS62" s="360"/>
      <c r="BT62" s="360"/>
    </row>
    <row r="63" spans="1:72" x14ac:dyDescent="0.6">
      <c r="A63" s="427" t="s">
        <v>210</v>
      </c>
      <c r="B63" s="524">
        <v>329439</v>
      </c>
      <c r="C63" s="524"/>
      <c r="D63" s="524">
        <v>0</v>
      </c>
      <c r="E63" s="524">
        <v>0</v>
      </c>
      <c r="F63" s="524">
        <v>0</v>
      </c>
      <c r="G63" s="524">
        <v>0</v>
      </c>
      <c r="H63" s="524">
        <v>0</v>
      </c>
      <c r="I63" s="524">
        <v>0</v>
      </c>
      <c r="J63" s="387">
        <v>0</v>
      </c>
      <c r="L63" s="365"/>
      <c r="M63" s="365"/>
      <c r="N63" s="365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0"/>
      <c r="Z63" s="360"/>
      <c r="AA63" s="360"/>
      <c r="AB63" s="360"/>
      <c r="AC63" s="360"/>
      <c r="AD63" s="360"/>
      <c r="AE63" s="360"/>
      <c r="AF63" s="360"/>
      <c r="AG63" s="360"/>
      <c r="AH63" s="360"/>
      <c r="AI63" s="360"/>
      <c r="AJ63" s="360"/>
      <c r="AK63" s="360"/>
      <c r="AL63" s="360"/>
      <c r="AM63" s="360"/>
      <c r="AN63" s="360"/>
      <c r="AO63" s="360"/>
      <c r="AP63" s="360"/>
      <c r="AQ63" s="360"/>
      <c r="AR63" s="360"/>
      <c r="AS63" s="360"/>
      <c r="AT63" s="360"/>
      <c r="AU63" s="360"/>
      <c r="AV63" s="360"/>
      <c r="AW63" s="360"/>
      <c r="AX63" s="360"/>
      <c r="AY63" s="360"/>
      <c r="AZ63" s="360"/>
      <c r="BA63" s="360"/>
      <c r="BB63" s="360"/>
      <c r="BC63" s="360"/>
      <c r="BD63" s="360"/>
      <c r="BE63" s="360"/>
      <c r="BF63" s="360"/>
      <c r="BG63" s="360"/>
      <c r="BH63" s="360"/>
      <c r="BI63" s="360"/>
      <c r="BJ63" s="360"/>
      <c r="BK63" s="360"/>
      <c r="BL63" s="360"/>
      <c r="BM63" s="360"/>
      <c r="BN63" s="360"/>
      <c r="BO63" s="360"/>
      <c r="BP63" s="360"/>
      <c r="BQ63" s="360"/>
      <c r="BR63" s="360"/>
      <c r="BS63" s="360"/>
      <c r="BT63" s="360"/>
    </row>
    <row r="64" spans="1:72" x14ac:dyDescent="0.6">
      <c r="A64" s="427" t="s">
        <v>191</v>
      </c>
      <c r="B64" s="524">
        <v>-24373</v>
      </c>
      <c r="C64" s="524">
        <v>-5378</v>
      </c>
      <c r="D64" s="524">
        <v>-127</v>
      </c>
      <c r="E64" s="524">
        <v>0</v>
      </c>
      <c r="F64" s="524">
        <v>-95</v>
      </c>
      <c r="G64" s="524">
        <f>F64</f>
        <v>-95</v>
      </c>
      <c r="H64" s="524">
        <v>0</v>
      </c>
      <c r="I64" s="524">
        <f>G64</f>
        <v>-95</v>
      </c>
      <c r="J64" s="387">
        <f>I64</f>
        <v>-95</v>
      </c>
      <c r="L64" s="365"/>
      <c r="M64" s="366"/>
      <c r="N64" s="365"/>
      <c r="O64" s="360"/>
      <c r="P64" s="360"/>
      <c r="Q64" s="360"/>
      <c r="R64" s="360"/>
      <c r="S64" s="360"/>
      <c r="T64" s="360"/>
      <c r="U64" s="360"/>
      <c r="V64" s="360"/>
      <c r="W64" s="360"/>
      <c r="X64" s="360"/>
      <c r="Y64" s="360"/>
      <c r="Z64" s="360"/>
      <c r="AA64" s="360"/>
      <c r="AB64" s="360"/>
      <c r="AC64" s="360"/>
      <c r="AD64" s="360"/>
      <c r="AE64" s="360"/>
      <c r="AF64" s="360"/>
      <c r="AG64" s="36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0"/>
      <c r="AT64" s="360"/>
      <c r="AU64" s="360"/>
      <c r="AV64" s="360"/>
      <c r="AW64" s="360"/>
      <c r="AX64" s="360"/>
      <c r="AY64" s="360"/>
      <c r="AZ64" s="360"/>
      <c r="BA64" s="360"/>
      <c r="BB64" s="360"/>
      <c r="BC64" s="360"/>
      <c r="BD64" s="360"/>
      <c r="BE64" s="360"/>
      <c r="BF64" s="360"/>
      <c r="BG64" s="360"/>
      <c r="BH64" s="360"/>
      <c r="BI64" s="360"/>
      <c r="BJ64" s="360"/>
      <c r="BK64" s="360"/>
      <c r="BL64" s="360"/>
      <c r="BM64" s="360"/>
      <c r="BN64" s="360"/>
      <c r="BO64" s="360"/>
      <c r="BP64" s="360"/>
      <c r="BQ64" s="360"/>
      <c r="BR64" s="360"/>
      <c r="BS64" s="360"/>
      <c r="BT64" s="360"/>
    </row>
    <row r="65" spans="1:72" ht="23.25" thickBot="1" x14ac:dyDescent="0.65">
      <c r="A65" s="430" t="s">
        <v>69</v>
      </c>
      <c r="B65" s="526">
        <f t="shared" ref="B65:C65" si="40">SUM(B62:B64)</f>
        <v>1951755</v>
      </c>
      <c r="C65" s="526">
        <f t="shared" si="40"/>
        <v>1552136</v>
      </c>
      <c r="D65" s="526">
        <f>SUM(D62:D64)</f>
        <v>2573751</v>
      </c>
      <c r="E65" s="526">
        <v>0</v>
      </c>
      <c r="F65" s="526">
        <f>SUM(F62:F64)</f>
        <v>1167928</v>
      </c>
      <c r="G65" s="526">
        <f t="shared" ref="G65" si="41">SUM(G62:G64)</f>
        <v>1167928</v>
      </c>
      <c r="H65" s="526">
        <v>0</v>
      </c>
      <c r="I65" s="526">
        <f t="shared" ref="I65:J65" si="42">SUM(I62:I64)</f>
        <v>2073157.9</v>
      </c>
      <c r="J65" s="527">
        <f t="shared" si="42"/>
        <v>3447135.7448341353</v>
      </c>
      <c r="L65" s="366"/>
      <c r="M65" s="366"/>
      <c r="N65" s="366"/>
      <c r="O65" s="360"/>
      <c r="P65" s="360"/>
      <c r="Q65" s="360"/>
      <c r="R65" s="360"/>
      <c r="S65" s="360"/>
      <c r="T65" s="366"/>
      <c r="U65" s="366"/>
      <c r="V65" s="365"/>
      <c r="W65" s="364"/>
      <c r="X65" s="365"/>
      <c r="Y65" s="365"/>
      <c r="Z65" s="365"/>
      <c r="AA65" s="365"/>
      <c r="AB65" s="364"/>
      <c r="AC65" s="365"/>
      <c r="AD65" s="365"/>
      <c r="AE65" s="365"/>
      <c r="AF65" s="365"/>
      <c r="AG65" s="360"/>
      <c r="AH65" s="360"/>
      <c r="AI65" s="360"/>
      <c r="AJ65" s="360"/>
      <c r="AK65" s="360"/>
      <c r="AL65" s="360"/>
      <c r="AM65" s="360"/>
      <c r="AN65" s="360"/>
      <c r="AO65" s="360"/>
      <c r="AP65" s="360"/>
      <c r="AQ65" s="360"/>
      <c r="AR65" s="360"/>
      <c r="AS65" s="360"/>
      <c r="AT65" s="360"/>
      <c r="AU65" s="360"/>
      <c r="AV65" s="360"/>
      <c r="AW65" s="360"/>
      <c r="AX65" s="360"/>
      <c r="AY65" s="360"/>
      <c r="AZ65" s="360"/>
      <c r="BA65" s="360"/>
      <c r="BB65" s="360"/>
      <c r="BC65" s="360"/>
      <c r="BD65" s="360"/>
      <c r="BE65" s="360"/>
      <c r="BF65" s="360"/>
      <c r="BG65" s="360"/>
      <c r="BH65" s="360"/>
      <c r="BI65" s="360"/>
      <c r="BJ65" s="360"/>
      <c r="BK65" s="360"/>
      <c r="BL65" s="360"/>
      <c r="BM65" s="360"/>
      <c r="BN65" s="360"/>
      <c r="BO65" s="360"/>
      <c r="BP65" s="360"/>
      <c r="BQ65" s="360"/>
      <c r="BR65" s="360"/>
      <c r="BS65" s="360"/>
      <c r="BT65" s="360"/>
    </row>
    <row r="66" spans="1:72" x14ac:dyDescent="0.6">
      <c r="A66" s="360"/>
      <c r="B66" s="366"/>
      <c r="C66" s="366"/>
      <c r="D66" s="366"/>
      <c r="E66" s="360"/>
      <c r="F66" s="365"/>
      <c r="G66" s="365"/>
      <c r="H66" s="366"/>
      <c r="I66" s="366"/>
      <c r="J66" s="360"/>
      <c r="K66" s="366"/>
      <c r="L66" s="366"/>
      <c r="M66" s="366"/>
      <c r="N66" s="366"/>
      <c r="O66" s="360"/>
      <c r="P66" s="360"/>
      <c r="Q66" s="360"/>
      <c r="R66" s="360"/>
      <c r="S66" s="360"/>
      <c r="T66" s="366"/>
      <c r="U66" s="366"/>
      <c r="V66" s="365"/>
      <c r="W66" s="364"/>
      <c r="X66" s="365"/>
      <c r="Y66" s="365"/>
      <c r="Z66" s="365"/>
      <c r="AA66" s="365"/>
      <c r="AB66" s="364"/>
      <c r="AC66" s="365"/>
      <c r="AD66" s="365"/>
      <c r="AE66" s="365"/>
      <c r="AF66" s="365"/>
      <c r="AG66" s="360"/>
      <c r="AH66" s="360"/>
      <c r="AI66" s="360"/>
      <c r="AJ66" s="360"/>
      <c r="AK66" s="360"/>
      <c r="AL66" s="360"/>
      <c r="AM66" s="360"/>
      <c r="AN66" s="360"/>
      <c r="AO66" s="360"/>
      <c r="AP66" s="360"/>
      <c r="AQ66" s="360"/>
      <c r="AR66" s="360"/>
      <c r="AS66" s="360"/>
      <c r="AT66" s="360"/>
      <c r="AU66" s="360"/>
      <c r="AV66" s="360"/>
      <c r="AW66" s="360"/>
      <c r="AX66" s="360"/>
      <c r="AY66" s="360"/>
      <c r="AZ66" s="360"/>
      <c r="BA66" s="360"/>
      <c r="BB66" s="360"/>
      <c r="BC66" s="360"/>
      <c r="BD66" s="360"/>
      <c r="BE66" s="360"/>
      <c r="BF66" s="360"/>
      <c r="BG66" s="360"/>
      <c r="BH66" s="360"/>
      <c r="BI66" s="360"/>
      <c r="BJ66" s="360"/>
      <c r="BK66" s="360"/>
      <c r="BL66" s="360"/>
      <c r="BM66" s="360"/>
      <c r="BN66" s="360"/>
      <c r="BO66" s="360"/>
      <c r="BP66" s="360"/>
      <c r="BQ66" s="360"/>
      <c r="BR66" s="360"/>
      <c r="BS66" s="360"/>
      <c r="BT66" s="360"/>
    </row>
    <row r="67" spans="1:72" ht="23.25" thickBot="1" x14ac:dyDescent="0.65">
      <c r="A67" s="360"/>
      <c r="B67" s="360"/>
      <c r="C67" s="360"/>
      <c r="D67" s="360"/>
      <c r="E67" s="360"/>
      <c r="F67" s="360"/>
      <c r="G67" s="360"/>
      <c r="H67" s="360"/>
      <c r="I67" s="360"/>
      <c r="J67" s="360"/>
      <c r="K67" s="360"/>
      <c r="L67" s="360"/>
      <c r="M67" s="360"/>
      <c r="N67" s="360"/>
      <c r="O67" s="360"/>
      <c r="P67" s="360"/>
      <c r="Q67" s="360"/>
      <c r="R67" s="360"/>
      <c r="S67" s="360"/>
      <c r="T67" s="366"/>
      <c r="U67" s="366"/>
      <c r="V67" s="365"/>
      <c r="W67" s="364"/>
      <c r="X67" s="365"/>
      <c r="Y67" s="365"/>
      <c r="Z67" s="365"/>
      <c r="AA67" s="365"/>
      <c r="AB67" s="364"/>
      <c r="AC67" s="365"/>
      <c r="AD67" s="365"/>
      <c r="AE67" s="365"/>
      <c r="AF67" s="365"/>
      <c r="AG67" s="360"/>
      <c r="AH67" s="360"/>
      <c r="AI67" s="360"/>
      <c r="AJ67" s="360"/>
      <c r="AK67" s="360"/>
      <c r="AL67" s="360"/>
      <c r="AM67" s="360"/>
      <c r="AN67" s="360"/>
      <c r="AO67" s="360"/>
      <c r="AP67" s="360"/>
      <c r="AQ67" s="360"/>
      <c r="AR67" s="360"/>
      <c r="AS67" s="360"/>
      <c r="AT67" s="360"/>
      <c r="AU67" s="360"/>
      <c r="AV67" s="360"/>
      <c r="AW67" s="360"/>
      <c r="AX67" s="360"/>
      <c r="AY67" s="360"/>
      <c r="AZ67" s="360"/>
      <c r="BA67" s="360"/>
      <c r="BB67" s="360"/>
      <c r="BC67" s="360"/>
      <c r="BD67" s="360"/>
      <c r="BE67" s="360"/>
      <c r="BF67" s="360"/>
      <c r="BG67" s="360"/>
      <c r="BH67" s="360"/>
      <c r="BI67" s="360"/>
      <c r="BJ67" s="360"/>
      <c r="BK67" s="360"/>
      <c r="BL67" s="360"/>
      <c r="BM67" s="360"/>
      <c r="BN67" s="360"/>
      <c r="BO67" s="360"/>
      <c r="BP67" s="360"/>
      <c r="BQ67" s="360"/>
      <c r="BR67" s="360"/>
      <c r="BS67" s="360"/>
      <c r="BT67" s="360"/>
    </row>
    <row r="68" spans="1:72" x14ac:dyDescent="0.6">
      <c r="A68" s="437" t="s">
        <v>114</v>
      </c>
      <c r="B68" s="350" t="s">
        <v>167</v>
      </c>
      <c r="C68" s="350" t="s">
        <v>165</v>
      </c>
      <c r="D68" s="350" t="s">
        <v>164</v>
      </c>
      <c r="E68" s="350" t="s">
        <v>163</v>
      </c>
      <c r="F68" s="350" t="s">
        <v>162</v>
      </c>
      <c r="G68" s="350" t="s">
        <v>146</v>
      </c>
      <c r="H68" s="350" t="s">
        <v>161</v>
      </c>
      <c r="I68" s="351" t="s">
        <v>161</v>
      </c>
      <c r="J68" s="360"/>
      <c r="K68" s="365"/>
      <c r="L68" s="365"/>
      <c r="M68" s="365"/>
      <c r="N68" s="365"/>
      <c r="O68" s="360"/>
      <c r="P68" s="360"/>
      <c r="Q68" s="360"/>
      <c r="R68" s="360"/>
      <c r="S68" s="360"/>
      <c r="T68" s="366"/>
      <c r="U68" s="366"/>
      <c r="V68" s="365"/>
      <c r="W68" s="364"/>
      <c r="X68" s="365"/>
      <c r="Y68" s="365"/>
      <c r="Z68" s="365"/>
      <c r="AA68" s="365"/>
      <c r="AB68" s="364"/>
      <c r="AC68" s="365"/>
      <c r="AD68" s="365"/>
      <c r="AE68" s="365"/>
      <c r="AF68" s="365"/>
      <c r="AG68" s="360"/>
      <c r="AH68" s="360"/>
      <c r="AI68" s="360"/>
      <c r="AJ68" s="360"/>
      <c r="AK68" s="360"/>
      <c r="AL68" s="360"/>
      <c r="AM68" s="360"/>
      <c r="AN68" s="360"/>
      <c r="AO68" s="360"/>
      <c r="AP68" s="360"/>
      <c r="AQ68" s="360"/>
      <c r="AR68" s="360"/>
      <c r="AS68" s="360"/>
      <c r="AT68" s="360"/>
      <c r="AU68" s="360"/>
      <c r="AV68" s="360"/>
      <c r="AW68" s="360"/>
      <c r="AX68" s="360"/>
      <c r="AY68" s="360"/>
      <c r="AZ68" s="360"/>
      <c r="BA68" s="360"/>
      <c r="BB68" s="360"/>
      <c r="BC68" s="360"/>
      <c r="BD68" s="360"/>
      <c r="BE68" s="360"/>
      <c r="BF68" s="360"/>
      <c r="BG68" s="360"/>
      <c r="BH68" s="360"/>
      <c r="BI68" s="360"/>
      <c r="BJ68" s="360"/>
      <c r="BK68" s="360"/>
      <c r="BL68" s="360"/>
      <c r="BM68" s="360"/>
      <c r="BN68" s="360"/>
      <c r="BO68" s="360"/>
      <c r="BP68" s="360"/>
      <c r="BQ68" s="360"/>
      <c r="BR68" s="360"/>
      <c r="BS68" s="360"/>
      <c r="BT68" s="360"/>
    </row>
    <row r="69" spans="1:72" x14ac:dyDescent="0.6">
      <c r="A69" s="427"/>
      <c r="B69" s="353" t="s">
        <v>95</v>
      </c>
      <c r="C69" s="353" t="s">
        <v>39</v>
      </c>
      <c r="D69" s="353" t="s">
        <v>54</v>
      </c>
      <c r="E69" s="352" t="s">
        <v>148</v>
      </c>
      <c r="F69" s="353" t="s">
        <v>149</v>
      </c>
      <c r="G69" s="353" t="s">
        <v>146</v>
      </c>
      <c r="H69" s="353" t="s">
        <v>150</v>
      </c>
      <c r="I69" s="354" t="s">
        <v>159</v>
      </c>
      <c r="J69" s="360"/>
      <c r="K69" s="360"/>
      <c r="L69" s="360"/>
      <c r="M69" s="360"/>
      <c r="N69" s="360"/>
      <c r="O69" s="360"/>
      <c r="P69" s="360"/>
      <c r="Q69" s="360"/>
      <c r="R69" s="360"/>
      <c r="S69" s="360"/>
      <c r="T69" s="366"/>
      <c r="U69" s="366"/>
      <c r="V69" s="365"/>
      <c r="W69" s="364"/>
      <c r="X69" s="365"/>
      <c r="Y69" s="365"/>
      <c r="Z69" s="365"/>
      <c r="AA69" s="365"/>
      <c r="AB69" s="364"/>
      <c r="AC69" s="365"/>
      <c r="AD69" s="365"/>
      <c r="AE69" s="365"/>
      <c r="AF69" s="365"/>
      <c r="AG69" s="360"/>
      <c r="AH69" s="360"/>
      <c r="AI69" s="360"/>
      <c r="AJ69" s="360"/>
      <c r="AK69" s="360"/>
      <c r="AL69" s="360"/>
      <c r="AM69" s="360"/>
      <c r="AN69" s="360"/>
      <c r="AO69" s="360"/>
      <c r="AP69" s="360"/>
      <c r="AQ69" s="360"/>
      <c r="AR69" s="360"/>
      <c r="AS69" s="360"/>
      <c r="AT69" s="360"/>
      <c r="AU69" s="360"/>
      <c r="AV69" s="360"/>
      <c r="AW69" s="360"/>
      <c r="AX69" s="360"/>
      <c r="AY69" s="360"/>
      <c r="AZ69" s="360"/>
      <c r="BA69" s="360"/>
      <c r="BB69" s="360"/>
      <c r="BC69" s="360"/>
      <c r="BD69" s="360"/>
      <c r="BE69" s="360"/>
      <c r="BF69" s="360"/>
      <c r="BG69" s="360"/>
      <c r="BH69" s="360"/>
      <c r="BI69" s="360"/>
      <c r="BJ69" s="360"/>
      <c r="BK69" s="360"/>
      <c r="BL69" s="360"/>
      <c r="BM69" s="360"/>
      <c r="BN69" s="360"/>
      <c r="BO69" s="360"/>
      <c r="BP69" s="360"/>
      <c r="BQ69" s="360"/>
      <c r="BR69" s="360"/>
      <c r="BS69" s="360"/>
      <c r="BT69" s="360"/>
    </row>
    <row r="70" spans="1:72" x14ac:dyDescent="0.6">
      <c r="A70" s="427"/>
      <c r="B70" s="520">
        <v>540581</v>
      </c>
      <c r="C70" s="520">
        <v>540581</v>
      </c>
      <c r="D70" s="520">
        <v>540581</v>
      </c>
      <c r="E70" s="520"/>
      <c r="F70" s="520">
        <v>463946</v>
      </c>
      <c r="G70" s="520">
        <v>0</v>
      </c>
      <c r="H70" s="520">
        <f>B145</f>
        <v>463946</v>
      </c>
      <c r="I70" s="392">
        <f>B153</f>
        <v>440566.59913902252</v>
      </c>
      <c r="J70" s="360"/>
      <c r="K70" s="360"/>
      <c r="L70" s="360"/>
      <c r="M70" s="360"/>
      <c r="N70" s="360"/>
      <c r="O70" s="360"/>
      <c r="P70" s="360"/>
      <c r="Q70" s="360"/>
      <c r="R70" s="360"/>
      <c r="S70" s="360"/>
      <c r="T70" s="366"/>
      <c r="U70" s="366"/>
      <c r="V70" s="366"/>
      <c r="W70" s="365"/>
      <c r="X70" s="366"/>
      <c r="Y70" s="366"/>
      <c r="Z70" s="366"/>
      <c r="AA70" s="366"/>
      <c r="AB70" s="364"/>
      <c r="AC70" s="366"/>
      <c r="AD70" s="366"/>
      <c r="AE70" s="366"/>
      <c r="AF70" s="366"/>
      <c r="AG70" s="360"/>
      <c r="AH70" s="360"/>
      <c r="AI70" s="360"/>
      <c r="AJ70" s="360"/>
      <c r="AK70" s="360"/>
      <c r="AL70" s="360"/>
      <c r="AM70" s="360"/>
      <c r="AN70" s="360"/>
      <c r="AO70" s="360"/>
      <c r="AP70" s="360"/>
      <c r="AQ70" s="360"/>
      <c r="AR70" s="360"/>
      <c r="AS70" s="360"/>
      <c r="AT70" s="360"/>
      <c r="AU70" s="360"/>
      <c r="AV70" s="360"/>
      <c r="AW70" s="360"/>
      <c r="AX70" s="360"/>
      <c r="AY70" s="360"/>
      <c r="AZ70" s="360"/>
      <c r="BA70" s="360"/>
      <c r="BB70" s="360"/>
      <c r="BC70" s="360"/>
      <c r="BD70" s="360"/>
      <c r="BE70" s="360"/>
      <c r="BF70" s="360"/>
      <c r="BG70" s="360"/>
      <c r="BH70" s="360"/>
      <c r="BI70" s="360"/>
      <c r="BJ70" s="360"/>
      <c r="BK70" s="360"/>
      <c r="BL70" s="360"/>
      <c r="BM70" s="360"/>
      <c r="BN70" s="360"/>
      <c r="BO70" s="360"/>
      <c r="BP70" s="360"/>
      <c r="BQ70" s="360"/>
      <c r="BR70" s="360"/>
      <c r="BS70" s="360"/>
      <c r="BT70" s="360"/>
    </row>
    <row r="71" spans="1:72" ht="25.5" x14ac:dyDescent="0.7">
      <c r="A71" s="300" t="s">
        <v>67</v>
      </c>
      <c r="B71" s="546">
        <f>J9</f>
        <v>75168</v>
      </c>
      <c r="C71" s="546">
        <f t="shared" ref="C71:D71" si="43">K9</f>
        <v>79114</v>
      </c>
      <c r="D71" s="546">
        <f t="shared" si="43"/>
        <v>79389</v>
      </c>
      <c r="E71" s="546"/>
      <c r="F71" s="546">
        <f>O9</f>
        <v>63184</v>
      </c>
      <c r="G71" s="367">
        <v>0</v>
      </c>
      <c r="H71" s="520">
        <f t="shared" ref="H71:H72" si="44">F71</f>
        <v>63184</v>
      </c>
      <c r="I71" s="545"/>
      <c r="J71" s="360"/>
      <c r="K71" s="366"/>
      <c r="L71" s="366"/>
      <c r="M71" s="366"/>
      <c r="N71" s="366"/>
      <c r="O71" s="360"/>
      <c r="P71" s="360"/>
      <c r="Q71" s="360"/>
      <c r="R71" s="360"/>
      <c r="S71" s="360"/>
      <c r="T71" s="366"/>
      <c r="U71" s="366"/>
      <c r="V71" s="366"/>
      <c r="W71" s="360"/>
      <c r="X71" s="365"/>
      <c r="Y71" s="365"/>
      <c r="Z71" s="366"/>
      <c r="AA71" s="366"/>
      <c r="AB71" s="360"/>
      <c r="AC71" s="366"/>
      <c r="AD71" s="366"/>
      <c r="AE71" s="366"/>
      <c r="AF71" s="366"/>
      <c r="AG71" s="360"/>
      <c r="AH71" s="360"/>
      <c r="AI71" s="360"/>
      <c r="AJ71" s="360"/>
      <c r="AK71" s="360"/>
      <c r="AL71" s="360"/>
      <c r="AM71" s="360"/>
      <c r="AN71" s="360"/>
      <c r="AO71" s="360"/>
      <c r="AP71" s="360"/>
      <c r="AQ71" s="360"/>
      <c r="AR71" s="360"/>
      <c r="AS71" s="360"/>
      <c r="AT71" s="360"/>
      <c r="AU71" s="360"/>
      <c r="AV71" s="360"/>
      <c r="AW71" s="360"/>
      <c r="AX71" s="360"/>
      <c r="AY71" s="360"/>
      <c r="AZ71" s="360"/>
      <c r="BA71" s="360"/>
      <c r="BB71" s="360"/>
      <c r="BC71" s="360"/>
      <c r="BD71" s="360"/>
      <c r="BE71" s="360"/>
      <c r="BF71" s="360"/>
      <c r="BG71" s="360"/>
      <c r="BH71" s="360"/>
      <c r="BI71" s="360"/>
      <c r="BJ71" s="360"/>
      <c r="BK71" s="360"/>
      <c r="BL71" s="360"/>
      <c r="BM71" s="360"/>
      <c r="BN71" s="360"/>
      <c r="BO71" s="360"/>
      <c r="BP71" s="360"/>
      <c r="BQ71" s="360"/>
      <c r="BR71" s="360"/>
      <c r="BS71" s="360"/>
      <c r="BT71" s="360"/>
    </row>
    <row r="72" spans="1:72" ht="26.25" thickBot="1" x14ac:dyDescent="0.75">
      <c r="A72" s="227" t="s">
        <v>66</v>
      </c>
      <c r="B72" s="531">
        <f>B70/B71</f>
        <v>7.1916373988931461</v>
      </c>
      <c r="C72" s="531">
        <f t="shared" ref="C72:F72" si="45">C70/C71</f>
        <v>6.8329372803802109</v>
      </c>
      <c r="D72" s="531">
        <f t="shared" si="45"/>
        <v>6.8092682865384377</v>
      </c>
      <c r="E72" s="531"/>
      <c r="F72" s="531">
        <f t="shared" si="45"/>
        <v>7.3427766523170419</v>
      </c>
      <c r="G72" s="379">
        <v>0</v>
      </c>
      <c r="H72" s="531">
        <f t="shared" si="44"/>
        <v>7.3427766523170419</v>
      </c>
      <c r="I72" s="381"/>
      <c r="J72" s="360"/>
      <c r="K72" s="360"/>
      <c r="L72" s="360"/>
      <c r="M72" s="360"/>
      <c r="N72" s="360"/>
      <c r="O72" s="360"/>
      <c r="P72" s="360"/>
      <c r="Q72" s="360"/>
      <c r="R72" s="360"/>
      <c r="S72" s="360"/>
      <c r="T72" s="360"/>
      <c r="U72" s="360"/>
      <c r="V72" s="360"/>
      <c r="W72" s="360"/>
      <c r="X72" s="360"/>
      <c r="Y72" s="360"/>
      <c r="Z72" s="360"/>
      <c r="AA72" s="360"/>
      <c r="AB72" s="360"/>
      <c r="AC72" s="360"/>
      <c r="AD72" s="360"/>
      <c r="AE72" s="360"/>
      <c r="AF72" s="360"/>
      <c r="AG72" s="360"/>
      <c r="AH72" s="360"/>
      <c r="AI72" s="360"/>
      <c r="AJ72" s="360"/>
      <c r="AK72" s="360"/>
      <c r="AL72" s="360"/>
      <c r="AM72" s="360"/>
      <c r="AN72" s="360"/>
      <c r="AO72" s="360"/>
      <c r="AP72" s="360"/>
      <c r="AQ72" s="360"/>
      <c r="AR72" s="360"/>
      <c r="AS72" s="360"/>
      <c r="AT72" s="360"/>
      <c r="AU72" s="360"/>
      <c r="AV72" s="360"/>
      <c r="AW72" s="360"/>
      <c r="AX72" s="360"/>
      <c r="AY72" s="360"/>
      <c r="AZ72" s="360"/>
      <c r="BA72" s="360"/>
      <c r="BB72" s="360"/>
      <c r="BC72" s="360"/>
      <c r="BD72" s="360"/>
      <c r="BE72" s="360"/>
      <c r="BF72" s="360"/>
      <c r="BG72" s="360"/>
      <c r="BH72" s="360"/>
      <c r="BI72" s="360"/>
      <c r="BJ72" s="360"/>
      <c r="BK72" s="360"/>
      <c r="BL72" s="360"/>
      <c r="BM72" s="360"/>
      <c r="BN72" s="360"/>
      <c r="BO72" s="360"/>
      <c r="BP72" s="360"/>
      <c r="BQ72" s="360"/>
      <c r="BR72" s="360"/>
      <c r="BS72" s="360"/>
      <c r="BT72" s="360"/>
    </row>
    <row r="74" spans="1:72" ht="23.25" thickBot="1" x14ac:dyDescent="0.65"/>
    <row r="75" spans="1:72" x14ac:dyDescent="0.6">
      <c r="A75" s="437" t="s">
        <v>116</v>
      </c>
      <c r="B75" s="350" t="s">
        <v>167</v>
      </c>
      <c r="C75" s="350" t="s">
        <v>165</v>
      </c>
      <c r="D75" s="350" t="s">
        <v>164</v>
      </c>
      <c r="E75" s="350" t="s">
        <v>163</v>
      </c>
      <c r="F75" s="350" t="s">
        <v>162</v>
      </c>
      <c r="G75" s="350" t="s">
        <v>146</v>
      </c>
      <c r="H75" s="350" t="s">
        <v>161</v>
      </c>
      <c r="I75" s="351" t="s">
        <v>161</v>
      </c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6"/>
      <c r="U75" s="366"/>
      <c r="V75" s="365"/>
      <c r="W75" s="360"/>
      <c r="X75" s="365"/>
      <c r="Y75" s="365"/>
      <c r="Z75" s="365"/>
      <c r="AA75" s="365"/>
      <c r="AB75" s="360"/>
      <c r="AC75" s="365"/>
      <c r="AD75" s="365"/>
      <c r="AE75" s="365"/>
      <c r="AF75" s="365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0"/>
      <c r="AS75" s="360"/>
      <c r="AT75" s="360"/>
      <c r="AU75" s="360"/>
      <c r="AV75" s="360"/>
      <c r="AW75" s="360"/>
      <c r="AX75" s="360"/>
      <c r="AY75" s="360"/>
      <c r="AZ75" s="360"/>
      <c r="BA75" s="360"/>
      <c r="BB75" s="360"/>
      <c r="BC75" s="360"/>
      <c r="BD75" s="360"/>
      <c r="BE75" s="360"/>
      <c r="BF75" s="360"/>
      <c r="BG75" s="360"/>
      <c r="BH75" s="360"/>
      <c r="BI75" s="360"/>
      <c r="BJ75" s="360"/>
      <c r="BK75" s="360"/>
      <c r="BL75" s="360"/>
      <c r="BM75" s="360"/>
      <c r="BN75" s="360"/>
      <c r="BO75" s="360"/>
      <c r="BP75" s="360"/>
      <c r="BQ75" s="360"/>
      <c r="BR75" s="360"/>
      <c r="BS75" s="360"/>
      <c r="BT75" s="360"/>
    </row>
    <row r="76" spans="1:72" x14ac:dyDescent="0.6">
      <c r="A76" s="427"/>
      <c r="B76" s="353" t="s">
        <v>95</v>
      </c>
      <c r="C76" s="353" t="s">
        <v>39</v>
      </c>
      <c r="D76" s="353" t="s">
        <v>54</v>
      </c>
      <c r="E76" s="352" t="s">
        <v>148</v>
      </c>
      <c r="F76" s="353" t="s">
        <v>149</v>
      </c>
      <c r="G76" s="353" t="s">
        <v>146</v>
      </c>
      <c r="H76" s="353" t="s">
        <v>150</v>
      </c>
      <c r="I76" s="354" t="s">
        <v>159</v>
      </c>
      <c r="J76" s="360"/>
      <c r="K76" s="366"/>
      <c r="L76" s="366"/>
      <c r="M76" s="366"/>
      <c r="N76" s="366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0"/>
      <c r="AS76" s="360"/>
      <c r="AT76" s="360"/>
      <c r="AU76" s="360"/>
      <c r="AV76" s="360"/>
      <c r="AW76" s="360"/>
      <c r="AX76" s="360"/>
      <c r="AY76" s="360"/>
      <c r="AZ76" s="360"/>
      <c r="BA76" s="360"/>
      <c r="BB76" s="360"/>
      <c r="BC76" s="360"/>
      <c r="BD76" s="360"/>
      <c r="BE76" s="360"/>
      <c r="BF76" s="360"/>
      <c r="BG76" s="360"/>
      <c r="BH76" s="360"/>
      <c r="BI76" s="360"/>
      <c r="BJ76" s="360"/>
      <c r="BK76" s="360"/>
      <c r="BL76" s="360"/>
      <c r="BM76" s="360"/>
      <c r="BN76" s="360"/>
      <c r="BO76" s="360"/>
      <c r="BP76" s="360"/>
      <c r="BQ76" s="360"/>
      <c r="BR76" s="360"/>
      <c r="BS76" s="360"/>
      <c r="BT76" s="360"/>
    </row>
    <row r="77" spans="1:72" ht="23.25" thickBot="1" x14ac:dyDescent="0.65">
      <c r="A77" s="430"/>
      <c r="B77" s="534">
        <v>1751206</v>
      </c>
      <c r="C77" s="534">
        <v>1752475</v>
      </c>
      <c r="D77" s="534"/>
      <c r="E77" s="534">
        <v>1430274</v>
      </c>
      <c r="F77" s="534">
        <f>E77</f>
        <v>1430274</v>
      </c>
      <c r="G77" s="534"/>
      <c r="H77" s="534">
        <f>H70*H82/1000000</f>
        <v>1430274</v>
      </c>
      <c r="I77" s="547">
        <f>I70*I82/1000000</f>
        <v>2643399.5948341354</v>
      </c>
      <c r="J77" s="360"/>
      <c r="K77" s="366"/>
      <c r="L77" s="366"/>
      <c r="M77" s="366"/>
      <c r="N77" s="366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0"/>
      <c r="AS77" s="360"/>
      <c r="AT77" s="360"/>
      <c r="AU77" s="360"/>
      <c r="AV77" s="360"/>
      <c r="AW77" s="360"/>
      <c r="AX77" s="360"/>
      <c r="AY77" s="360"/>
      <c r="AZ77" s="360"/>
      <c r="BA77" s="360"/>
      <c r="BB77" s="360"/>
      <c r="BC77" s="360"/>
      <c r="BD77" s="360"/>
      <c r="BE77" s="360"/>
      <c r="BF77" s="360"/>
      <c r="BG77" s="360"/>
      <c r="BH77" s="360"/>
      <c r="BI77" s="360"/>
      <c r="BJ77" s="360"/>
      <c r="BK77" s="360"/>
      <c r="BL77" s="360"/>
      <c r="BM77" s="360"/>
      <c r="BN77" s="360"/>
      <c r="BO77" s="360"/>
      <c r="BP77" s="360"/>
      <c r="BQ77" s="360"/>
      <c r="BR77" s="360"/>
      <c r="BS77" s="360"/>
      <c r="BT77" s="360"/>
    </row>
    <row r="78" spans="1:72" x14ac:dyDescent="0.6">
      <c r="I78" s="366"/>
      <c r="J78" s="366"/>
      <c r="K78" s="366"/>
      <c r="L78" s="366"/>
      <c r="M78" s="366"/>
      <c r="N78" s="366"/>
      <c r="O78" s="360"/>
      <c r="P78" s="360"/>
      <c r="Q78" s="360"/>
      <c r="R78" s="360"/>
      <c r="S78" s="360"/>
      <c r="T78" s="366"/>
      <c r="U78" s="366"/>
      <c r="V78" s="366"/>
      <c r="W78" s="360"/>
      <c r="X78" s="366"/>
      <c r="Y78" s="366"/>
      <c r="Z78" s="366"/>
      <c r="AA78" s="366"/>
      <c r="AB78" s="360"/>
      <c r="AC78" s="366"/>
      <c r="AD78" s="366"/>
      <c r="AE78" s="366"/>
      <c r="AF78" s="366"/>
      <c r="AG78" s="360"/>
      <c r="AH78" s="360"/>
      <c r="AI78" s="360"/>
      <c r="AJ78" s="360"/>
      <c r="AK78" s="360"/>
      <c r="AL78" s="360"/>
      <c r="AM78" s="360"/>
      <c r="AN78" s="360"/>
      <c r="AO78" s="360"/>
      <c r="AP78" s="360"/>
      <c r="AQ78" s="360"/>
      <c r="AR78" s="360"/>
      <c r="AS78" s="360"/>
      <c r="AT78" s="360"/>
      <c r="AU78" s="360"/>
      <c r="AV78" s="360"/>
      <c r="AW78" s="360"/>
      <c r="AX78" s="360"/>
      <c r="AY78" s="360"/>
      <c r="AZ78" s="360"/>
      <c r="BA78" s="360"/>
      <c r="BB78" s="360"/>
      <c r="BC78" s="360"/>
      <c r="BD78" s="360"/>
      <c r="BE78" s="360"/>
      <c r="BF78" s="360"/>
      <c r="BG78" s="360"/>
      <c r="BH78" s="360"/>
      <c r="BI78" s="360"/>
      <c r="BJ78" s="360"/>
      <c r="BK78" s="360"/>
      <c r="BL78" s="360"/>
      <c r="BM78" s="360"/>
      <c r="BN78" s="360"/>
      <c r="BO78" s="360"/>
      <c r="BP78" s="360"/>
      <c r="BQ78" s="360"/>
      <c r="BR78" s="360"/>
      <c r="BS78" s="360"/>
      <c r="BT78" s="360"/>
    </row>
    <row r="79" spans="1:72" ht="23.25" thickBot="1" x14ac:dyDescent="0.65">
      <c r="A79" s="360"/>
      <c r="C79" s="366"/>
      <c r="D79" s="366"/>
      <c r="E79" s="365"/>
      <c r="F79" s="360"/>
      <c r="G79" s="365"/>
      <c r="H79" s="365"/>
      <c r="I79" s="365"/>
      <c r="J79" s="360"/>
      <c r="K79" s="365"/>
      <c r="L79" s="365"/>
      <c r="M79" s="365"/>
      <c r="N79" s="365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F79" s="360"/>
      <c r="AG79" s="360"/>
      <c r="AH79" s="360"/>
      <c r="AI79" s="360"/>
      <c r="AJ79" s="360"/>
      <c r="AK79" s="360"/>
      <c r="AL79" s="360"/>
      <c r="AM79" s="360"/>
      <c r="AN79" s="360"/>
      <c r="AO79" s="360"/>
      <c r="AP79" s="360"/>
      <c r="AQ79" s="360"/>
      <c r="AR79" s="360"/>
      <c r="AS79" s="360"/>
      <c r="AT79" s="360"/>
      <c r="AU79" s="360"/>
      <c r="AV79" s="360"/>
      <c r="AW79" s="360"/>
      <c r="AX79" s="360"/>
      <c r="AY79" s="360"/>
      <c r="AZ79" s="360"/>
      <c r="BA79" s="360"/>
      <c r="BB79" s="360"/>
      <c r="BC79" s="360"/>
      <c r="BD79" s="360"/>
      <c r="BE79" s="360"/>
      <c r="BF79" s="360"/>
      <c r="BG79" s="360"/>
      <c r="BH79" s="360"/>
      <c r="BI79" s="360"/>
      <c r="BJ79" s="360"/>
      <c r="BK79" s="360"/>
      <c r="BL79" s="360"/>
      <c r="BM79" s="360"/>
      <c r="BN79" s="360"/>
      <c r="BO79" s="360"/>
      <c r="BP79" s="360"/>
      <c r="BQ79" s="360"/>
      <c r="BR79" s="360"/>
      <c r="BS79" s="360"/>
      <c r="BT79" s="360"/>
    </row>
    <row r="80" spans="1:72" x14ac:dyDescent="0.6">
      <c r="A80" s="437" t="s">
        <v>117</v>
      </c>
      <c r="B80" s="350" t="s">
        <v>167</v>
      </c>
      <c r="C80" s="350" t="s">
        <v>165</v>
      </c>
      <c r="D80" s="350" t="s">
        <v>164</v>
      </c>
      <c r="E80" s="350" t="s">
        <v>163</v>
      </c>
      <c r="F80" s="350" t="s">
        <v>162</v>
      </c>
      <c r="G80" s="350" t="s">
        <v>146</v>
      </c>
      <c r="H80" s="350" t="s">
        <v>161</v>
      </c>
      <c r="I80" s="351" t="s">
        <v>161</v>
      </c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F80" s="360"/>
      <c r="AG80" s="360"/>
      <c r="AH80" s="360"/>
      <c r="AI80" s="360"/>
      <c r="AJ80" s="360"/>
      <c r="AK80" s="360"/>
      <c r="AL80" s="360"/>
      <c r="AM80" s="360"/>
      <c r="AN80" s="360"/>
      <c r="AO80" s="360"/>
      <c r="AP80" s="360"/>
      <c r="AQ80" s="360"/>
      <c r="AR80" s="360"/>
      <c r="AS80" s="360"/>
      <c r="AT80" s="360"/>
      <c r="AU80" s="360"/>
      <c r="AV80" s="360"/>
      <c r="AW80" s="360"/>
      <c r="AX80" s="360"/>
      <c r="AY80" s="360"/>
      <c r="AZ80" s="360"/>
      <c r="BA80" s="360"/>
      <c r="BB80" s="360"/>
      <c r="BC80" s="360"/>
      <c r="BD80" s="360"/>
      <c r="BE80" s="360"/>
      <c r="BF80" s="360"/>
      <c r="BG80" s="360"/>
      <c r="BH80" s="360"/>
      <c r="BI80" s="360"/>
      <c r="BJ80" s="360"/>
      <c r="BK80" s="360"/>
      <c r="BL80" s="360"/>
      <c r="BM80" s="360"/>
      <c r="BN80" s="360"/>
      <c r="BO80" s="360"/>
      <c r="BP80" s="360"/>
      <c r="BQ80" s="360"/>
      <c r="BR80" s="360"/>
      <c r="BS80" s="360"/>
      <c r="BT80" s="360"/>
    </row>
    <row r="81" spans="1:72" x14ac:dyDescent="0.6">
      <c r="A81" s="427"/>
      <c r="B81" s="353" t="s">
        <v>95</v>
      </c>
      <c r="C81" s="353" t="s">
        <v>39</v>
      </c>
      <c r="D81" s="353" t="s">
        <v>54</v>
      </c>
      <c r="E81" s="352" t="s">
        <v>148</v>
      </c>
      <c r="F81" s="353" t="s">
        <v>149</v>
      </c>
      <c r="G81" s="353" t="s">
        <v>146</v>
      </c>
      <c r="H81" s="353" t="s">
        <v>150</v>
      </c>
      <c r="I81" s="354" t="s">
        <v>159</v>
      </c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6"/>
      <c r="U81" s="366"/>
      <c r="V81" s="366"/>
      <c r="W81" s="360"/>
      <c r="X81" s="366"/>
      <c r="Y81" s="366"/>
      <c r="Z81" s="366"/>
      <c r="AA81" s="366"/>
      <c r="AB81" s="360"/>
      <c r="AC81" s="366"/>
      <c r="AD81" s="366"/>
      <c r="AE81" s="366"/>
      <c r="AF81" s="366"/>
      <c r="AG81" s="360"/>
      <c r="AH81" s="360"/>
      <c r="AI81" s="360"/>
      <c r="AJ81" s="360"/>
      <c r="AK81" s="360"/>
      <c r="AL81" s="360"/>
      <c r="AM81" s="360"/>
      <c r="AN81" s="360"/>
      <c r="AO81" s="360"/>
      <c r="AP81" s="360"/>
      <c r="AQ81" s="360"/>
      <c r="AR81" s="360"/>
      <c r="AS81" s="360"/>
      <c r="AT81" s="360"/>
      <c r="AU81" s="360"/>
      <c r="AV81" s="360"/>
      <c r="AW81" s="360"/>
      <c r="AX81" s="360"/>
      <c r="AY81" s="360"/>
      <c r="AZ81" s="360"/>
      <c r="BA81" s="360"/>
      <c r="BB81" s="360"/>
      <c r="BC81" s="360"/>
      <c r="BD81" s="360"/>
      <c r="BE81" s="360"/>
      <c r="BF81" s="360"/>
      <c r="BG81" s="360"/>
      <c r="BH81" s="360"/>
      <c r="BI81" s="360"/>
      <c r="BJ81" s="360"/>
      <c r="BK81" s="360"/>
      <c r="BL81" s="360"/>
      <c r="BM81" s="360"/>
      <c r="BN81" s="360"/>
      <c r="BO81" s="360"/>
      <c r="BP81" s="360"/>
      <c r="BQ81" s="360"/>
      <c r="BR81" s="360"/>
      <c r="BS81" s="360"/>
      <c r="BT81" s="360"/>
    </row>
    <row r="82" spans="1:72" ht="23.25" thickBot="1" x14ac:dyDescent="0.65">
      <c r="A82" s="430"/>
      <c r="B82" s="534">
        <f>B77*1000000/B70</f>
        <v>3239488.6242764727</v>
      </c>
      <c r="C82" s="534">
        <f>C77*1000000/C70</f>
        <v>3241836.0985680223</v>
      </c>
      <c r="D82" s="534"/>
      <c r="E82" s="534"/>
      <c r="F82" s="534">
        <f>F77*1000000/F70</f>
        <v>3082845.8484392581</v>
      </c>
      <c r="G82" s="534"/>
      <c r="H82" s="534">
        <f>B146</f>
        <v>3082845.8484392581</v>
      </c>
      <c r="I82" s="401">
        <f>B154</f>
        <v>6000000</v>
      </c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6"/>
      <c r="U82" s="366"/>
      <c r="V82" s="366"/>
      <c r="W82" s="360"/>
      <c r="X82" s="366"/>
      <c r="Y82" s="366"/>
      <c r="Z82" s="366"/>
      <c r="AA82" s="366"/>
      <c r="AB82" s="360"/>
      <c r="AC82" s="366"/>
      <c r="AD82" s="366"/>
      <c r="AE82" s="366"/>
      <c r="AF82" s="366"/>
      <c r="AG82" s="360"/>
      <c r="AH82" s="360"/>
      <c r="AI82" s="360"/>
      <c r="AJ82" s="360"/>
      <c r="AK82" s="360"/>
      <c r="AL82" s="360"/>
      <c r="AM82" s="360"/>
      <c r="AN82" s="360"/>
      <c r="AO82" s="360"/>
      <c r="AP82" s="360"/>
      <c r="AQ82" s="360"/>
      <c r="AR82" s="360"/>
      <c r="AS82" s="360"/>
      <c r="AT82" s="360"/>
      <c r="AU82" s="360"/>
      <c r="AV82" s="360"/>
      <c r="AW82" s="360"/>
      <c r="AX82" s="360"/>
      <c r="AY82" s="360"/>
      <c r="AZ82" s="360"/>
      <c r="BA82" s="360"/>
      <c r="BB82" s="360"/>
      <c r="BC82" s="360"/>
      <c r="BD82" s="360"/>
      <c r="BE82" s="360"/>
      <c r="BF82" s="360"/>
      <c r="BG82" s="360"/>
      <c r="BH82" s="360"/>
      <c r="BI82" s="360"/>
      <c r="BJ82" s="360"/>
      <c r="BK82" s="360"/>
      <c r="BL82" s="360"/>
      <c r="BM82" s="360"/>
      <c r="BN82" s="360"/>
      <c r="BO82" s="360"/>
      <c r="BP82" s="360"/>
      <c r="BQ82" s="360"/>
      <c r="BR82" s="360"/>
      <c r="BS82" s="360"/>
      <c r="BT82" s="360"/>
    </row>
    <row r="83" spans="1:72" x14ac:dyDescent="0.6">
      <c r="A83" s="360"/>
      <c r="B83" s="360"/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6"/>
      <c r="U83" s="366"/>
      <c r="V83" s="360"/>
      <c r="W83" s="360"/>
      <c r="X83" s="366"/>
      <c r="Y83" s="366"/>
      <c r="Z83" s="366"/>
      <c r="AA83" s="366"/>
      <c r="AB83" s="366"/>
      <c r="AC83" s="366"/>
      <c r="AD83" s="366"/>
      <c r="AE83" s="366"/>
      <c r="AF83" s="366"/>
      <c r="AG83" s="360"/>
      <c r="AH83" s="360"/>
      <c r="AI83" s="360"/>
      <c r="AJ83" s="360"/>
      <c r="AK83" s="360"/>
      <c r="AL83" s="360"/>
      <c r="AM83" s="360"/>
      <c r="AN83" s="360"/>
      <c r="AO83" s="360"/>
      <c r="AP83" s="360"/>
      <c r="AQ83" s="360"/>
      <c r="AR83" s="360"/>
      <c r="AS83" s="360"/>
      <c r="AT83" s="360"/>
      <c r="AU83" s="360"/>
      <c r="AV83" s="360"/>
      <c r="AW83" s="360"/>
      <c r="AX83" s="360"/>
      <c r="AY83" s="360"/>
      <c r="AZ83" s="360"/>
      <c r="BA83" s="360"/>
      <c r="BB83" s="360"/>
      <c r="BC83" s="360"/>
      <c r="BD83" s="360"/>
      <c r="BE83" s="360"/>
      <c r="BF83" s="360"/>
      <c r="BG83" s="360"/>
      <c r="BH83" s="360"/>
      <c r="BI83" s="360"/>
      <c r="BJ83" s="360"/>
      <c r="BK83" s="360"/>
      <c r="BL83" s="360"/>
      <c r="BM83" s="360"/>
      <c r="BN83" s="360"/>
      <c r="BO83" s="360"/>
      <c r="BP83" s="360"/>
      <c r="BQ83" s="360"/>
      <c r="BR83" s="360"/>
      <c r="BS83" s="360"/>
      <c r="BT83" s="360"/>
    </row>
    <row r="84" spans="1:72" x14ac:dyDescent="0.6">
      <c r="A84" s="360"/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6"/>
      <c r="U84" s="366"/>
      <c r="V84" s="365"/>
      <c r="W84" s="360"/>
      <c r="X84" s="365"/>
      <c r="Y84" s="365"/>
      <c r="Z84" s="365"/>
      <c r="AA84" s="365"/>
      <c r="AB84" s="360"/>
      <c r="AC84" s="365"/>
      <c r="AD84" s="365"/>
      <c r="AE84" s="365"/>
      <c r="AF84" s="365"/>
      <c r="AG84" s="360"/>
      <c r="AH84" s="360"/>
      <c r="AI84" s="360"/>
      <c r="AJ84" s="360"/>
      <c r="AK84" s="360"/>
      <c r="AL84" s="360"/>
      <c r="AM84" s="360"/>
      <c r="AN84" s="360"/>
      <c r="AO84" s="360"/>
      <c r="AP84" s="360"/>
      <c r="AQ84" s="360"/>
      <c r="AR84" s="360"/>
      <c r="AS84" s="360"/>
      <c r="AT84" s="360"/>
      <c r="AU84" s="360"/>
      <c r="AV84" s="360"/>
      <c r="AW84" s="360"/>
      <c r="AX84" s="360"/>
      <c r="AY84" s="360"/>
      <c r="AZ84" s="360"/>
      <c r="BA84" s="360"/>
      <c r="BB84" s="360"/>
      <c r="BC84" s="360"/>
      <c r="BD84" s="360"/>
      <c r="BE84" s="360"/>
      <c r="BF84" s="360"/>
      <c r="BG84" s="360"/>
      <c r="BH84" s="360"/>
      <c r="BI84" s="360"/>
      <c r="BJ84" s="360"/>
      <c r="BK84" s="360"/>
      <c r="BL84" s="360"/>
      <c r="BM84" s="360"/>
      <c r="BN84" s="360"/>
      <c r="BO84" s="360"/>
      <c r="BP84" s="360"/>
      <c r="BQ84" s="360"/>
      <c r="BR84" s="360"/>
      <c r="BS84" s="360"/>
      <c r="BT84" s="360"/>
    </row>
    <row r="85" spans="1:72" x14ac:dyDescent="0.6">
      <c r="A85" s="519" t="s">
        <v>180</v>
      </c>
      <c r="B85" s="353" t="s">
        <v>167</v>
      </c>
      <c r="C85" s="353" t="s">
        <v>165</v>
      </c>
      <c r="D85" s="353" t="s">
        <v>164</v>
      </c>
      <c r="E85" s="353" t="s">
        <v>163</v>
      </c>
      <c r="F85" s="353" t="s">
        <v>162</v>
      </c>
      <c r="G85" s="353" t="s">
        <v>146</v>
      </c>
      <c r="H85" s="353" t="s">
        <v>161</v>
      </c>
      <c r="I85" s="353" t="s">
        <v>161</v>
      </c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F85" s="360"/>
      <c r="AG85" s="360"/>
      <c r="AH85" s="360"/>
      <c r="AI85" s="360"/>
      <c r="AJ85" s="360"/>
      <c r="AK85" s="360"/>
      <c r="AL85" s="360"/>
      <c r="AM85" s="360"/>
      <c r="AN85" s="360"/>
      <c r="AO85" s="360"/>
      <c r="AP85" s="360"/>
      <c r="AQ85" s="360"/>
      <c r="AR85" s="360"/>
      <c r="AS85" s="360"/>
      <c r="AT85" s="360"/>
      <c r="AU85" s="360"/>
      <c r="AV85" s="360"/>
      <c r="AW85" s="360"/>
      <c r="AX85" s="360"/>
      <c r="AY85" s="360"/>
      <c r="AZ85" s="360"/>
      <c r="BA85" s="360"/>
      <c r="BB85" s="360"/>
      <c r="BC85" s="360"/>
      <c r="BD85" s="360"/>
      <c r="BE85" s="360"/>
      <c r="BF85" s="360"/>
      <c r="BG85" s="360"/>
      <c r="BH85" s="360"/>
      <c r="BI85" s="360"/>
      <c r="BJ85" s="360"/>
      <c r="BK85" s="360"/>
      <c r="BL85" s="360"/>
      <c r="BM85" s="360"/>
      <c r="BN85" s="360"/>
      <c r="BO85" s="360"/>
      <c r="BP85" s="360"/>
      <c r="BQ85" s="360"/>
      <c r="BR85" s="360"/>
      <c r="BS85" s="360"/>
      <c r="BT85" s="360"/>
    </row>
    <row r="86" spans="1:72" x14ac:dyDescent="0.6">
      <c r="A86" s="519"/>
      <c r="B86" s="353" t="s">
        <v>95</v>
      </c>
      <c r="C86" s="353" t="s">
        <v>39</v>
      </c>
      <c r="D86" s="353" t="s">
        <v>54</v>
      </c>
      <c r="E86" s="352" t="s">
        <v>148</v>
      </c>
      <c r="F86" s="353" t="s">
        <v>149</v>
      </c>
      <c r="G86" s="353" t="s">
        <v>146</v>
      </c>
      <c r="H86" s="353" t="s">
        <v>150</v>
      </c>
      <c r="I86" s="353" t="s">
        <v>159</v>
      </c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F86" s="360"/>
      <c r="AG86" s="360"/>
      <c r="AH86" s="360"/>
      <c r="AI86" s="360"/>
      <c r="AJ86" s="360"/>
      <c r="AK86" s="360"/>
      <c r="AL86" s="360"/>
      <c r="AM86" s="360"/>
      <c r="AN86" s="360"/>
      <c r="AO86" s="360"/>
      <c r="AP86" s="360"/>
      <c r="AQ86" s="360"/>
      <c r="AR86" s="360"/>
      <c r="AS86" s="360"/>
      <c r="AT86" s="360"/>
      <c r="AU86" s="360"/>
      <c r="AV86" s="360"/>
      <c r="AW86" s="360"/>
      <c r="AX86" s="360"/>
      <c r="AY86" s="360"/>
      <c r="AZ86" s="360"/>
      <c r="BA86" s="360"/>
      <c r="BB86" s="360"/>
      <c r="BC86" s="360"/>
      <c r="BD86" s="360"/>
      <c r="BE86" s="360"/>
      <c r="BF86" s="360"/>
      <c r="BG86" s="360"/>
      <c r="BH86" s="360"/>
      <c r="BI86" s="360"/>
      <c r="BJ86" s="360"/>
      <c r="BK86" s="360"/>
      <c r="BL86" s="360"/>
      <c r="BM86" s="360"/>
      <c r="BN86" s="360"/>
      <c r="BO86" s="360"/>
      <c r="BP86" s="360"/>
      <c r="BQ86" s="360"/>
      <c r="BR86" s="360"/>
      <c r="BS86" s="360"/>
      <c r="BT86" s="360"/>
    </row>
    <row r="87" spans="1:72" x14ac:dyDescent="0.6">
      <c r="A87" s="519" t="s">
        <v>192</v>
      </c>
      <c r="B87" s="520">
        <v>68669</v>
      </c>
      <c r="C87" s="520">
        <v>124680</v>
      </c>
      <c r="D87" s="520">
        <v>0</v>
      </c>
      <c r="E87" s="520">
        <v>87506</v>
      </c>
      <c r="F87" s="520">
        <f>E87</f>
        <v>87506</v>
      </c>
      <c r="G87" s="520">
        <v>0</v>
      </c>
      <c r="H87" s="520">
        <f>F87*1.3</f>
        <v>113757.8</v>
      </c>
      <c r="I87" s="520">
        <f>H87*1.3</f>
        <v>147885.14000000001</v>
      </c>
      <c r="J87" s="360"/>
      <c r="K87" s="360"/>
      <c r="L87" s="360"/>
      <c r="M87" s="360"/>
      <c r="N87" s="360"/>
      <c r="O87" s="360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F87" s="360"/>
      <c r="AG87" s="360"/>
      <c r="AH87" s="360"/>
      <c r="AI87" s="360"/>
      <c r="AJ87" s="360"/>
      <c r="AK87" s="360"/>
      <c r="AL87" s="360"/>
      <c r="AM87" s="360"/>
      <c r="AN87" s="360"/>
      <c r="AO87" s="360"/>
      <c r="AP87" s="360"/>
      <c r="AQ87" s="360"/>
      <c r="AR87" s="360"/>
      <c r="AS87" s="360"/>
      <c r="AT87" s="360"/>
      <c r="AU87" s="360"/>
      <c r="AV87" s="360"/>
      <c r="AW87" s="360"/>
      <c r="AX87" s="360"/>
      <c r="AY87" s="360"/>
      <c r="AZ87" s="360"/>
      <c r="BA87" s="360"/>
      <c r="BB87" s="360"/>
      <c r="BC87" s="360"/>
      <c r="BD87" s="360"/>
      <c r="BE87" s="360"/>
      <c r="BF87" s="360"/>
      <c r="BG87" s="360"/>
      <c r="BH87" s="360"/>
      <c r="BI87" s="360"/>
      <c r="BJ87" s="360"/>
      <c r="BK87" s="360"/>
      <c r="BL87" s="360"/>
      <c r="BM87" s="360"/>
      <c r="BN87" s="360"/>
      <c r="BO87" s="360"/>
      <c r="BP87" s="360"/>
      <c r="BQ87" s="360"/>
      <c r="BR87" s="360"/>
      <c r="BS87" s="360"/>
      <c r="BT87" s="360"/>
    </row>
    <row r="88" spans="1:72" x14ac:dyDescent="0.6">
      <c r="A88" s="519" t="s">
        <v>204</v>
      </c>
      <c r="B88" s="520">
        <v>33452</v>
      </c>
      <c r="C88" s="520">
        <v>91547</v>
      </c>
      <c r="D88" s="520">
        <v>0</v>
      </c>
      <c r="E88" s="520">
        <v>58621</v>
      </c>
      <c r="F88" s="520">
        <f t="shared" ref="F88:F94" si="46">E88</f>
        <v>58621</v>
      </c>
      <c r="G88" s="520">
        <v>0</v>
      </c>
      <c r="H88" s="520">
        <f t="shared" ref="H88:H94" si="47">F88*1.3</f>
        <v>76207.3</v>
      </c>
      <c r="I88" s="520">
        <f t="shared" ref="I88:I94" si="48">H88*1.3</f>
        <v>99069.49</v>
      </c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0"/>
      <c r="X88" s="360"/>
      <c r="Y88" s="360"/>
      <c r="Z88" s="360"/>
      <c r="AA88" s="360"/>
      <c r="AB88" s="360"/>
      <c r="AC88" s="360"/>
      <c r="AD88" s="360"/>
      <c r="AE88" s="360"/>
      <c r="AF88" s="360"/>
      <c r="AG88" s="360"/>
      <c r="AH88" s="360"/>
      <c r="AI88" s="360"/>
      <c r="AJ88" s="360"/>
      <c r="AK88" s="360"/>
      <c r="AL88" s="360"/>
      <c r="AM88" s="360"/>
      <c r="AN88" s="360"/>
      <c r="AO88" s="360"/>
      <c r="AP88" s="360"/>
      <c r="AQ88" s="360"/>
      <c r="AR88" s="360"/>
      <c r="AS88" s="360"/>
      <c r="AT88" s="360"/>
      <c r="AU88" s="360"/>
      <c r="AV88" s="360"/>
      <c r="AW88" s="360"/>
      <c r="AX88" s="360"/>
      <c r="AY88" s="360"/>
      <c r="AZ88" s="360"/>
      <c r="BA88" s="360"/>
      <c r="BB88" s="360"/>
      <c r="BC88" s="360"/>
      <c r="BD88" s="360"/>
      <c r="BE88" s="360"/>
      <c r="BF88" s="360"/>
      <c r="BG88" s="360"/>
      <c r="BH88" s="360"/>
      <c r="BI88" s="360"/>
      <c r="BJ88" s="360"/>
      <c r="BK88" s="360"/>
      <c r="BL88" s="360"/>
      <c r="BM88" s="360"/>
      <c r="BN88" s="360"/>
      <c r="BO88" s="360"/>
      <c r="BP88" s="360"/>
      <c r="BQ88" s="360"/>
      <c r="BR88" s="360"/>
      <c r="BS88" s="360"/>
      <c r="BT88" s="360"/>
    </row>
    <row r="89" spans="1:72" x14ac:dyDescent="0.6">
      <c r="A89" s="519" t="s">
        <v>205</v>
      </c>
      <c r="B89" s="520">
        <v>16403</v>
      </c>
      <c r="C89" s="520">
        <v>61141</v>
      </c>
      <c r="D89" s="520">
        <v>0</v>
      </c>
      <c r="E89" s="520">
        <v>55328</v>
      </c>
      <c r="F89" s="520">
        <f t="shared" si="46"/>
        <v>55328</v>
      </c>
      <c r="G89" s="520">
        <v>0</v>
      </c>
      <c r="H89" s="520">
        <f t="shared" si="47"/>
        <v>71926.400000000009</v>
      </c>
      <c r="I89" s="520">
        <f t="shared" si="48"/>
        <v>93504.320000000022</v>
      </c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0"/>
      <c r="X89" s="360"/>
      <c r="Y89" s="360"/>
      <c r="Z89" s="360"/>
      <c r="AA89" s="360"/>
      <c r="AB89" s="360"/>
      <c r="AC89" s="360"/>
      <c r="AD89" s="360"/>
      <c r="AE89" s="360"/>
      <c r="AF89" s="360"/>
      <c r="AG89" s="360"/>
      <c r="AH89" s="360"/>
      <c r="AI89" s="360"/>
      <c r="AJ89" s="360"/>
      <c r="AK89" s="360"/>
      <c r="AL89" s="360"/>
      <c r="AM89" s="360"/>
      <c r="AN89" s="360"/>
      <c r="AO89" s="360"/>
      <c r="AP89" s="360"/>
      <c r="AQ89" s="360"/>
      <c r="AR89" s="360"/>
      <c r="AS89" s="360"/>
      <c r="AT89" s="360"/>
      <c r="AU89" s="360"/>
      <c r="AV89" s="360"/>
      <c r="AW89" s="360"/>
      <c r="AX89" s="360"/>
      <c r="AY89" s="360"/>
      <c r="AZ89" s="360"/>
      <c r="BA89" s="360"/>
      <c r="BB89" s="360"/>
      <c r="BC89" s="360"/>
      <c r="BD89" s="360"/>
      <c r="BE89" s="360"/>
      <c r="BF89" s="360"/>
      <c r="BG89" s="360"/>
      <c r="BH89" s="360"/>
      <c r="BI89" s="360"/>
      <c r="BJ89" s="360"/>
      <c r="BK89" s="360"/>
      <c r="BL89" s="360"/>
      <c r="BM89" s="360"/>
      <c r="BN89" s="360"/>
      <c r="BO89" s="360"/>
      <c r="BP89" s="360"/>
      <c r="BQ89" s="360"/>
      <c r="BR89" s="360"/>
      <c r="BS89" s="360"/>
      <c r="BT89" s="360"/>
    </row>
    <row r="90" spans="1:72" x14ac:dyDescent="0.6">
      <c r="A90" s="519" t="s">
        <v>197</v>
      </c>
      <c r="B90" s="520">
        <v>13090</v>
      </c>
      <c r="C90" s="520">
        <v>30957</v>
      </c>
      <c r="D90" s="520">
        <v>0</v>
      </c>
      <c r="E90" s="520">
        <v>17687</v>
      </c>
      <c r="F90" s="520">
        <f t="shared" si="46"/>
        <v>17687</v>
      </c>
      <c r="G90" s="520">
        <v>0</v>
      </c>
      <c r="H90" s="520">
        <f t="shared" si="47"/>
        <v>22993.100000000002</v>
      </c>
      <c r="I90" s="520">
        <f t="shared" si="48"/>
        <v>29891.030000000002</v>
      </c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0"/>
      <c r="X90" s="360"/>
      <c r="Y90" s="360"/>
      <c r="Z90" s="360"/>
      <c r="AA90" s="360"/>
      <c r="AB90" s="360"/>
      <c r="AC90" s="360"/>
      <c r="AD90" s="360"/>
      <c r="AE90" s="360"/>
      <c r="AF90" s="360"/>
      <c r="AG90" s="360"/>
      <c r="AH90" s="360"/>
      <c r="AI90" s="360"/>
      <c r="AJ90" s="360"/>
      <c r="AK90" s="360"/>
      <c r="AL90" s="360"/>
      <c r="AM90" s="360"/>
      <c r="AN90" s="360"/>
      <c r="AO90" s="360"/>
      <c r="AP90" s="360"/>
      <c r="AQ90" s="360"/>
      <c r="AR90" s="360"/>
      <c r="AS90" s="360"/>
      <c r="AT90" s="360"/>
      <c r="AU90" s="360"/>
      <c r="AV90" s="360"/>
      <c r="AW90" s="360"/>
      <c r="AX90" s="360"/>
      <c r="AY90" s="360"/>
      <c r="AZ90" s="360"/>
      <c r="BA90" s="360"/>
      <c r="BB90" s="360"/>
      <c r="BC90" s="360"/>
      <c r="BD90" s="360"/>
      <c r="BE90" s="360"/>
      <c r="BF90" s="360"/>
      <c r="BG90" s="360"/>
      <c r="BH90" s="360"/>
      <c r="BI90" s="360"/>
      <c r="BJ90" s="360"/>
      <c r="BK90" s="360"/>
      <c r="BL90" s="360"/>
      <c r="BM90" s="360"/>
      <c r="BN90" s="360"/>
      <c r="BO90" s="360"/>
      <c r="BP90" s="360"/>
      <c r="BQ90" s="360"/>
      <c r="BR90" s="360"/>
      <c r="BS90" s="360"/>
      <c r="BT90" s="360"/>
    </row>
    <row r="91" spans="1:72" x14ac:dyDescent="0.6">
      <c r="A91" s="519" t="s">
        <v>206</v>
      </c>
      <c r="B91" s="520">
        <f>6592+16595</f>
        <v>23187</v>
      </c>
      <c r="C91" s="520">
        <f>21046+35481</f>
        <v>56527</v>
      </c>
      <c r="D91" s="520">
        <v>0</v>
      </c>
      <c r="E91" s="520">
        <f>10922+141</f>
        <v>11063</v>
      </c>
      <c r="F91" s="520">
        <f t="shared" si="46"/>
        <v>11063</v>
      </c>
      <c r="G91" s="520">
        <v>0</v>
      </c>
      <c r="H91" s="520">
        <f t="shared" si="47"/>
        <v>14381.9</v>
      </c>
      <c r="I91" s="520">
        <f t="shared" si="48"/>
        <v>18696.47</v>
      </c>
      <c r="J91" s="360"/>
      <c r="K91" s="360"/>
      <c r="L91" s="360"/>
      <c r="M91" s="360"/>
      <c r="N91" s="360"/>
      <c r="O91" s="360"/>
      <c r="P91" s="360"/>
      <c r="Q91" s="360"/>
      <c r="R91" s="360"/>
      <c r="S91" s="366"/>
      <c r="T91" s="364"/>
      <c r="U91" s="365"/>
      <c r="V91" s="365"/>
      <c r="W91" s="364"/>
      <c r="X91" s="365"/>
      <c r="Y91" s="366"/>
      <c r="Z91" s="360"/>
      <c r="AA91" s="366"/>
      <c r="AB91" s="365"/>
      <c r="AC91" s="364"/>
      <c r="AD91" s="365"/>
      <c r="AE91" s="365"/>
      <c r="AF91" s="364"/>
      <c r="AG91" s="365"/>
      <c r="AH91" s="360"/>
      <c r="AI91" s="360"/>
      <c r="AJ91" s="360"/>
      <c r="AK91" s="360"/>
      <c r="AL91" s="360"/>
      <c r="AM91" s="360"/>
      <c r="AN91" s="360"/>
      <c r="AO91" s="360"/>
      <c r="AP91" s="360"/>
      <c r="AQ91" s="360"/>
      <c r="AR91" s="360"/>
      <c r="AS91" s="360"/>
      <c r="AT91" s="360"/>
      <c r="AU91" s="360"/>
      <c r="AV91" s="360"/>
      <c r="AW91" s="360"/>
      <c r="AX91" s="360"/>
      <c r="AY91" s="360"/>
      <c r="AZ91" s="360"/>
      <c r="BA91" s="360"/>
      <c r="BB91" s="360"/>
      <c r="BC91" s="360"/>
      <c r="BD91" s="360"/>
      <c r="BE91" s="360"/>
      <c r="BF91" s="360"/>
      <c r="BG91" s="360"/>
      <c r="BH91" s="360"/>
      <c r="BI91" s="360"/>
      <c r="BJ91" s="360"/>
      <c r="BK91" s="360"/>
      <c r="BL91" s="360"/>
      <c r="BM91" s="360"/>
      <c r="BN91" s="360"/>
      <c r="BO91" s="360"/>
      <c r="BP91" s="360"/>
      <c r="BQ91" s="360"/>
      <c r="BR91" s="360"/>
      <c r="BS91" s="360"/>
      <c r="BT91" s="360"/>
    </row>
    <row r="92" spans="1:72" x14ac:dyDescent="0.6">
      <c r="A92" s="519" t="s">
        <v>207</v>
      </c>
      <c r="B92" s="520">
        <v>2021</v>
      </c>
      <c r="C92" s="520">
        <v>3689</v>
      </c>
      <c r="D92" s="520">
        <v>0</v>
      </c>
      <c r="E92" s="520">
        <v>1959</v>
      </c>
      <c r="F92" s="520">
        <f t="shared" si="46"/>
        <v>1959</v>
      </c>
      <c r="G92" s="520">
        <v>0</v>
      </c>
      <c r="H92" s="520">
        <f t="shared" si="47"/>
        <v>2546.7000000000003</v>
      </c>
      <c r="I92" s="520">
        <f t="shared" si="48"/>
        <v>3310.7100000000005</v>
      </c>
      <c r="J92" s="360"/>
      <c r="K92" s="360"/>
      <c r="L92" s="360"/>
      <c r="M92" s="360"/>
      <c r="N92" s="360"/>
      <c r="O92" s="360"/>
      <c r="P92" s="360"/>
      <c r="Q92" s="360"/>
      <c r="R92" s="360"/>
      <c r="S92" s="365"/>
      <c r="T92" s="364"/>
      <c r="U92" s="366"/>
      <c r="V92" s="365"/>
      <c r="W92" s="364"/>
      <c r="X92" s="365"/>
      <c r="Y92" s="366"/>
      <c r="Z92" s="360"/>
      <c r="AA92" s="366"/>
      <c r="AB92" s="365"/>
      <c r="AC92" s="364"/>
      <c r="AD92" s="365"/>
      <c r="AE92" s="365"/>
      <c r="AF92" s="365"/>
      <c r="AG92" s="366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360"/>
      <c r="AU92" s="360"/>
      <c r="AV92" s="360"/>
      <c r="AW92" s="360"/>
      <c r="AX92" s="360"/>
      <c r="AY92" s="360"/>
      <c r="AZ92" s="360"/>
      <c r="BA92" s="360"/>
      <c r="BB92" s="360"/>
      <c r="BC92" s="360"/>
      <c r="BD92" s="360"/>
      <c r="BE92" s="360"/>
      <c r="BF92" s="360"/>
      <c r="BG92" s="360"/>
      <c r="BH92" s="360"/>
      <c r="BI92" s="360"/>
      <c r="BJ92" s="360"/>
      <c r="BK92" s="360"/>
      <c r="BL92" s="360"/>
      <c r="BM92" s="360"/>
      <c r="BN92" s="360"/>
      <c r="BO92" s="360"/>
      <c r="BP92" s="360"/>
      <c r="BQ92" s="360"/>
      <c r="BR92" s="360"/>
      <c r="BS92" s="360"/>
      <c r="BT92" s="360"/>
    </row>
    <row r="93" spans="1:72" x14ac:dyDescent="0.6">
      <c r="A93" s="519" t="s">
        <v>208</v>
      </c>
      <c r="B93" s="520">
        <v>512</v>
      </c>
      <c r="C93" s="520">
        <v>488</v>
      </c>
      <c r="D93" s="520">
        <v>0</v>
      </c>
      <c r="E93" s="520">
        <v>142183</v>
      </c>
      <c r="F93" s="520">
        <f t="shared" si="46"/>
        <v>142183</v>
      </c>
      <c r="G93" s="520">
        <v>0</v>
      </c>
      <c r="H93" s="520">
        <f t="shared" si="47"/>
        <v>184837.9</v>
      </c>
      <c r="I93" s="520">
        <f t="shared" si="48"/>
        <v>240289.27</v>
      </c>
      <c r="J93" s="360"/>
      <c r="K93" s="360"/>
      <c r="L93" s="360"/>
      <c r="M93" s="360"/>
      <c r="N93" s="360"/>
      <c r="O93" s="360"/>
      <c r="P93" s="360"/>
      <c r="Q93" s="360"/>
      <c r="R93" s="360"/>
      <c r="S93" s="366"/>
      <c r="T93" s="360"/>
      <c r="U93" s="366"/>
      <c r="V93" s="365"/>
      <c r="W93" s="364"/>
      <c r="X93" s="365"/>
      <c r="Y93" s="366"/>
      <c r="Z93" s="360"/>
      <c r="AA93" s="366"/>
      <c r="AB93" s="365"/>
      <c r="AC93" s="364"/>
      <c r="AD93" s="365"/>
      <c r="AE93" s="366"/>
      <c r="AF93" s="364"/>
      <c r="AG93" s="365"/>
      <c r="AH93" s="360"/>
      <c r="AI93" s="360"/>
      <c r="AJ93" s="360"/>
      <c r="AK93" s="360"/>
      <c r="AL93" s="360"/>
      <c r="AM93" s="360"/>
      <c r="AN93" s="360"/>
      <c r="AO93" s="360"/>
      <c r="AP93" s="360"/>
      <c r="AQ93" s="360"/>
      <c r="AR93" s="360"/>
      <c r="AS93" s="360"/>
      <c r="AT93" s="360"/>
      <c r="AU93" s="360"/>
      <c r="AV93" s="360"/>
      <c r="AW93" s="360"/>
      <c r="AX93" s="360"/>
      <c r="AY93" s="360"/>
      <c r="AZ93" s="360"/>
      <c r="BA93" s="360"/>
      <c r="BB93" s="360"/>
      <c r="BC93" s="360"/>
      <c r="BD93" s="360"/>
      <c r="BE93" s="360"/>
      <c r="BF93" s="360"/>
      <c r="BG93" s="360"/>
      <c r="BH93" s="360"/>
      <c r="BI93" s="360"/>
      <c r="BJ93" s="360"/>
      <c r="BK93" s="360"/>
      <c r="BL93" s="360"/>
      <c r="BM93" s="360"/>
      <c r="BN93" s="360"/>
      <c r="BO93" s="360"/>
      <c r="BP93" s="360"/>
      <c r="BQ93" s="360"/>
      <c r="BR93" s="360"/>
      <c r="BS93" s="360"/>
      <c r="BT93" s="360"/>
    </row>
    <row r="94" spans="1:72" x14ac:dyDescent="0.6">
      <c r="A94" s="519" t="s">
        <v>209</v>
      </c>
      <c r="B94" s="520">
        <v>11601</v>
      </c>
      <c r="C94" s="520">
        <v>9517</v>
      </c>
      <c r="D94" s="520">
        <v>0</v>
      </c>
      <c r="E94" s="520">
        <v>19012</v>
      </c>
      <c r="F94" s="520">
        <f t="shared" si="46"/>
        <v>19012</v>
      </c>
      <c r="G94" s="520">
        <v>0</v>
      </c>
      <c r="H94" s="520">
        <f t="shared" si="47"/>
        <v>24715.600000000002</v>
      </c>
      <c r="I94" s="520">
        <f t="shared" si="48"/>
        <v>32130.280000000002</v>
      </c>
      <c r="J94" s="360"/>
      <c r="K94" s="360"/>
      <c r="L94" s="360"/>
      <c r="M94" s="360"/>
      <c r="N94" s="360"/>
      <c r="O94" s="360"/>
      <c r="P94" s="360"/>
      <c r="Q94" s="360"/>
      <c r="R94" s="360"/>
      <c r="S94" s="366"/>
      <c r="T94" s="360"/>
      <c r="U94" s="366"/>
      <c r="V94" s="365"/>
      <c r="W94" s="364"/>
      <c r="X94" s="365"/>
      <c r="Y94" s="366"/>
      <c r="Z94" s="360"/>
      <c r="AA94" s="366"/>
      <c r="AB94" s="365"/>
      <c r="AC94" s="364"/>
      <c r="AD94" s="365"/>
      <c r="AE94" s="366"/>
      <c r="AF94" s="360"/>
      <c r="AG94" s="366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360"/>
      <c r="BE94" s="360"/>
      <c r="BF94" s="360"/>
      <c r="BG94" s="360"/>
      <c r="BH94" s="360"/>
      <c r="BI94" s="360"/>
      <c r="BJ94" s="360"/>
      <c r="BK94" s="360"/>
      <c r="BL94" s="360"/>
      <c r="BM94" s="360"/>
      <c r="BN94" s="360"/>
      <c r="BO94" s="360"/>
      <c r="BP94" s="360"/>
      <c r="BQ94" s="360"/>
      <c r="BR94" s="360"/>
      <c r="BS94" s="360"/>
      <c r="BT94" s="360"/>
    </row>
    <row r="95" spans="1:72" x14ac:dyDescent="0.6">
      <c r="A95" s="519" t="s">
        <v>64</v>
      </c>
      <c r="B95" s="520">
        <f>SUM(B87:B94)</f>
        <v>168935</v>
      </c>
      <c r="C95" s="520">
        <f t="shared" ref="C95:I95" si="49">SUM(C87:C94)</f>
        <v>378546</v>
      </c>
      <c r="D95" s="520">
        <f t="shared" si="49"/>
        <v>0</v>
      </c>
      <c r="E95" s="520">
        <f t="shared" si="49"/>
        <v>393359</v>
      </c>
      <c r="F95" s="520">
        <f t="shared" si="49"/>
        <v>393359</v>
      </c>
      <c r="G95" s="520">
        <f t="shared" si="49"/>
        <v>0</v>
      </c>
      <c r="H95" s="520">
        <f t="shared" si="49"/>
        <v>511366.69999999995</v>
      </c>
      <c r="I95" s="520">
        <f t="shared" si="49"/>
        <v>664776.71000000008</v>
      </c>
      <c r="J95" s="360"/>
      <c r="K95" s="360"/>
      <c r="L95" s="360"/>
      <c r="M95" s="360"/>
      <c r="N95" s="360"/>
      <c r="O95" s="360"/>
      <c r="P95" s="360"/>
      <c r="Q95" s="360"/>
      <c r="R95" s="360"/>
      <c r="S95" s="366"/>
      <c r="T95" s="360"/>
      <c r="U95" s="366"/>
      <c r="V95" s="365"/>
      <c r="W95" s="364"/>
      <c r="X95" s="365"/>
      <c r="Y95" s="366"/>
      <c r="Z95" s="360"/>
      <c r="AA95" s="365"/>
      <c r="AB95" s="365"/>
      <c r="AC95" s="364"/>
      <c r="AD95" s="365"/>
      <c r="AE95" s="365"/>
      <c r="AF95" s="366"/>
      <c r="AG95" s="366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360"/>
      <c r="BE95" s="360"/>
      <c r="BF95" s="360"/>
      <c r="BG95" s="360"/>
      <c r="BH95" s="360"/>
      <c r="BI95" s="360"/>
      <c r="BJ95" s="360"/>
      <c r="BK95" s="360"/>
      <c r="BL95" s="360"/>
      <c r="BM95" s="360"/>
      <c r="BN95" s="360"/>
      <c r="BO95" s="360"/>
      <c r="BP95" s="360"/>
      <c r="BQ95" s="360"/>
      <c r="BR95" s="360"/>
      <c r="BS95" s="360"/>
      <c r="BT95" s="360"/>
    </row>
    <row r="96" spans="1:72" x14ac:dyDescent="0.6">
      <c r="A96" s="360"/>
      <c r="B96" s="371"/>
      <c r="C96" s="360"/>
      <c r="D96" s="360"/>
      <c r="E96" s="360"/>
      <c r="F96" s="360"/>
      <c r="G96" s="360"/>
      <c r="H96" s="371"/>
      <c r="I96" s="371"/>
      <c r="J96" s="360"/>
      <c r="K96" s="360"/>
      <c r="L96" s="360"/>
      <c r="M96" s="360"/>
      <c r="N96" s="360"/>
      <c r="O96" s="360"/>
      <c r="P96" s="360"/>
      <c r="Q96" s="360"/>
      <c r="R96" s="360"/>
      <c r="S96" s="366"/>
      <c r="T96" s="360"/>
      <c r="U96" s="366"/>
      <c r="V96" s="366"/>
      <c r="W96" s="365"/>
      <c r="X96" s="366"/>
      <c r="Y96" s="366"/>
      <c r="Z96" s="360"/>
      <c r="AA96" s="366"/>
      <c r="AB96" s="366"/>
      <c r="AC96" s="365"/>
      <c r="AD96" s="366"/>
      <c r="AE96" s="366"/>
      <c r="AF96" s="360"/>
      <c r="AG96" s="366"/>
      <c r="AH96" s="360"/>
      <c r="AI96" s="360"/>
      <c r="AJ96" s="360"/>
      <c r="AK96" s="360"/>
      <c r="AL96" s="360"/>
      <c r="AM96" s="360"/>
      <c r="AN96" s="360"/>
      <c r="AO96" s="360"/>
      <c r="AP96" s="360"/>
      <c r="AQ96" s="360"/>
      <c r="AR96" s="360"/>
      <c r="AS96" s="360"/>
      <c r="AT96" s="360"/>
      <c r="AU96" s="360"/>
      <c r="AV96" s="360"/>
      <c r="AW96" s="360"/>
      <c r="AX96" s="360"/>
      <c r="AY96" s="360"/>
      <c r="AZ96" s="360"/>
      <c r="BA96" s="360"/>
      <c r="BB96" s="360"/>
      <c r="BC96" s="360"/>
      <c r="BD96" s="360"/>
      <c r="BE96" s="360"/>
      <c r="BF96" s="360"/>
      <c r="BG96" s="360"/>
      <c r="BH96" s="360"/>
      <c r="BI96" s="360"/>
      <c r="BJ96" s="360"/>
      <c r="BK96" s="360"/>
      <c r="BL96" s="360"/>
      <c r="BM96" s="360"/>
      <c r="BN96" s="360"/>
      <c r="BO96" s="360"/>
      <c r="BP96" s="360"/>
      <c r="BQ96" s="360"/>
      <c r="BR96" s="360"/>
      <c r="BS96" s="360"/>
      <c r="BT96" s="360"/>
    </row>
    <row r="97" spans="1:72" x14ac:dyDescent="0.6">
      <c r="A97" s="360"/>
      <c r="B97" s="371"/>
      <c r="C97" s="360"/>
      <c r="D97" s="360"/>
      <c r="E97" s="360"/>
      <c r="F97" s="360"/>
      <c r="G97" s="360"/>
      <c r="H97" s="360"/>
      <c r="I97" s="360"/>
      <c r="J97" s="360"/>
      <c r="K97" s="360"/>
      <c r="L97" s="360"/>
      <c r="M97" s="360"/>
      <c r="N97" s="360"/>
      <c r="O97" s="360"/>
      <c r="P97" s="360"/>
      <c r="Q97" s="360"/>
      <c r="R97" s="360"/>
      <c r="S97" s="360"/>
      <c r="T97" s="360"/>
      <c r="U97" s="360"/>
      <c r="V97" s="360"/>
      <c r="W97" s="360"/>
      <c r="X97" s="360"/>
      <c r="Y97" s="360"/>
      <c r="Z97" s="360"/>
      <c r="AA97" s="360"/>
      <c r="AB97" s="360"/>
      <c r="AC97" s="360"/>
      <c r="AD97" s="360"/>
      <c r="AE97" s="360"/>
      <c r="AF97" s="360"/>
      <c r="AG97" s="360"/>
      <c r="AH97" s="360"/>
      <c r="AI97" s="360"/>
      <c r="AJ97" s="360"/>
      <c r="AK97" s="360"/>
      <c r="AL97" s="360"/>
      <c r="AM97" s="360"/>
      <c r="AN97" s="360"/>
      <c r="AO97" s="360"/>
      <c r="AP97" s="360"/>
      <c r="AQ97" s="360"/>
      <c r="AR97" s="360"/>
      <c r="AS97" s="360"/>
      <c r="AT97" s="360"/>
      <c r="AU97" s="360"/>
      <c r="AV97" s="360"/>
      <c r="AW97" s="360"/>
      <c r="AX97" s="360"/>
      <c r="AY97" s="360"/>
      <c r="AZ97" s="360"/>
      <c r="BA97" s="360"/>
      <c r="BB97" s="360"/>
      <c r="BC97" s="360"/>
      <c r="BD97" s="360"/>
      <c r="BE97" s="360"/>
      <c r="BF97" s="360"/>
      <c r="BG97" s="360"/>
      <c r="BH97" s="360"/>
      <c r="BI97" s="360"/>
      <c r="BJ97" s="360"/>
      <c r="BK97" s="360"/>
      <c r="BL97" s="360"/>
      <c r="BM97" s="360"/>
      <c r="BN97" s="360"/>
      <c r="BO97" s="360"/>
      <c r="BP97" s="360"/>
      <c r="BQ97" s="360"/>
      <c r="BR97" s="360"/>
      <c r="BS97" s="360"/>
      <c r="BT97" s="360"/>
    </row>
    <row r="98" spans="1:72" x14ac:dyDescent="0.6">
      <c r="A98" s="360"/>
      <c r="B98" s="360"/>
      <c r="C98" s="360"/>
      <c r="D98" s="360"/>
      <c r="E98" s="360"/>
      <c r="F98" s="360"/>
      <c r="G98" s="360"/>
      <c r="H98" s="371"/>
      <c r="I98" s="371"/>
      <c r="J98" s="360"/>
      <c r="K98" s="360"/>
      <c r="L98" s="360"/>
      <c r="M98" s="360"/>
      <c r="N98" s="360"/>
      <c r="O98" s="360"/>
      <c r="P98" s="360"/>
      <c r="Q98" s="360"/>
      <c r="R98" s="360"/>
      <c r="S98" s="360"/>
      <c r="T98" s="360"/>
      <c r="U98" s="365"/>
      <c r="V98" s="360"/>
      <c r="W98" s="360"/>
      <c r="X98" s="365"/>
      <c r="Y98" s="360"/>
      <c r="Z98" s="360"/>
      <c r="AA98" s="365"/>
      <c r="AB98" s="360"/>
      <c r="AC98" s="360"/>
      <c r="AD98" s="365"/>
      <c r="AE98" s="360"/>
      <c r="AF98" s="360"/>
      <c r="AG98" s="360"/>
      <c r="AH98" s="360"/>
      <c r="AI98" s="360"/>
      <c r="AJ98" s="360"/>
      <c r="AK98" s="360"/>
      <c r="AL98" s="360"/>
      <c r="AM98" s="360"/>
      <c r="AN98" s="360"/>
      <c r="AO98" s="360"/>
      <c r="AP98" s="360"/>
      <c r="AQ98" s="360"/>
      <c r="AR98" s="360"/>
      <c r="AS98" s="360"/>
      <c r="AT98" s="360"/>
      <c r="AU98" s="360"/>
      <c r="AV98" s="360"/>
      <c r="AW98" s="360"/>
      <c r="AX98" s="360"/>
      <c r="AY98" s="360"/>
      <c r="AZ98" s="360"/>
      <c r="BA98" s="360"/>
      <c r="BB98" s="360"/>
      <c r="BC98" s="360"/>
      <c r="BD98" s="360"/>
      <c r="BE98" s="360"/>
      <c r="BF98" s="360"/>
      <c r="BG98" s="360"/>
      <c r="BH98" s="360"/>
      <c r="BI98" s="360"/>
      <c r="BJ98" s="360"/>
      <c r="BK98" s="360"/>
      <c r="BL98" s="360"/>
      <c r="BM98" s="360"/>
      <c r="BN98" s="360"/>
      <c r="BO98" s="360"/>
      <c r="BP98" s="360"/>
      <c r="BQ98" s="360"/>
      <c r="BR98" s="360"/>
      <c r="BS98" s="360"/>
      <c r="BT98" s="360"/>
    </row>
    <row r="99" spans="1:72" x14ac:dyDescent="0.6">
      <c r="A99" s="360"/>
      <c r="B99" s="360"/>
      <c r="C99" s="360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360"/>
      <c r="P99" s="360"/>
      <c r="Q99" s="360"/>
      <c r="R99" s="360"/>
      <c r="S99" s="360"/>
      <c r="T99" s="360"/>
      <c r="U99" s="360"/>
      <c r="V99" s="360"/>
      <c r="W99" s="360"/>
      <c r="X99" s="360"/>
      <c r="Y99" s="360"/>
      <c r="Z99" s="360"/>
      <c r="AA99" s="360"/>
      <c r="AB99" s="360"/>
      <c r="AC99" s="360"/>
      <c r="AD99" s="360"/>
      <c r="AE99" s="360"/>
      <c r="AF99" s="360"/>
      <c r="AG99" s="360"/>
      <c r="AH99" s="360"/>
      <c r="AI99" s="360"/>
      <c r="AJ99" s="360"/>
      <c r="AK99" s="360"/>
      <c r="AL99" s="360"/>
      <c r="AM99" s="360"/>
      <c r="AN99" s="360"/>
      <c r="AO99" s="360"/>
      <c r="AP99" s="360"/>
      <c r="AQ99" s="360"/>
      <c r="AR99" s="360"/>
      <c r="AS99" s="360"/>
      <c r="AT99" s="360"/>
      <c r="AU99" s="360"/>
      <c r="AV99" s="360"/>
      <c r="AW99" s="360"/>
      <c r="AX99" s="360"/>
      <c r="AY99" s="360"/>
      <c r="AZ99" s="360"/>
      <c r="BA99" s="360"/>
      <c r="BB99" s="360"/>
      <c r="BC99" s="360"/>
      <c r="BD99" s="360"/>
      <c r="BE99" s="360"/>
      <c r="BF99" s="360"/>
      <c r="BG99" s="360"/>
      <c r="BH99" s="360"/>
      <c r="BI99" s="360"/>
      <c r="BJ99" s="360"/>
      <c r="BK99" s="360"/>
      <c r="BL99" s="360"/>
      <c r="BM99" s="360"/>
      <c r="BN99" s="360"/>
      <c r="BO99" s="360"/>
      <c r="BP99" s="360"/>
      <c r="BQ99" s="360"/>
      <c r="BR99" s="360"/>
      <c r="BS99" s="360"/>
      <c r="BT99" s="360"/>
    </row>
    <row r="100" spans="1:72" x14ac:dyDescent="0.6">
      <c r="A100" s="360"/>
      <c r="B100" s="360"/>
      <c r="C100" s="360"/>
      <c r="D100" s="360"/>
      <c r="E100" s="360"/>
      <c r="F100" s="360"/>
      <c r="G100" s="360"/>
      <c r="H100" s="360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0"/>
      <c r="T100" s="360"/>
      <c r="U100" s="360"/>
      <c r="V100" s="360"/>
      <c r="W100" s="360"/>
      <c r="X100" s="360"/>
      <c r="Y100" s="360"/>
      <c r="Z100" s="360"/>
      <c r="AA100" s="360"/>
      <c r="AB100" s="360"/>
      <c r="AC100" s="360"/>
      <c r="AD100" s="360"/>
      <c r="AE100" s="360"/>
      <c r="AF100" s="360"/>
      <c r="AG100" s="360"/>
      <c r="AH100" s="360"/>
      <c r="AI100" s="360"/>
      <c r="AJ100" s="360"/>
      <c r="AK100" s="360"/>
      <c r="AL100" s="360"/>
      <c r="AM100" s="360"/>
      <c r="AN100" s="360"/>
      <c r="AO100" s="360"/>
      <c r="AP100" s="360"/>
      <c r="AQ100" s="360"/>
      <c r="AR100" s="360"/>
      <c r="AS100" s="360"/>
      <c r="AT100" s="360"/>
      <c r="AU100" s="360"/>
      <c r="AV100" s="360"/>
      <c r="AW100" s="360"/>
      <c r="AX100" s="360"/>
      <c r="AY100" s="360"/>
      <c r="AZ100" s="360"/>
      <c r="BA100" s="360"/>
      <c r="BB100" s="360"/>
      <c r="BC100" s="360"/>
      <c r="BD100" s="360"/>
      <c r="BE100" s="360"/>
      <c r="BF100" s="360"/>
      <c r="BG100" s="360"/>
      <c r="BH100" s="360"/>
      <c r="BI100" s="360"/>
      <c r="BJ100" s="360"/>
      <c r="BK100" s="360"/>
      <c r="BL100" s="360"/>
      <c r="BM100" s="360"/>
      <c r="BN100" s="360"/>
      <c r="BO100" s="360"/>
      <c r="BP100" s="360"/>
      <c r="BQ100" s="360"/>
      <c r="BR100" s="360"/>
      <c r="BS100" s="360"/>
      <c r="BT100" s="360"/>
    </row>
    <row r="101" spans="1:72" x14ac:dyDescent="0.6">
      <c r="A101" s="519" t="s">
        <v>56</v>
      </c>
      <c r="B101" s="353" t="s">
        <v>167</v>
      </c>
      <c r="C101" s="353" t="s">
        <v>165</v>
      </c>
      <c r="D101" s="353" t="s">
        <v>164</v>
      </c>
      <c r="E101" s="353" t="s">
        <v>163</v>
      </c>
      <c r="F101" s="353" t="s">
        <v>162</v>
      </c>
      <c r="G101" s="353" t="s">
        <v>146</v>
      </c>
      <c r="H101" s="353" t="s">
        <v>161</v>
      </c>
      <c r="I101" s="353" t="s">
        <v>161</v>
      </c>
      <c r="K101" s="360"/>
      <c r="L101" s="360"/>
      <c r="M101" s="360"/>
      <c r="N101" s="360"/>
      <c r="O101" s="360"/>
      <c r="P101" s="360"/>
      <c r="Q101" s="360"/>
      <c r="R101" s="360"/>
      <c r="S101" s="360"/>
      <c r="T101" s="360"/>
      <c r="U101" s="360"/>
      <c r="V101" s="360"/>
      <c r="W101" s="360"/>
      <c r="X101" s="360"/>
      <c r="Y101" s="360"/>
      <c r="Z101" s="360"/>
      <c r="AA101" s="360"/>
      <c r="AB101" s="360"/>
      <c r="AC101" s="360"/>
      <c r="AD101" s="360"/>
      <c r="AE101" s="360"/>
      <c r="AF101" s="360"/>
      <c r="AG101" s="360"/>
      <c r="AH101" s="360"/>
      <c r="AI101" s="360"/>
      <c r="AJ101" s="360"/>
      <c r="AK101" s="360"/>
      <c r="AL101" s="360"/>
      <c r="AM101" s="360"/>
      <c r="AN101" s="360"/>
      <c r="AO101" s="360"/>
      <c r="AP101" s="360"/>
      <c r="AQ101" s="360"/>
      <c r="AR101" s="360"/>
      <c r="AS101" s="360"/>
      <c r="AT101" s="360"/>
      <c r="AU101" s="360"/>
      <c r="AV101" s="360"/>
      <c r="AW101" s="360"/>
      <c r="AX101" s="360"/>
      <c r="AY101" s="360"/>
      <c r="AZ101" s="360"/>
      <c r="BA101" s="360"/>
      <c r="BB101" s="360"/>
      <c r="BC101" s="360"/>
      <c r="BD101" s="360"/>
      <c r="BE101" s="360"/>
      <c r="BF101" s="360"/>
      <c r="BG101" s="360"/>
      <c r="BH101" s="360"/>
      <c r="BI101" s="360"/>
      <c r="BJ101" s="360"/>
      <c r="BK101" s="360"/>
      <c r="BL101" s="360"/>
      <c r="BM101" s="360"/>
      <c r="BN101" s="360"/>
      <c r="BO101" s="360"/>
      <c r="BP101" s="360"/>
      <c r="BQ101" s="360"/>
      <c r="BR101" s="360"/>
      <c r="BS101" s="360"/>
      <c r="BT101" s="360"/>
    </row>
    <row r="102" spans="1:72" x14ac:dyDescent="0.6">
      <c r="A102" s="519"/>
      <c r="B102" s="353" t="s">
        <v>95</v>
      </c>
      <c r="C102" s="353" t="s">
        <v>39</v>
      </c>
      <c r="D102" s="353" t="s">
        <v>54</v>
      </c>
      <c r="E102" s="352" t="s">
        <v>148</v>
      </c>
      <c r="F102" s="353" t="s">
        <v>149</v>
      </c>
      <c r="G102" s="353" t="s">
        <v>146</v>
      </c>
      <c r="H102" s="353" t="s">
        <v>150</v>
      </c>
      <c r="I102" s="353" t="s">
        <v>159</v>
      </c>
      <c r="K102" s="360"/>
      <c r="L102" s="360"/>
      <c r="M102" s="360"/>
      <c r="N102" s="360"/>
      <c r="O102" s="360"/>
      <c r="P102" s="360"/>
      <c r="Q102" s="360"/>
      <c r="R102" s="360"/>
      <c r="S102" s="360"/>
      <c r="T102" s="360"/>
      <c r="U102" s="360"/>
      <c r="V102" s="360"/>
      <c r="W102" s="360"/>
      <c r="X102" s="360"/>
      <c r="Y102" s="360"/>
      <c r="Z102" s="360"/>
      <c r="AA102" s="360"/>
      <c r="AB102" s="360"/>
      <c r="AC102" s="360"/>
      <c r="AD102" s="360"/>
      <c r="AE102" s="360"/>
      <c r="AF102" s="360"/>
      <c r="AG102" s="360"/>
      <c r="AH102" s="360"/>
      <c r="AI102" s="360"/>
      <c r="AJ102" s="360"/>
      <c r="AK102" s="360"/>
      <c r="AL102" s="360"/>
      <c r="AM102" s="360"/>
      <c r="AN102" s="360"/>
      <c r="AO102" s="360"/>
      <c r="AP102" s="360"/>
      <c r="AQ102" s="360"/>
      <c r="AR102" s="360"/>
      <c r="AS102" s="360"/>
      <c r="AT102" s="360"/>
      <c r="AU102" s="360"/>
      <c r="AV102" s="360"/>
      <c r="AW102" s="360"/>
      <c r="AX102" s="360"/>
      <c r="AY102" s="360"/>
      <c r="AZ102" s="360"/>
      <c r="BA102" s="360"/>
      <c r="BB102" s="360"/>
      <c r="BC102" s="360"/>
      <c r="BD102" s="360"/>
      <c r="BE102" s="360"/>
      <c r="BF102" s="360"/>
      <c r="BG102" s="360"/>
      <c r="BH102" s="360"/>
      <c r="BI102" s="360"/>
      <c r="BJ102" s="360"/>
      <c r="BK102" s="360"/>
      <c r="BL102" s="360"/>
      <c r="BM102" s="360"/>
      <c r="BN102" s="360"/>
      <c r="BO102" s="360"/>
      <c r="BP102" s="360"/>
      <c r="BQ102" s="360"/>
      <c r="BR102" s="360"/>
      <c r="BS102" s="360"/>
      <c r="BT102" s="360"/>
    </row>
    <row r="103" spans="1:72" x14ac:dyDescent="0.6">
      <c r="A103" s="519" t="s">
        <v>192</v>
      </c>
      <c r="B103" s="520">
        <v>10518</v>
      </c>
      <c r="C103" s="520">
        <v>20450</v>
      </c>
      <c r="D103" s="520">
        <v>0</v>
      </c>
      <c r="E103" s="520">
        <v>11659</v>
      </c>
      <c r="F103" s="520">
        <f>E103</f>
        <v>11659</v>
      </c>
      <c r="G103" s="520">
        <v>0</v>
      </c>
      <c r="H103" s="520">
        <f>F103*1.3</f>
        <v>15156.7</v>
      </c>
      <c r="I103" s="520">
        <f>H103*1.3</f>
        <v>19703.710000000003</v>
      </c>
      <c r="J103" s="360"/>
      <c r="K103" s="360"/>
      <c r="L103" s="360"/>
      <c r="M103" s="360"/>
      <c r="N103" s="360"/>
      <c r="O103" s="360"/>
      <c r="P103" s="360"/>
      <c r="Q103" s="360"/>
      <c r="R103" s="360"/>
      <c r="S103" s="360"/>
      <c r="T103" s="360"/>
      <c r="U103" s="360"/>
      <c r="V103" s="360"/>
      <c r="W103" s="360"/>
      <c r="X103" s="360"/>
      <c r="Y103" s="360"/>
      <c r="Z103" s="360"/>
      <c r="AA103" s="360"/>
      <c r="AB103" s="360"/>
      <c r="AC103" s="360"/>
      <c r="AD103" s="360"/>
      <c r="AE103" s="360"/>
      <c r="AF103" s="360"/>
      <c r="AG103" s="360"/>
      <c r="AH103" s="360"/>
      <c r="AI103" s="36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0"/>
      <c r="BO103" s="360"/>
      <c r="BP103" s="360"/>
      <c r="BQ103" s="360"/>
      <c r="BR103" s="360"/>
      <c r="BS103" s="360"/>
      <c r="BT103" s="360"/>
    </row>
    <row r="104" spans="1:72" x14ac:dyDescent="0.6">
      <c r="A104" s="519" t="s">
        <v>193</v>
      </c>
      <c r="B104" s="520">
        <v>874</v>
      </c>
      <c r="C104" s="520">
        <v>2508</v>
      </c>
      <c r="D104" s="520">
        <v>0</v>
      </c>
      <c r="E104" s="520">
        <v>2216</v>
      </c>
      <c r="F104" s="520">
        <f t="shared" ref="F104:F114" si="50">E104</f>
        <v>2216</v>
      </c>
      <c r="G104" s="520">
        <v>0</v>
      </c>
      <c r="H104" s="520">
        <f t="shared" ref="H104:H114" si="51">F104*1.3</f>
        <v>2880.8</v>
      </c>
      <c r="I104" s="520">
        <f t="shared" ref="I104:I114" si="52">H104*1.3</f>
        <v>3745.0400000000004</v>
      </c>
      <c r="J104" s="360"/>
      <c r="K104" s="360"/>
      <c r="L104" s="360"/>
      <c r="M104" s="360"/>
      <c r="N104" s="360"/>
      <c r="O104" s="360"/>
      <c r="P104" s="360"/>
      <c r="Q104" s="360"/>
      <c r="R104" s="360"/>
      <c r="S104" s="360"/>
      <c r="T104" s="360"/>
      <c r="U104" s="360"/>
      <c r="V104" s="360"/>
      <c r="W104" s="360"/>
      <c r="X104" s="360"/>
      <c r="Y104" s="360"/>
      <c r="Z104" s="360"/>
      <c r="AA104" s="360"/>
      <c r="AB104" s="360"/>
      <c r="AC104" s="360"/>
      <c r="AD104" s="360"/>
      <c r="AE104" s="360"/>
      <c r="AF104" s="360"/>
      <c r="AG104" s="360"/>
      <c r="AH104" s="360"/>
      <c r="AI104" s="360"/>
      <c r="AJ104" s="360"/>
      <c r="AK104" s="360"/>
      <c r="AL104" s="360"/>
      <c r="AM104" s="360"/>
      <c r="AN104" s="360"/>
      <c r="AO104" s="360"/>
      <c r="AP104" s="360"/>
      <c r="AQ104" s="360"/>
      <c r="AR104" s="360"/>
      <c r="AS104" s="360"/>
      <c r="AT104" s="360"/>
      <c r="AU104" s="360"/>
      <c r="AV104" s="360"/>
      <c r="AW104" s="360"/>
      <c r="AX104" s="360"/>
      <c r="AY104" s="360"/>
      <c r="AZ104" s="360"/>
      <c r="BA104" s="360"/>
      <c r="BB104" s="360"/>
      <c r="BC104" s="360"/>
      <c r="BD104" s="360"/>
      <c r="BE104" s="360"/>
      <c r="BF104" s="360"/>
      <c r="BG104" s="360"/>
      <c r="BH104" s="360"/>
      <c r="BI104" s="360"/>
      <c r="BJ104" s="360"/>
      <c r="BK104" s="360"/>
      <c r="BL104" s="360"/>
      <c r="BM104" s="360"/>
      <c r="BN104" s="360"/>
      <c r="BO104" s="360"/>
      <c r="BP104" s="360"/>
      <c r="BQ104" s="360"/>
      <c r="BR104" s="360"/>
      <c r="BS104" s="360"/>
      <c r="BT104" s="360"/>
    </row>
    <row r="105" spans="1:72" x14ac:dyDescent="0.6">
      <c r="A105" s="519" t="s">
        <v>194</v>
      </c>
      <c r="B105" s="520">
        <v>1982</v>
      </c>
      <c r="C105" s="520">
        <v>4622</v>
      </c>
      <c r="D105" s="520">
        <v>0</v>
      </c>
      <c r="E105" s="520">
        <v>1861</v>
      </c>
      <c r="F105" s="520">
        <f t="shared" si="50"/>
        <v>1861</v>
      </c>
      <c r="G105" s="520">
        <v>0</v>
      </c>
      <c r="H105" s="520">
        <f t="shared" si="51"/>
        <v>2419.3000000000002</v>
      </c>
      <c r="I105" s="520">
        <f t="shared" si="52"/>
        <v>3145.09</v>
      </c>
      <c r="J105" s="360"/>
      <c r="K105" s="360"/>
      <c r="L105" s="360"/>
      <c r="M105" s="360"/>
      <c r="N105" s="360"/>
      <c r="O105" s="360"/>
      <c r="P105" s="360"/>
      <c r="Q105" s="360"/>
      <c r="R105" s="360"/>
      <c r="S105" s="360"/>
      <c r="T105" s="360"/>
      <c r="U105" s="360"/>
      <c r="V105" s="360"/>
      <c r="W105" s="360"/>
      <c r="X105" s="360"/>
      <c r="Y105" s="360"/>
      <c r="Z105" s="360"/>
      <c r="AA105" s="360"/>
      <c r="AB105" s="360"/>
      <c r="AC105" s="360"/>
      <c r="AD105" s="360"/>
      <c r="AE105" s="360"/>
      <c r="AF105" s="360"/>
      <c r="AG105" s="360"/>
      <c r="AH105" s="360"/>
      <c r="AI105" s="360"/>
      <c r="AJ105" s="360"/>
      <c r="AK105" s="360"/>
      <c r="AL105" s="360"/>
      <c r="AM105" s="360"/>
      <c r="AN105" s="360"/>
      <c r="AO105" s="360"/>
      <c r="AP105" s="360"/>
      <c r="AQ105" s="360"/>
      <c r="AR105" s="360"/>
      <c r="AS105" s="360"/>
      <c r="AT105" s="360"/>
      <c r="AU105" s="360"/>
      <c r="AV105" s="360"/>
      <c r="AW105" s="360"/>
      <c r="AX105" s="360"/>
      <c r="AY105" s="360"/>
      <c r="AZ105" s="360"/>
      <c r="BA105" s="360"/>
      <c r="BB105" s="360"/>
      <c r="BC105" s="360"/>
      <c r="BD105" s="360"/>
      <c r="BE105" s="360"/>
      <c r="BF105" s="360"/>
      <c r="BG105" s="360"/>
      <c r="BH105" s="360"/>
      <c r="BI105" s="360"/>
      <c r="BJ105" s="360"/>
      <c r="BK105" s="360"/>
      <c r="BL105" s="360"/>
      <c r="BM105" s="360"/>
      <c r="BN105" s="360"/>
      <c r="BO105" s="360"/>
      <c r="BP105" s="360"/>
      <c r="BQ105" s="360"/>
      <c r="BR105" s="360"/>
      <c r="BS105" s="360"/>
      <c r="BT105" s="360"/>
    </row>
    <row r="106" spans="1:72" x14ac:dyDescent="0.6">
      <c r="A106" s="519" t="s">
        <v>195</v>
      </c>
      <c r="B106" s="520">
        <v>1792</v>
      </c>
      <c r="C106" s="520">
        <v>3544</v>
      </c>
      <c r="D106" s="520">
        <v>0</v>
      </c>
      <c r="E106" s="520">
        <v>1620</v>
      </c>
      <c r="F106" s="520">
        <f t="shared" si="50"/>
        <v>1620</v>
      </c>
      <c r="G106" s="520">
        <v>0</v>
      </c>
      <c r="H106" s="520">
        <f t="shared" si="51"/>
        <v>2106</v>
      </c>
      <c r="I106" s="520">
        <f t="shared" si="52"/>
        <v>2737.8</v>
      </c>
      <c r="J106" s="360"/>
      <c r="K106" s="360"/>
      <c r="L106" s="360"/>
      <c r="M106" s="360"/>
      <c r="N106" s="360"/>
      <c r="O106" s="360"/>
      <c r="P106" s="360"/>
      <c r="Q106" s="360"/>
      <c r="R106" s="360"/>
      <c r="S106" s="371"/>
      <c r="T106" s="371"/>
      <c r="U106" s="360"/>
      <c r="V106" s="371"/>
      <c r="W106" s="360"/>
      <c r="X106" s="360"/>
      <c r="Y106" s="360"/>
      <c r="Z106" s="360"/>
      <c r="AA106" s="360"/>
      <c r="AB106" s="371"/>
      <c r="AC106" s="371"/>
      <c r="AD106" s="360"/>
      <c r="AE106" s="371"/>
      <c r="AF106" s="360"/>
      <c r="AG106" s="360"/>
      <c r="AH106" s="360"/>
      <c r="AI106" s="360"/>
      <c r="AJ106" s="360"/>
      <c r="AK106" s="360"/>
      <c r="AL106" s="371"/>
      <c r="AM106" s="371"/>
      <c r="AN106" s="360"/>
      <c r="AO106" s="371"/>
      <c r="AP106" s="360"/>
      <c r="AQ106" s="360"/>
      <c r="AR106" s="360"/>
      <c r="AS106" s="360"/>
      <c r="AT106" s="360"/>
      <c r="AU106" s="360"/>
      <c r="AV106" s="360"/>
      <c r="AW106" s="371"/>
      <c r="AX106" s="371"/>
      <c r="AY106" s="360"/>
      <c r="AZ106" s="360"/>
      <c r="BA106" s="360"/>
      <c r="BB106" s="360"/>
      <c r="BC106" s="360"/>
      <c r="BD106" s="360"/>
      <c r="BE106" s="360"/>
      <c r="BF106" s="360"/>
      <c r="BG106" s="360"/>
      <c r="BH106" s="360"/>
      <c r="BI106" s="360"/>
      <c r="BJ106" s="360"/>
      <c r="BK106" s="360"/>
      <c r="BL106" s="360"/>
      <c r="BM106" s="360"/>
      <c r="BN106" s="360"/>
      <c r="BO106" s="360"/>
      <c r="BP106" s="360"/>
      <c r="BQ106" s="360"/>
      <c r="BR106" s="360"/>
      <c r="BS106" s="360"/>
      <c r="BT106" s="360"/>
    </row>
    <row r="107" spans="1:72" x14ac:dyDescent="0.6">
      <c r="A107" s="519" t="s">
        <v>196</v>
      </c>
      <c r="B107" s="520">
        <v>259930</v>
      </c>
      <c r="C107" s="520">
        <v>2746</v>
      </c>
      <c r="D107" s="520">
        <v>0</v>
      </c>
      <c r="E107" s="520">
        <v>1242</v>
      </c>
      <c r="F107" s="520">
        <f t="shared" si="50"/>
        <v>1242</v>
      </c>
      <c r="G107" s="520">
        <v>0</v>
      </c>
      <c r="H107" s="520">
        <f t="shared" si="51"/>
        <v>1614.6000000000001</v>
      </c>
      <c r="I107" s="520">
        <f t="shared" si="52"/>
        <v>2098.9800000000005</v>
      </c>
      <c r="J107" s="360"/>
      <c r="K107" s="360"/>
      <c r="L107" s="360"/>
      <c r="M107" s="360"/>
      <c r="N107" s="360"/>
      <c r="O107" s="360"/>
      <c r="P107" s="360"/>
      <c r="Q107" s="360"/>
      <c r="R107" s="360"/>
      <c r="S107" s="371"/>
      <c r="T107" s="371"/>
      <c r="U107" s="360"/>
      <c r="V107" s="371"/>
      <c r="W107" s="360"/>
      <c r="X107" s="360"/>
      <c r="Y107" s="360"/>
      <c r="Z107" s="360"/>
      <c r="AA107" s="360"/>
      <c r="AB107" s="371"/>
      <c r="AC107" s="371"/>
      <c r="AD107" s="360"/>
      <c r="AE107" s="371"/>
      <c r="AF107" s="360"/>
      <c r="AG107" s="360"/>
      <c r="AH107" s="360"/>
      <c r="AI107" s="360"/>
      <c r="AJ107" s="360"/>
      <c r="AK107" s="360"/>
      <c r="AL107" s="371"/>
      <c r="AM107" s="371"/>
      <c r="AN107" s="360"/>
      <c r="AO107" s="371"/>
      <c r="AP107" s="360"/>
      <c r="AQ107" s="360"/>
      <c r="AR107" s="360"/>
      <c r="AS107" s="360"/>
      <c r="AT107" s="360"/>
      <c r="AU107" s="360"/>
      <c r="AV107" s="360"/>
      <c r="AW107" s="371"/>
      <c r="AX107" s="371"/>
      <c r="AY107" s="360"/>
      <c r="AZ107" s="360"/>
      <c r="BA107" s="360"/>
      <c r="BB107" s="360"/>
      <c r="BC107" s="360"/>
      <c r="BD107" s="360"/>
      <c r="BE107" s="360"/>
      <c r="BF107" s="360"/>
      <c r="BG107" s="360"/>
      <c r="BH107" s="360"/>
      <c r="BI107" s="360"/>
      <c r="BJ107" s="360"/>
      <c r="BK107" s="360"/>
      <c r="BL107" s="360"/>
      <c r="BM107" s="360"/>
      <c r="BN107" s="360"/>
      <c r="BO107" s="360"/>
      <c r="BP107" s="360"/>
      <c r="BQ107" s="360"/>
      <c r="BR107" s="360"/>
      <c r="BS107" s="360"/>
      <c r="BT107" s="360"/>
    </row>
    <row r="108" spans="1:72" x14ac:dyDescent="0.6">
      <c r="A108" s="519" t="s">
        <v>197</v>
      </c>
      <c r="B108" s="520">
        <v>856</v>
      </c>
      <c r="C108" s="520">
        <v>1780</v>
      </c>
      <c r="D108" s="520">
        <v>0</v>
      </c>
      <c r="E108" s="520">
        <v>1046</v>
      </c>
      <c r="F108" s="520">
        <f t="shared" si="50"/>
        <v>1046</v>
      </c>
      <c r="G108" s="520">
        <v>0</v>
      </c>
      <c r="H108" s="520">
        <f t="shared" si="51"/>
        <v>1359.8</v>
      </c>
      <c r="I108" s="520">
        <f t="shared" si="52"/>
        <v>1767.74</v>
      </c>
      <c r="J108" s="360"/>
      <c r="K108" s="360"/>
      <c r="L108" s="360"/>
      <c r="M108" s="360"/>
      <c r="N108" s="360"/>
      <c r="O108" s="360"/>
      <c r="P108" s="360"/>
      <c r="Q108" s="360"/>
      <c r="R108" s="360"/>
      <c r="S108" s="371"/>
      <c r="T108" s="360"/>
      <c r="U108" s="360"/>
      <c r="V108" s="360"/>
      <c r="W108" s="360"/>
      <c r="X108" s="360"/>
      <c r="Y108" s="360"/>
      <c r="Z108" s="360"/>
      <c r="AA108" s="360"/>
      <c r="AB108" s="371"/>
      <c r="AC108" s="360"/>
      <c r="AD108" s="360"/>
      <c r="AE108" s="360"/>
      <c r="AF108" s="360"/>
      <c r="AG108" s="360"/>
      <c r="AH108" s="360"/>
      <c r="AI108" s="360"/>
      <c r="AJ108" s="360"/>
      <c r="AK108" s="360"/>
      <c r="AL108" s="371"/>
      <c r="AM108" s="360"/>
      <c r="AN108" s="360"/>
      <c r="AO108" s="360"/>
      <c r="AP108" s="360"/>
      <c r="AQ108" s="360"/>
      <c r="AR108" s="360"/>
      <c r="AS108" s="360"/>
      <c r="AT108" s="360"/>
      <c r="AU108" s="360"/>
      <c r="AV108" s="360"/>
      <c r="AW108" s="360"/>
      <c r="AX108" s="371"/>
      <c r="AY108" s="360"/>
      <c r="AZ108" s="360"/>
      <c r="BA108" s="360"/>
      <c r="BB108" s="360"/>
      <c r="BC108" s="360"/>
      <c r="BD108" s="360"/>
      <c r="BE108" s="360"/>
      <c r="BF108" s="360"/>
      <c r="BG108" s="360"/>
      <c r="BH108" s="360"/>
      <c r="BI108" s="360"/>
      <c r="BJ108" s="360"/>
      <c r="BK108" s="360"/>
      <c r="BL108" s="360"/>
      <c r="BM108" s="360"/>
      <c r="BN108" s="360"/>
      <c r="BO108" s="360"/>
      <c r="BP108" s="360"/>
      <c r="BQ108" s="360"/>
      <c r="BR108" s="360"/>
      <c r="BS108" s="360"/>
      <c r="BT108" s="360"/>
    </row>
    <row r="109" spans="1:72" x14ac:dyDescent="0.6">
      <c r="A109" s="519" t="s">
        <v>198</v>
      </c>
      <c r="B109" s="520">
        <v>480</v>
      </c>
      <c r="C109" s="520">
        <v>480</v>
      </c>
      <c r="D109" s="520">
        <v>0</v>
      </c>
      <c r="E109" s="520">
        <v>1000</v>
      </c>
      <c r="F109" s="520">
        <f t="shared" si="50"/>
        <v>1000</v>
      </c>
      <c r="G109" s="520">
        <v>0</v>
      </c>
      <c r="H109" s="520">
        <f t="shared" si="51"/>
        <v>1300</v>
      </c>
      <c r="I109" s="520">
        <f t="shared" si="52"/>
        <v>1690</v>
      </c>
      <c r="J109" s="360"/>
      <c r="K109" s="360"/>
      <c r="L109" s="360"/>
      <c r="M109" s="360"/>
      <c r="N109" s="360"/>
      <c r="O109" s="360"/>
      <c r="P109" s="360"/>
      <c r="Q109" s="360"/>
      <c r="R109" s="360"/>
      <c r="S109" s="371"/>
      <c r="T109" s="360"/>
      <c r="U109" s="360"/>
      <c r="V109" s="360"/>
      <c r="W109" s="360"/>
      <c r="X109" s="360"/>
      <c r="Y109" s="360"/>
      <c r="Z109" s="360"/>
      <c r="AA109" s="360"/>
      <c r="AB109" s="371"/>
      <c r="AC109" s="360"/>
      <c r="AD109" s="360"/>
      <c r="AE109" s="360"/>
      <c r="AF109" s="360"/>
      <c r="AG109" s="360"/>
      <c r="AH109" s="360"/>
      <c r="AI109" s="360"/>
      <c r="AJ109" s="360"/>
      <c r="AK109" s="360"/>
      <c r="AL109" s="371"/>
      <c r="AM109" s="360"/>
      <c r="AN109" s="360"/>
      <c r="AO109" s="360"/>
      <c r="AP109" s="360"/>
      <c r="AQ109" s="360"/>
      <c r="AR109" s="360"/>
      <c r="AS109" s="360"/>
      <c r="AT109" s="360"/>
      <c r="AU109" s="360"/>
      <c r="AV109" s="360"/>
      <c r="AW109" s="371"/>
      <c r="AX109" s="371"/>
      <c r="AY109" s="360"/>
      <c r="AZ109" s="360"/>
      <c r="BA109" s="360"/>
      <c r="BB109" s="360"/>
      <c r="BC109" s="360"/>
      <c r="BD109" s="360"/>
      <c r="BE109" s="360"/>
      <c r="BF109" s="360"/>
      <c r="BG109" s="360"/>
      <c r="BH109" s="360"/>
      <c r="BI109" s="360"/>
      <c r="BJ109" s="360"/>
      <c r="BK109" s="360"/>
      <c r="BL109" s="360"/>
      <c r="BM109" s="360"/>
      <c r="BN109" s="360"/>
      <c r="BO109" s="360"/>
      <c r="BP109" s="360"/>
      <c r="BQ109" s="360"/>
      <c r="BR109" s="360"/>
      <c r="BS109" s="360"/>
      <c r="BT109" s="360"/>
    </row>
    <row r="110" spans="1:72" x14ac:dyDescent="0.6">
      <c r="A110" s="519" t="s">
        <v>199</v>
      </c>
      <c r="B110" s="520">
        <v>1195</v>
      </c>
      <c r="C110" s="520">
        <v>1743</v>
      </c>
      <c r="D110" s="520">
        <v>0</v>
      </c>
      <c r="E110" s="520">
        <v>842</v>
      </c>
      <c r="F110" s="520">
        <f t="shared" si="50"/>
        <v>842</v>
      </c>
      <c r="G110" s="520">
        <v>0</v>
      </c>
      <c r="H110" s="520">
        <f t="shared" si="51"/>
        <v>1094.6000000000001</v>
      </c>
      <c r="I110" s="520">
        <f t="shared" si="52"/>
        <v>1422.9800000000002</v>
      </c>
      <c r="J110" s="360"/>
      <c r="K110" s="360"/>
      <c r="L110" s="360"/>
      <c r="M110" s="360"/>
      <c r="N110" s="360"/>
      <c r="O110" s="360"/>
      <c r="P110" s="360"/>
      <c r="Q110" s="360"/>
      <c r="R110" s="360"/>
      <c r="S110" s="371"/>
      <c r="T110" s="360"/>
      <c r="U110" s="360"/>
      <c r="V110" s="360"/>
      <c r="W110" s="360"/>
      <c r="X110" s="360"/>
      <c r="Y110" s="360"/>
      <c r="Z110" s="360"/>
      <c r="AA110" s="360"/>
      <c r="AB110" s="371"/>
      <c r="AC110" s="360"/>
      <c r="AD110" s="360"/>
      <c r="AE110" s="360"/>
      <c r="AF110" s="360"/>
      <c r="AG110" s="360"/>
      <c r="AH110" s="360"/>
      <c r="AI110" s="360"/>
      <c r="AJ110" s="360"/>
      <c r="AK110" s="360"/>
      <c r="AL110" s="371"/>
      <c r="AM110" s="360"/>
      <c r="AN110" s="360"/>
      <c r="AO110" s="360"/>
      <c r="AP110" s="360"/>
      <c r="AQ110" s="360"/>
      <c r="AR110" s="360"/>
      <c r="AS110" s="360"/>
      <c r="AT110" s="360"/>
      <c r="AU110" s="360"/>
      <c r="AV110" s="360"/>
      <c r="AW110" s="360"/>
      <c r="AX110" s="360"/>
      <c r="AY110" s="360"/>
      <c r="AZ110" s="360"/>
      <c r="BA110" s="360"/>
      <c r="BB110" s="360"/>
      <c r="BC110" s="360"/>
      <c r="BD110" s="360"/>
      <c r="BE110" s="360"/>
      <c r="BF110" s="360"/>
      <c r="BG110" s="360"/>
      <c r="BH110" s="360"/>
      <c r="BI110" s="360"/>
      <c r="BJ110" s="360"/>
      <c r="BK110" s="360"/>
      <c r="BL110" s="360"/>
      <c r="BM110" s="360"/>
      <c r="BN110" s="360"/>
      <c r="BO110" s="360"/>
      <c r="BP110" s="360"/>
      <c r="BQ110" s="360"/>
      <c r="BR110" s="360"/>
      <c r="BS110" s="360"/>
      <c r="BT110" s="360"/>
    </row>
    <row r="111" spans="1:72" x14ac:dyDescent="0.6">
      <c r="A111" s="519" t="s">
        <v>200</v>
      </c>
      <c r="B111" s="520">
        <v>456</v>
      </c>
      <c r="C111" s="520">
        <v>1296</v>
      </c>
      <c r="D111" s="520">
        <v>0</v>
      </c>
      <c r="E111" s="520">
        <v>688</v>
      </c>
      <c r="F111" s="520">
        <f t="shared" si="50"/>
        <v>688</v>
      </c>
      <c r="G111" s="520">
        <v>0</v>
      </c>
      <c r="H111" s="520">
        <f t="shared" si="51"/>
        <v>894.4</v>
      </c>
      <c r="I111" s="520">
        <f t="shared" si="52"/>
        <v>1162.72</v>
      </c>
      <c r="J111" s="360"/>
      <c r="K111" s="360"/>
      <c r="L111" s="360"/>
      <c r="M111" s="360"/>
      <c r="N111" s="360"/>
      <c r="O111" s="360"/>
      <c r="P111" s="360"/>
      <c r="Q111" s="360"/>
      <c r="R111" s="360"/>
      <c r="S111" s="371"/>
      <c r="T111" s="360"/>
      <c r="U111" s="360"/>
      <c r="V111" s="360"/>
      <c r="W111" s="360"/>
      <c r="X111" s="360"/>
      <c r="Y111" s="360"/>
      <c r="Z111" s="360"/>
      <c r="AA111" s="360"/>
      <c r="AB111" s="371"/>
      <c r="AC111" s="360"/>
      <c r="AD111" s="360"/>
      <c r="AE111" s="360"/>
      <c r="AF111" s="360"/>
      <c r="AG111" s="360"/>
      <c r="AH111" s="360"/>
      <c r="AI111" s="360"/>
      <c r="AJ111" s="360"/>
      <c r="AK111" s="360"/>
      <c r="AL111" s="360"/>
      <c r="AM111" s="360"/>
      <c r="AN111" s="360"/>
      <c r="AO111" s="360"/>
      <c r="AP111" s="360"/>
      <c r="AQ111" s="360"/>
      <c r="AR111" s="360"/>
      <c r="AS111" s="360"/>
      <c r="AT111" s="360"/>
      <c r="AU111" s="360"/>
      <c r="AV111" s="360"/>
      <c r="AW111" s="360"/>
      <c r="AX111" s="360"/>
      <c r="AY111" s="360"/>
      <c r="AZ111" s="360"/>
      <c r="BA111" s="360"/>
      <c r="BB111" s="360"/>
      <c r="BC111" s="360"/>
      <c r="BD111" s="360"/>
      <c r="BE111" s="360"/>
      <c r="BF111" s="360"/>
      <c r="BG111" s="360"/>
      <c r="BH111" s="360"/>
      <c r="BI111" s="360"/>
      <c r="BJ111" s="360"/>
      <c r="BK111" s="360"/>
      <c r="BL111" s="360"/>
      <c r="BM111" s="360"/>
      <c r="BN111" s="360"/>
      <c r="BO111" s="360"/>
      <c r="BP111" s="360"/>
      <c r="BQ111" s="360"/>
      <c r="BR111" s="360"/>
      <c r="BS111" s="360"/>
      <c r="BT111" s="360"/>
    </row>
    <row r="112" spans="1:72" x14ac:dyDescent="0.6">
      <c r="A112" s="519" t="s">
        <v>201</v>
      </c>
      <c r="B112" s="520">
        <v>11</v>
      </c>
      <c r="C112" s="520">
        <v>67</v>
      </c>
      <c r="D112" s="520">
        <v>0</v>
      </c>
      <c r="E112" s="520">
        <v>141</v>
      </c>
      <c r="F112" s="520">
        <f t="shared" si="50"/>
        <v>141</v>
      </c>
      <c r="G112" s="520">
        <v>0</v>
      </c>
      <c r="H112" s="520">
        <f t="shared" si="51"/>
        <v>183.3</v>
      </c>
      <c r="I112" s="520">
        <f t="shared" si="52"/>
        <v>238.29000000000002</v>
      </c>
      <c r="J112" s="360"/>
      <c r="K112" s="360"/>
      <c r="L112" s="360"/>
      <c r="M112" s="360"/>
      <c r="N112" s="360"/>
      <c r="O112" s="360"/>
      <c r="P112" s="360"/>
      <c r="Q112" s="360"/>
      <c r="R112" s="360"/>
      <c r="S112" s="360"/>
      <c r="T112" s="360"/>
      <c r="U112" s="360"/>
      <c r="V112" s="360"/>
      <c r="W112" s="360"/>
      <c r="X112" s="360"/>
      <c r="Y112" s="360"/>
      <c r="Z112" s="360"/>
      <c r="AA112" s="360"/>
      <c r="AB112" s="360"/>
      <c r="AC112" s="360"/>
      <c r="AD112" s="360"/>
      <c r="AE112" s="360"/>
      <c r="AF112" s="360"/>
      <c r="AG112" s="360"/>
      <c r="AH112" s="360"/>
      <c r="AI112" s="360"/>
      <c r="AJ112" s="360"/>
      <c r="AK112" s="360"/>
      <c r="AL112" s="360"/>
      <c r="AM112" s="360"/>
      <c r="AN112" s="360"/>
      <c r="AO112" s="360"/>
      <c r="AP112" s="360"/>
      <c r="AQ112" s="360"/>
      <c r="AR112" s="360"/>
      <c r="AS112" s="360"/>
      <c r="AT112" s="360"/>
      <c r="AU112" s="360"/>
      <c r="AV112" s="360"/>
      <c r="AW112" s="360"/>
      <c r="AX112" s="360"/>
      <c r="AY112" s="360"/>
      <c r="AZ112" s="360"/>
      <c r="BA112" s="360"/>
      <c r="BB112" s="360"/>
      <c r="BC112" s="360"/>
      <c r="BD112" s="360"/>
      <c r="BE112" s="360"/>
      <c r="BF112" s="360"/>
      <c r="BG112" s="360"/>
      <c r="BH112" s="360"/>
      <c r="BI112" s="360"/>
      <c r="BJ112" s="360"/>
      <c r="BK112" s="360"/>
      <c r="BL112" s="360"/>
      <c r="BM112" s="360"/>
      <c r="BN112" s="360"/>
      <c r="BO112" s="360"/>
      <c r="BP112" s="360"/>
      <c r="BQ112" s="360"/>
      <c r="BR112" s="360"/>
      <c r="BS112" s="360"/>
      <c r="BT112" s="360"/>
    </row>
    <row r="113" spans="1:72" x14ac:dyDescent="0.6">
      <c r="A113" s="519" t="s">
        <v>202</v>
      </c>
      <c r="B113" s="520">
        <v>60</v>
      </c>
      <c r="C113" s="520">
        <v>240</v>
      </c>
      <c r="D113" s="520">
        <v>0</v>
      </c>
      <c r="E113" s="520">
        <v>40</v>
      </c>
      <c r="F113" s="520">
        <f t="shared" si="50"/>
        <v>40</v>
      </c>
      <c r="G113" s="520">
        <v>0</v>
      </c>
      <c r="H113" s="520">
        <f t="shared" si="51"/>
        <v>52</v>
      </c>
      <c r="I113" s="520">
        <f t="shared" si="52"/>
        <v>67.600000000000009</v>
      </c>
      <c r="J113" s="360"/>
      <c r="K113" s="360"/>
      <c r="L113" s="360"/>
      <c r="M113" s="360"/>
      <c r="N113" s="360"/>
      <c r="O113" s="360"/>
      <c r="P113" s="360"/>
      <c r="Q113" s="360"/>
      <c r="R113" s="360"/>
      <c r="S113" s="371"/>
      <c r="T113" s="371"/>
      <c r="U113" s="360"/>
      <c r="V113" s="371"/>
      <c r="W113" s="360"/>
      <c r="X113" s="360"/>
      <c r="Y113" s="360"/>
      <c r="Z113" s="360"/>
      <c r="AA113" s="360"/>
      <c r="AB113" s="371"/>
      <c r="AC113" s="371"/>
      <c r="AD113" s="360"/>
      <c r="AE113" s="371"/>
      <c r="AF113" s="360"/>
      <c r="AG113" s="360"/>
      <c r="AH113" s="360"/>
      <c r="AI113" s="360"/>
      <c r="AJ113" s="360"/>
      <c r="AK113" s="360"/>
      <c r="AL113" s="360"/>
      <c r="AM113" s="360"/>
      <c r="AN113" s="360"/>
      <c r="AO113" s="371"/>
      <c r="AP113" s="360"/>
      <c r="AQ113" s="360"/>
      <c r="AR113" s="360"/>
      <c r="AS113" s="360"/>
      <c r="AT113" s="360"/>
      <c r="AU113" s="360"/>
      <c r="AV113" s="360"/>
      <c r="AW113" s="360"/>
      <c r="AX113" s="360"/>
      <c r="AY113" s="360"/>
      <c r="AZ113" s="360"/>
      <c r="BA113" s="360"/>
      <c r="BB113" s="360"/>
      <c r="BC113" s="360"/>
      <c r="BD113" s="360"/>
      <c r="BE113" s="360"/>
      <c r="BF113" s="360"/>
      <c r="BG113" s="360"/>
      <c r="BH113" s="360"/>
      <c r="BI113" s="360"/>
      <c r="BJ113" s="360"/>
      <c r="BK113" s="360"/>
      <c r="BL113" s="360"/>
      <c r="BM113" s="360"/>
      <c r="BN113" s="360"/>
      <c r="BO113" s="360"/>
      <c r="BP113" s="360"/>
      <c r="BQ113" s="360"/>
      <c r="BR113" s="360"/>
      <c r="BS113" s="360"/>
      <c r="BT113" s="360"/>
    </row>
    <row r="114" spans="1:72" x14ac:dyDescent="0.6">
      <c r="A114" s="519" t="s">
        <v>203</v>
      </c>
      <c r="B114" s="520">
        <v>419</v>
      </c>
      <c r="C114" s="520">
        <v>3176</v>
      </c>
      <c r="D114" s="520">
        <v>0</v>
      </c>
      <c r="E114" s="520">
        <v>1526</v>
      </c>
      <c r="F114" s="520">
        <f t="shared" si="50"/>
        <v>1526</v>
      </c>
      <c r="G114" s="520">
        <v>0</v>
      </c>
      <c r="H114" s="520">
        <f t="shared" si="51"/>
        <v>1983.8</v>
      </c>
      <c r="I114" s="520">
        <f t="shared" si="52"/>
        <v>2578.94</v>
      </c>
      <c r="J114" s="360"/>
      <c r="K114" s="360"/>
      <c r="L114" s="360"/>
      <c r="M114" s="360"/>
      <c r="N114" s="360"/>
      <c r="O114" s="360"/>
      <c r="P114" s="360"/>
      <c r="Q114" s="360"/>
      <c r="R114" s="360"/>
      <c r="S114" s="371"/>
      <c r="T114" s="371"/>
      <c r="U114" s="360"/>
      <c r="V114" s="371"/>
      <c r="W114" s="360"/>
      <c r="X114" s="360"/>
      <c r="Y114" s="360"/>
      <c r="Z114" s="360"/>
      <c r="AA114" s="360"/>
      <c r="AB114" s="371"/>
      <c r="AC114" s="371"/>
      <c r="AD114" s="360"/>
      <c r="AE114" s="371"/>
      <c r="AF114" s="360"/>
      <c r="AG114" s="360"/>
      <c r="AH114" s="360"/>
      <c r="AI114" s="360"/>
      <c r="AJ114" s="360"/>
      <c r="AK114" s="360"/>
      <c r="AL114" s="371"/>
      <c r="AM114" s="371"/>
      <c r="AN114" s="360"/>
      <c r="AO114" s="371"/>
      <c r="AP114" s="360"/>
      <c r="AQ114" s="360"/>
      <c r="AR114" s="360"/>
      <c r="AS114" s="360"/>
      <c r="AT114" s="360"/>
      <c r="AU114" s="360"/>
      <c r="AV114" s="360"/>
      <c r="AW114" s="360"/>
      <c r="AX114" s="360"/>
      <c r="AY114" s="360"/>
      <c r="AZ114" s="360"/>
      <c r="BA114" s="360"/>
      <c r="BB114" s="360"/>
      <c r="BC114" s="360"/>
      <c r="BD114" s="360"/>
      <c r="BE114" s="360"/>
      <c r="BF114" s="360"/>
      <c r="BG114" s="360"/>
      <c r="BH114" s="360"/>
      <c r="BI114" s="360"/>
      <c r="BJ114" s="360"/>
      <c r="BK114" s="360"/>
      <c r="BL114" s="360"/>
      <c r="BM114" s="360"/>
      <c r="BN114" s="360"/>
      <c r="BO114" s="360"/>
      <c r="BP114" s="360"/>
      <c r="BQ114" s="360"/>
      <c r="BR114" s="360"/>
      <c r="BS114" s="360"/>
      <c r="BT114" s="360"/>
    </row>
    <row r="115" spans="1:72" x14ac:dyDescent="0.6">
      <c r="A115" s="519" t="s">
        <v>64</v>
      </c>
      <c r="B115" s="520">
        <f>SUM(B103:B114)</f>
        <v>278573</v>
      </c>
      <c r="C115" s="520">
        <f t="shared" ref="C115:I115" si="53">SUM(C103:C114)</f>
        <v>42652</v>
      </c>
      <c r="D115" s="520">
        <f t="shared" si="53"/>
        <v>0</v>
      </c>
      <c r="E115" s="520">
        <f t="shared" si="53"/>
        <v>23881</v>
      </c>
      <c r="F115" s="520">
        <f t="shared" si="53"/>
        <v>23881</v>
      </c>
      <c r="G115" s="520">
        <f t="shared" si="53"/>
        <v>0</v>
      </c>
      <c r="H115" s="520">
        <f t="shared" si="53"/>
        <v>31045.299999999996</v>
      </c>
      <c r="I115" s="520">
        <f t="shared" si="53"/>
        <v>40358.890000000007</v>
      </c>
      <c r="J115" s="360"/>
      <c r="K115" s="360"/>
      <c r="L115" s="360"/>
      <c r="M115" s="360"/>
      <c r="N115" s="360"/>
      <c r="O115" s="360"/>
      <c r="P115" s="360"/>
      <c r="Q115" s="360"/>
      <c r="R115" s="360"/>
      <c r="S115" s="360"/>
      <c r="T115" s="360"/>
      <c r="U115" s="360"/>
      <c r="V115" s="360"/>
      <c r="W115" s="360"/>
      <c r="X115" s="360"/>
      <c r="Y115" s="360"/>
      <c r="Z115" s="360"/>
      <c r="AA115" s="360"/>
      <c r="AB115" s="360"/>
      <c r="AC115" s="360"/>
      <c r="AD115" s="360"/>
      <c r="AE115" s="360"/>
      <c r="AF115" s="360"/>
      <c r="AG115" s="360"/>
      <c r="AH115" s="360"/>
      <c r="AI115" s="360"/>
      <c r="AJ115" s="360"/>
      <c r="AK115" s="360"/>
      <c r="AL115" s="360"/>
      <c r="AM115" s="360"/>
      <c r="AN115" s="360"/>
      <c r="AO115" s="360"/>
      <c r="AP115" s="360"/>
      <c r="AQ115" s="360"/>
      <c r="AR115" s="360"/>
      <c r="AS115" s="360"/>
      <c r="AT115" s="360"/>
      <c r="AU115" s="360"/>
      <c r="AV115" s="360"/>
      <c r="AW115" s="371"/>
      <c r="AX115" s="371"/>
      <c r="AY115" s="360"/>
      <c r="AZ115" s="360"/>
      <c r="BA115" s="360"/>
      <c r="BB115" s="360"/>
      <c r="BC115" s="360"/>
      <c r="BD115" s="360"/>
      <c r="BE115" s="360"/>
      <c r="BF115" s="360"/>
      <c r="BG115" s="360"/>
      <c r="BH115" s="360"/>
      <c r="BI115" s="360"/>
      <c r="BJ115" s="360"/>
      <c r="BK115" s="360"/>
      <c r="BL115" s="360"/>
      <c r="BM115" s="360"/>
      <c r="BN115" s="360"/>
      <c r="BO115" s="360"/>
      <c r="BP115" s="360"/>
      <c r="BQ115" s="360"/>
      <c r="BR115" s="360"/>
      <c r="BS115" s="360"/>
      <c r="BT115" s="360"/>
    </row>
    <row r="116" spans="1:72" x14ac:dyDescent="0.6">
      <c r="A116" s="360"/>
      <c r="B116" s="360"/>
      <c r="C116" s="360"/>
      <c r="D116" s="360"/>
      <c r="E116" s="360"/>
      <c r="F116" s="360"/>
      <c r="G116" s="360"/>
      <c r="H116" s="360"/>
      <c r="I116" s="360"/>
      <c r="J116" s="360"/>
      <c r="K116" s="360"/>
      <c r="L116" s="360"/>
      <c r="M116" s="360"/>
      <c r="N116" s="360"/>
      <c r="O116" s="360"/>
      <c r="P116" s="360"/>
      <c r="Q116" s="360"/>
      <c r="R116" s="360"/>
      <c r="S116" s="360"/>
      <c r="T116" s="360"/>
      <c r="U116" s="360"/>
      <c r="V116" s="360"/>
      <c r="W116" s="360"/>
      <c r="X116" s="360"/>
      <c r="Y116" s="360"/>
      <c r="Z116" s="360"/>
      <c r="AA116" s="360"/>
      <c r="AB116" s="360"/>
      <c r="AC116" s="360"/>
      <c r="AD116" s="360"/>
      <c r="AE116" s="360"/>
      <c r="AF116" s="360"/>
      <c r="AG116" s="360"/>
      <c r="AH116" s="360"/>
      <c r="AI116" s="360"/>
      <c r="AJ116" s="360"/>
      <c r="AK116" s="360"/>
      <c r="AL116" s="360"/>
      <c r="AM116" s="360"/>
      <c r="AN116" s="360"/>
      <c r="AO116" s="360"/>
      <c r="AP116" s="360"/>
      <c r="AQ116" s="360"/>
      <c r="AR116" s="360"/>
      <c r="AS116" s="360"/>
      <c r="AT116" s="360"/>
      <c r="AU116" s="360"/>
      <c r="AV116" s="360"/>
      <c r="AW116" s="371"/>
      <c r="AX116" s="371"/>
      <c r="AY116" s="360"/>
      <c r="AZ116" s="360"/>
      <c r="BA116" s="360"/>
      <c r="BB116" s="360"/>
      <c r="BC116" s="360"/>
      <c r="BD116" s="360"/>
      <c r="BE116" s="360"/>
      <c r="BF116" s="360"/>
      <c r="BG116" s="360"/>
      <c r="BH116" s="360"/>
      <c r="BI116" s="360"/>
      <c r="BJ116" s="360"/>
      <c r="BK116" s="360"/>
      <c r="BL116" s="360"/>
      <c r="BM116" s="360"/>
      <c r="BN116" s="360"/>
      <c r="BO116" s="360"/>
      <c r="BP116" s="360"/>
      <c r="BQ116" s="360"/>
      <c r="BR116" s="360"/>
      <c r="BS116" s="360"/>
      <c r="BT116" s="360"/>
    </row>
    <row r="117" spans="1:72" x14ac:dyDescent="0.6">
      <c r="A117" s="360"/>
      <c r="B117" s="360"/>
      <c r="C117" s="360"/>
      <c r="D117" s="360"/>
      <c r="E117" s="360"/>
      <c r="F117" s="360"/>
      <c r="G117" s="360"/>
      <c r="H117" s="360"/>
      <c r="I117" s="360"/>
      <c r="J117" s="360"/>
      <c r="K117" s="360"/>
      <c r="L117" s="360"/>
      <c r="M117" s="360"/>
      <c r="N117" s="360"/>
      <c r="O117" s="360"/>
      <c r="P117" s="360"/>
      <c r="Q117" s="360"/>
      <c r="R117" s="360"/>
      <c r="S117" s="360"/>
      <c r="T117" s="360"/>
      <c r="U117" s="360"/>
      <c r="V117" s="360"/>
      <c r="W117" s="360"/>
      <c r="X117" s="360"/>
      <c r="Y117" s="360"/>
      <c r="Z117" s="360"/>
      <c r="AA117" s="360"/>
      <c r="AB117" s="360"/>
      <c r="AC117" s="360"/>
      <c r="AD117" s="360"/>
      <c r="AE117" s="360"/>
      <c r="AF117" s="360"/>
      <c r="AG117" s="360"/>
      <c r="AH117" s="360"/>
      <c r="AI117" s="360"/>
      <c r="AJ117" s="360"/>
      <c r="AK117" s="360"/>
      <c r="AL117" s="360"/>
      <c r="AM117" s="360"/>
      <c r="AN117" s="360"/>
      <c r="AO117" s="360"/>
      <c r="AP117" s="360"/>
      <c r="AQ117" s="360"/>
      <c r="AR117" s="360"/>
      <c r="AS117" s="360"/>
      <c r="AT117" s="360"/>
      <c r="AU117" s="360"/>
      <c r="AV117" s="360"/>
      <c r="AW117" s="360"/>
      <c r="AX117" s="371"/>
      <c r="AY117" s="360"/>
      <c r="AZ117" s="360"/>
      <c r="BA117" s="360"/>
      <c r="BB117" s="360"/>
      <c r="BC117" s="360"/>
      <c r="BD117" s="360"/>
      <c r="BE117" s="360"/>
      <c r="BF117" s="360"/>
      <c r="BG117" s="360"/>
      <c r="BH117" s="360"/>
      <c r="BI117" s="360"/>
      <c r="BJ117" s="360"/>
      <c r="BK117" s="360"/>
      <c r="BL117" s="360"/>
      <c r="BM117" s="360"/>
      <c r="BN117" s="360"/>
      <c r="BO117" s="360"/>
      <c r="BP117" s="360"/>
      <c r="BQ117" s="360"/>
      <c r="BR117" s="360"/>
      <c r="BS117" s="360"/>
      <c r="BT117" s="360"/>
    </row>
    <row r="118" spans="1:72" x14ac:dyDescent="0.6">
      <c r="A118" s="360"/>
      <c r="B118" s="360"/>
      <c r="C118" s="360"/>
      <c r="D118" s="360"/>
      <c r="E118" s="360"/>
      <c r="F118" s="360"/>
      <c r="G118" s="360"/>
      <c r="H118" s="360"/>
      <c r="I118" s="360"/>
      <c r="J118" s="360"/>
      <c r="K118" s="360"/>
      <c r="L118" s="360"/>
      <c r="M118" s="360"/>
      <c r="N118" s="360"/>
      <c r="O118" s="360"/>
      <c r="P118" s="360"/>
      <c r="Q118" s="360"/>
      <c r="R118" s="360"/>
      <c r="S118" s="360"/>
      <c r="T118" s="360"/>
      <c r="U118" s="360"/>
      <c r="V118" s="360"/>
      <c r="W118" s="360"/>
      <c r="X118" s="360"/>
      <c r="Y118" s="360"/>
      <c r="Z118" s="360"/>
      <c r="AA118" s="360"/>
      <c r="AB118" s="360"/>
      <c r="AC118" s="360"/>
      <c r="AD118" s="360"/>
      <c r="AE118" s="360"/>
      <c r="AF118" s="360"/>
      <c r="AG118" s="360"/>
      <c r="AH118" s="360"/>
      <c r="AI118" s="360"/>
      <c r="AJ118" s="360"/>
      <c r="AK118" s="360"/>
      <c r="AL118" s="360"/>
      <c r="AM118" s="360"/>
      <c r="AN118" s="360"/>
      <c r="AO118" s="360"/>
      <c r="AP118" s="360"/>
      <c r="AQ118" s="360"/>
      <c r="AR118" s="360"/>
      <c r="AS118" s="360"/>
      <c r="AT118" s="360"/>
      <c r="AU118" s="360"/>
      <c r="AV118" s="360"/>
      <c r="AW118" s="371"/>
      <c r="AX118" s="371"/>
      <c r="AY118" s="360"/>
      <c r="AZ118" s="360"/>
      <c r="BA118" s="360"/>
      <c r="BB118" s="360"/>
      <c r="BC118" s="360"/>
      <c r="BD118" s="360"/>
      <c r="BE118" s="360"/>
      <c r="BF118" s="360"/>
      <c r="BG118" s="360"/>
      <c r="BH118" s="360"/>
      <c r="BI118" s="360"/>
      <c r="BJ118" s="360"/>
      <c r="BK118" s="360"/>
      <c r="BL118" s="360"/>
      <c r="BM118" s="360"/>
      <c r="BN118" s="360"/>
      <c r="BO118" s="360"/>
      <c r="BP118" s="360"/>
      <c r="BQ118" s="360"/>
      <c r="BR118" s="360"/>
      <c r="BS118" s="360"/>
      <c r="BT118" s="360"/>
    </row>
    <row r="119" spans="1:72" x14ac:dyDescent="0.6">
      <c r="A119" s="450" t="s">
        <v>190</v>
      </c>
      <c r="B119" s="451" t="s">
        <v>174</v>
      </c>
      <c r="C119" s="451" t="s">
        <v>173</v>
      </c>
      <c r="D119" s="451" t="s">
        <v>172</v>
      </c>
      <c r="E119" s="451" t="s">
        <v>171</v>
      </c>
      <c r="F119" s="451" t="s">
        <v>170</v>
      </c>
      <c r="G119" s="451" t="s">
        <v>169</v>
      </c>
      <c r="H119" s="451" t="s">
        <v>168</v>
      </c>
      <c r="I119" s="451" t="s">
        <v>167</v>
      </c>
      <c r="J119" s="451" t="s">
        <v>166</v>
      </c>
      <c r="K119" s="451" t="s">
        <v>165</v>
      </c>
      <c r="L119" s="451" t="s">
        <v>164</v>
      </c>
      <c r="M119" s="451" t="s">
        <v>163</v>
      </c>
      <c r="N119" s="451" t="s">
        <v>162</v>
      </c>
      <c r="O119" s="451" t="s">
        <v>146</v>
      </c>
      <c r="P119" s="451" t="s">
        <v>161</v>
      </c>
      <c r="S119" s="360"/>
      <c r="T119" s="360"/>
      <c r="U119" s="360"/>
      <c r="V119" s="360"/>
      <c r="W119" s="360"/>
      <c r="X119" s="360"/>
      <c r="Y119" s="360"/>
      <c r="Z119" s="360"/>
      <c r="AA119" s="360"/>
      <c r="AB119" s="360"/>
      <c r="AC119" s="360"/>
      <c r="AD119" s="360"/>
      <c r="AE119" s="360"/>
      <c r="AF119" s="360"/>
      <c r="AG119" s="360"/>
      <c r="AH119" s="360"/>
      <c r="AI119" s="360"/>
      <c r="AJ119" s="360"/>
      <c r="AK119" s="360"/>
      <c r="AL119" s="360"/>
      <c r="AM119" s="360"/>
      <c r="AN119" s="360"/>
      <c r="AO119" s="360"/>
      <c r="AP119" s="360"/>
      <c r="AQ119" s="360"/>
      <c r="AR119" s="360"/>
      <c r="AS119" s="360"/>
      <c r="AT119" s="360"/>
      <c r="AU119" s="360"/>
      <c r="AV119" s="360"/>
      <c r="AW119" s="360"/>
      <c r="AX119" s="360"/>
      <c r="AY119" s="360"/>
      <c r="AZ119" s="360"/>
      <c r="BA119" s="360"/>
      <c r="BB119" s="360"/>
      <c r="BC119" s="360"/>
      <c r="BD119" s="360"/>
      <c r="BE119" s="360"/>
      <c r="BF119" s="360"/>
      <c r="BG119" s="360"/>
      <c r="BH119" s="360"/>
      <c r="BI119" s="360"/>
      <c r="BJ119" s="360"/>
      <c r="BK119" s="360"/>
      <c r="BL119" s="360"/>
      <c r="BM119" s="360"/>
      <c r="BN119" s="360"/>
      <c r="BO119" s="360"/>
      <c r="BP119" s="360"/>
      <c r="BQ119" s="360"/>
      <c r="BR119" s="360"/>
      <c r="BS119" s="360"/>
      <c r="BT119" s="360"/>
    </row>
    <row r="120" spans="1:72" x14ac:dyDescent="0.6">
      <c r="A120" s="450"/>
      <c r="B120" s="451" t="s">
        <v>96</v>
      </c>
      <c r="C120" s="451" t="s">
        <v>62</v>
      </c>
      <c r="D120" s="451" t="s">
        <v>107</v>
      </c>
      <c r="E120" s="451" t="s">
        <v>108</v>
      </c>
      <c r="F120" s="451" t="s">
        <v>109</v>
      </c>
      <c r="G120" s="451" t="s">
        <v>40</v>
      </c>
      <c r="H120" s="451" t="s">
        <v>55</v>
      </c>
      <c r="I120" s="451" t="s">
        <v>95</v>
      </c>
      <c r="J120" s="451" t="s">
        <v>94</v>
      </c>
      <c r="K120" s="451" t="s">
        <v>39</v>
      </c>
      <c r="L120" s="451" t="s">
        <v>54</v>
      </c>
      <c r="M120" s="451" t="s">
        <v>148</v>
      </c>
      <c r="N120" s="451" t="s">
        <v>149</v>
      </c>
      <c r="O120" s="451" t="s">
        <v>160</v>
      </c>
      <c r="P120" s="451" t="s">
        <v>159</v>
      </c>
      <c r="S120" s="371"/>
      <c r="T120" s="371"/>
      <c r="U120" s="360"/>
      <c r="V120" s="371"/>
      <c r="W120" s="360"/>
      <c r="X120" s="360"/>
      <c r="Y120" s="360"/>
      <c r="Z120" s="360"/>
      <c r="AA120" s="360"/>
      <c r="AB120" s="371"/>
      <c r="AC120" s="371"/>
      <c r="AD120" s="360"/>
      <c r="AE120" s="371"/>
      <c r="AF120" s="360"/>
      <c r="AG120" s="360"/>
      <c r="AH120" s="360"/>
      <c r="AI120" s="360"/>
      <c r="AJ120" s="360"/>
      <c r="AK120" s="360"/>
      <c r="AL120" s="360"/>
      <c r="AM120" s="371"/>
      <c r="AN120" s="360"/>
      <c r="AO120" s="371"/>
      <c r="AP120" s="360"/>
      <c r="AQ120" s="360"/>
      <c r="AR120" s="360"/>
      <c r="AS120" s="360"/>
      <c r="AT120" s="360"/>
      <c r="AU120" s="360"/>
      <c r="AV120" s="360"/>
      <c r="AW120" s="360"/>
      <c r="AX120" s="360"/>
      <c r="AY120" s="360"/>
      <c r="AZ120" s="360"/>
      <c r="BA120" s="360"/>
      <c r="BB120" s="360"/>
      <c r="BC120" s="360"/>
      <c r="BD120" s="360"/>
      <c r="BE120" s="360"/>
      <c r="BF120" s="360"/>
      <c r="BG120" s="360"/>
      <c r="BH120" s="360"/>
      <c r="BI120" s="360"/>
      <c r="BJ120" s="360"/>
      <c r="BK120" s="360"/>
      <c r="BL120" s="360"/>
      <c r="BM120" s="360"/>
      <c r="BN120" s="360"/>
      <c r="BO120" s="360"/>
      <c r="BP120" s="360"/>
      <c r="BQ120" s="360"/>
      <c r="BR120" s="360"/>
      <c r="BS120" s="360"/>
      <c r="BT120" s="360"/>
    </row>
    <row r="121" spans="1:72" x14ac:dyDescent="0.6">
      <c r="A121" s="519" t="s">
        <v>37</v>
      </c>
      <c r="B121" s="524">
        <v>916302</v>
      </c>
      <c r="C121" s="524">
        <v>1295095</v>
      </c>
      <c r="D121" s="524">
        <v>485168</v>
      </c>
      <c r="E121" s="524">
        <v>1638185</v>
      </c>
      <c r="F121" s="524">
        <v>1760403</v>
      </c>
      <c r="G121" s="524">
        <v>2185539</v>
      </c>
      <c r="H121" s="524">
        <v>532898</v>
      </c>
      <c r="I121" s="524">
        <v>1835847</v>
      </c>
      <c r="J121" s="524">
        <v>2566088</v>
      </c>
      <c r="K121" s="524">
        <v>3047364</v>
      </c>
      <c r="L121" s="524">
        <v>612286</v>
      </c>
      <c r="M121" s="524">
        <v>1429484</v>
      </c>
      <c r="N121" s="524">
        <v>2236386</v>
      </c>
      <c r="O121" s="524">
        <f>P34</f>
        <v>2216654</v>
      </c>
      <c r="P121" s="524">
        <f>Q34</f>
        <v>2789096.3291221075</v>
      </c>
      <c r="S121" s="371"/>
      <c r="T121" s="371"/>
      <c r="U121" s="360"/>
      <c r="V121" s="371"/>
      <c r="W121" s="360"/>
      <c r="X121" s="360"/>
      <c r="Y121" s="360"/>
      <c r="Z121" s="360"/>
      <c r="AA121" s="360"/>
      <c r="AB121" s="371"/>
      <c r="AC121" s="371"/>
      <c r="AD121" s="360"/>
      <c r="AE121" s="371"/>
      <c r="AF121" s="360"/>
      <c r="AG121" s="360"/>
      <c r="AH121" s="360"/>
      <c r="AI121" s="360"/>
      <c r="AJ121" s="360"/>
      <c r="AK121" s="360"/>
      <c r="AL121" s="371"/>
      <c r="AM121" s="371"/>
      <c r="AN121" s="360"/>
      <c r="AO121" s="371"/>
      <c r="AP121" s="360"/>
      <c r="AQ121" s="360"/>
      <c r="AR121" s="360"/>
      <c r="AS121" s="360"/>
      <c r="AT121" s="360"/>
      <c r="AU121" s="360"/>
      <c r="AV121" s="360"/>
      <c r="AW121" s="360"/>
      <c r="AX121" s="360"/>
      <c r="AY121" s="360"/>
      <c r="AZ121" s="360"/>
      <c r="BA121" s="360"/>
      <c r="BB121" s="360"/>
      <c r="BC121" s="360"/>
      <c r="BD121" s="360"/>
      <c r="BE121" s="360"/>
      <c r="BF121" s="360"/>
      <c r="BG121" s="360"/>
      <c r="BH121" s="360"/>
      <c r="BI121" s="360"/>
      <c r="BJ121" s="360"/>
      <c r="BK121" s="360"/>
      <c r="BL121" s="360"/>
      <c r="BM121" s="360"/>
      <c r="BN121" s="360"/>
      <c r="BO121" s="360"/>
      <c r="BP121" s="360"/>
      <c r="BQ121" s="360"/>
      <c r="BR121" s="360"/>
      <c r="BS121" s="360"/>
      <c r="BT121" s="360"/>
    </row>
    <row r="122" spans="1:72" x14ac:dyDescent="0.6">
      <c r="A122" s="519" t="s">
        <v>36</v>
      </c>
      <c r="B122" s="524">
        <v>-853363</v>
      </c>
      <c r="C122" s="524">
        <v>-1193549</v>
      </c>
      <c r="D122" s="524">
        <v>-446355</v>
      </c>
      <c r="E122" s="524">
        <v>-1354476</v>
      </c>
      <c r="F122" s="524">
        <v>-1516225</v>
      </c>
      <c r="G122" s="524">
        <v>-1951755</v>
      </c>
      <c r="H122" s="524">
        <v>-513747</v>
      </c>
      <c r="I122" s="524">
        <v>-1552138</v>
      </c>
      <c r="J122" s="524">
        <v>-2313596</v>
      </c>
      <c r="K122" s="524">
        <v>-2703352</v>
      </c>
      <c r="L122" s="524">
        <v>-504966</v>
      </c>
      <c r="M122" s="524">
        <v>-1167929</v>
      </c>
      <c r="N122" s="524">
        <v>-1947615</v>
      </c>
      <c r="O122" s="524">
        <f>-I65</f>
        <v>-2073157.9</v>
      </c>
      <c r="P122" s="524">
        <f>-J65</f>
        <v>-3447135.7448341353</v>
      </c>
      <c r="S122" s="371"/>
      <c r="T122" s="360"/>
      <c r="U122" s="360"/>
      <c r="V122" s="360"/>
      <c r="W122" s="360"/>
      <c r="X122" s="360"/>
      <c r="Y122" s="360"/>
      <c r="Z122" s="360"/>
      <c r="AA122" s="360"/>
      <c r="AB122" s="371"/>
      <c r="AC122" s="360"/>
      <c r="AD122" s="360"/>
      <c r="AE122" s="360"/>
      <c r="AF122" s="360"/>
      <c r="AG122" s="360"/>
      <c r="AH122" s="360"/>
      <c r="AI122" s="360"/>
      <c r="AJ122" s="360"/>
      <c r="AK122" s="360"/>
      <c r="AL122" s="371"/>
      <c r="AM122" s="360"/>
      <c r="AN122" s="360"/>
      <c r="AO122" s="360"/>
      <c r="AP122" s="360"/>
      <c r="AQ122" s="360"/>
      <c r="AR122" s="360"/>
      <c r="AS122" s="360"/>
      <c r="AT122" s="360"/>
      <c r="AU122" s="360"/>
      <c r="AV122" s="360"/>
      <c r="AW122" s="360"/>
      <c r="AX122" s="360"/>
      <c r="AY122" s="360"/>
      <c r="AZ122" s="360"/>
      <c r="BA122" s="360"/>
      <c r="BB122" s="360"/>
      <c r="BC122" s="360"/>
      <c r="BD122" s="360"/>
      <c r="BE122" s="360"/>
      <c r="BF122" s="360"/>
      <c r="BG122" s="360"/>
      <c r="BH122" s="360"/>
      <c r="BI122" s="360"/>
      <c r="BJ122" s="360"/>
      <c r="BK122" s="360"/>
      <c r="BL122" s="360"/>
      <c r="BM122" s="360"/>
      <c r="BN122" s="360"/>
      <c r="BO122" s="360"/>
      <c r="BP122" s="360"/>
      <c r="BQ122" s="360"/>
      <c r="BR122" s="360"/>
      <c r="BS122" s="360"/>
      <c r="BT122" s="360"/>
    </row>
    <row r="123" spans="1:72" x14ac:dyDescent="0.6">
      <c r="A123" s="519" t="s">
        <v>35</v>
      </c>
      <c r="B123" s="524">
        <v>62939</v>
      </c>
      <c r="C123" s="524">
        <v>101546</v>
      </c>
      <c r="D123" s="524">
        <v>38813</v>
      </c>
      <c r="E123" s="524">
        <v>283709</v>
      </c>
      <c r="F123" s="524">
        <v>244178</v>
      </c>
      <c r="G123" s="524">
        <v>233784</v>
      </c>
      <c r="H123" s="524">
        <v>19151</v>
      </c>
      <c r="I123" s="524">
        <v>283709</v>
      </c>
      <c r="J123" s="524">
        <v>252492</v>
      </c>
      <c r="K123" s="524">
        <v>344012</v>
      </c>
      <c r="L123" s="524">
        <v>107320</v>
      </c>
      <c r="M123" s="524">
        <v>261555</v>
      </c>
      <c r="N123" s="524">
        <f>SUM(N121:N122)</f>
        <v>288771</v>
      </c>
      <c r="O123" s="524">
        <f t="shared" ref="O123:P123" si="54">SUM(O121:O122)</f>
        <v>143496.10000000009</v>
      </c>
      <c r="P123" s="524">
        <f t="shared" si="54"/>
        <v>-658039.41571202781</v>
      </c>
      <c r="S123" s="371"/>
      <c r="T123" s="360"/>
      <c r="U123" s="360"/>
      <c r="V123" s="360"/>
      <c r="W123" s="360"/>
      <c r="X123" s="360"/>
      <c r="Y123" s="360"/>
      <c r="Z123" s="360"/>
      <c r="AA123" s="360"/>
      <c r="AB123" s="371"/>
      <c r="AC123" s="360"/>
      <c r="AD123" s="360"/>
      <c r="AE123" s="360"/>
      <c r="AF123" s="360"/>
      <c r="AG123" s="360"/>
      <c r="AH123" s="360"/>
      <c r="AI123" s="360"/>
      <c r="AJ123" s="360"/>
      <c r="AK123" s="360"/>
      <c r="AL123" s="371"/>
      <c r="AM123" s="360"/>
      <c r="AN123" s="360"/>
      <c r="AO123" s="360"/>
      <c r="AP123" s="360"/>
      <c r="AQ123" s="360"/>
      <c r="AR123" s="360"/>
      <c r="AS123" s="360"/>
      <c r="AT123" s="360"/>
      <c r="AU123" s="360"/>
      <c r="AV123" s="360"/>
      <c r="AW123" s="360"/>
      <c r="AX123" s="360"/>
      <c r="AY123" s="360"/>
      <c r="AZ123" s="360"/>
      <c r="BA123" s="360"/>
      <c r="BB123" s="360"/>
      <c r="BC123" s="360"/>
      <c r="BD123" s="360"/>
      <c r="BE123" s="360"/>
      <c r="BF123" s="360"/>
      <c r="BG123" s="360"/>
      <c r="BH123" s="360"/>
      <c r="BI123" s="360"/>
      <c r="BJ123" s="360"/>
      <c r="BK123" s="360"/>
      <c r="BL123" s="360"/>
      <c r="BM123" s="360"/>
      <c r="BN123" s="360"/>
      <c r="BO123" s="360"/>
      <c r="BP123" s="360"/>
      <c r="BQ123" s="360"/>
      <c r="BR123" s="360"/>
      <c r="BS123" s="360"/>
      <c r="BT123" s="360"/>
    </row>
    <row r="124" spans="1:72" x14ac:dyDescent="0.6">
      <c r="A124" s="378" t="s">
        <v>34</v>
      </c>
      <c r="B124" s="524">
        <v>-21143</v>
      </c>
      <c r="C124" s="524">
        <v>-27764</v>
      </c>
      <c r="D124" s="524">
        <v>-4748</v>
      </c>
      <c r="E124" s="524">
        <v>-20908</v>
      </c>
      <c r="F124" s="524">
        <v>-23325</v>
      </c>
      <c r="G124" s="524">
        <v>-36288</v>
      </c>
      <c r="H124" s="524">
        <v>-7445</v>
      </c>
      <c r="I124" s="524">
        <v>-20908</v>
      </c>
      <c r="J124" s="524">
        <v>-28718</v>
      </c>
      <c r="K124" s="524">
        <v>-42657</v>
      </c>
      <c r="L124" s="524">
        <v>-11004</v>
      </c>
      <c r="M124" s="524">
        <v>-23886</v>
      </c>
      <c r="N124" s="524">
        <v>-39731</v>
      </c>
      <c r="O124" s="524">
        <f>N124*1.2</f>
        <v>-47677.2</v>
      </c>
      <c r="P124" s="524">
        <f>-I115</f>
        <v>-40358.890000000007</v>
      </c>
      <c r="R124" s="402"/>
      <c r="S124" s="371"/>
      <c r="T124" s="360"/>
      <c r="U124" s="360"/>
      <c r="V124" s="360"/>
      <c r="W124" s="360"/>
      <c r="X124" s="360"/>
      <c r="Y124" s="360"/>
      <c r="Z124" s="360"/>
      <c r="AA124" s="360"/>
      <c r="AB124" s="371"/>
      <c r="AC124" s="360"/>
      <c r="AD124" s="360"/>
      <c r="AE124" s="360"/>
      <c r="AF124" s="360"/>
      <c r="AG124" s="360"/>
      <c r="AH124" s="360"/>
      <c r="AI124" s="360"/>
      <c r="AJ124" s="360"/>
      <c r="AK124" s="360"/>
      <c r="AL124" s="360"/>
      <c r="AM124" s="360"/>
      <c r="AN124" s="360"/>
      <c r="AO124" s="360"/>
      <c r="AP124" s="360"/>
      <c r="AQ124" s="360"/>
      <c r="AR124" s="360"/>
      <c r="AS124" s="360"/>
      <c r="AT124" s="360"/>
      <c r="AU124" s="360"/>
      <c r="AV124" s="360"/>
      <c r="AW124" s="371"/>
      <c r="AX124" s="371"/>
      <c r="AY124" s="360"/>
      <c r="AZ124" s="360"/>
      <c r="BA124" s="360"/>
      <c r="BB124" s="360"/>
      <c r="BC124" s="360"/>
      <c r="BD124" s="360"/>
      <c r="BE124" s="360"/>
      <c r="BF124" s="360"/>
      <c r="BG124" s="360"/>
      <c r="BH124" s="360"/>
      <c r="BI124" s="360"/>
      <c r="BJ124" s="360"/>
      <c r="BK124" s="360"/>
      <c r="BL124" s="360"/>
      <c r="BM124" s="360"/>
      <c r="BN124" s="360"/>
      <c r="BO124" s="360"/>
      <c r="BP124" s="360"/>
      <c r="BQ124" s="360"/>
      <c r="BR124" s="360"/>
      <c r="BS124" s="360"/>
      <c r="BT124" s="360"/>
    </row>
    <row r="125" spans="1:72" x14ac:dyDescent="0.6">
      <c r="A125" s="367" t="s">
        <v>33</v>
      </c>
      <c r="B125" s="524">
        <v>483</v>
      </c>
      <c r="C125" s="524">
        <v>3149</v>
      </c>
      <c r="D125" s="524">
        <v>999</v>
      </c>
      <c r="E125" s="524">
        <v>0</v>
      </c>
      <c r="F125" s="524">
        <v>9630</v>
      </c>
      <c r="G125" s="524">
        <v>1752</v>
      </c>
      <c r="H125" s="524">
        <v>656</v>
      </c>
      <c r="I125" s="524">
        <v>1988</v>
      </c>
      <c r="J125" s="524">
        <v>585</v>
      </c>
      <c r="K125" s="524">
        <v>22568</v>
      </c>
      <c r="L125" s="524">
        <v>3493</v>
      </c>
      <c r="M125" s="524">
        <v>7686</v>
      </c>
      <c r="N125" s="524">
        <v>40612</v>
      </c>
      <c r="O125" s="524">
        <f>N125*1.2</f>
        <v>48734.400000000001</v>
      </c>
      <c r="P125" s="524">
        <f>O125</f>
        <v>48734.400000000001</v>
      </c>
      <c r="R125" s="402"/>
      <c r="S125" s="360"/>
      <c r="W125" s="388"/>
      <c r="X125" s="388"/>
      <c r="Y125" s="366"/>
      <c r="Z125" s="365"/>
      <c r="AA125" s="360"/>
      <c r="AB125" s="360"/>
      <c r="AC125" s="360"/>
      <c r="AD125" s="360"/>
      <c r="AE125" s="360"/>
      <c r="AF125" s="360"/>
      <c r="AG125" s="360"/>
      <c r="AH125" s="360"/>
      <c r="AI125" s="360"/>
      <c r="AJ125" s="360"/>
      <c r="AK125" s="360"/>
      <c r="AL125" s="360"/>
      <c r="AM125" s="360"/>
      <c r="AN125" s="360"/>
      <c r="AO125" s="360"/>
      <c r="AP125" s="360"/>
      <c r="AQ125" s="360"/>
      <c r="AR125" s="360"/>
      <c r="AS125" s="360"/>
      <c r="AT125" s="360"/>
      <c r="AU125" s="360"/>
      <c r="AV125" s="360"/>
      <c r="AW125" s="371"/>
      <c r="AX125" s="371"/>
      <c r="AY125" s="360"/>
      <c r="AZ125" s="360"/>
      <c r="BA125" s="360"/>
      <c r="BB125" s="360"/>
      <c r="BC125" s="360"/>
      <c r="BD125" s="360"/>
      <c r="BE125" s="360"/>
      <c r="BF125" s="360"/>
      <c r="BG125" s="360"/>
      <c r="BH125" s="360"/>
      <c r="BI125" s="360"/>
      <c r="BJ125" s="360"/>
      <c r="BK125" s="360"/>
      <c r="BL125" s="360"/>
      <c r="BM125" s="360"/>
      <c r="BN125" s="360"/>
      <c r="BO125" s="360"/>
      <c r="BP125" s="360"/>
      <c r="BQ125" s="360"/>
      <c r="BR125" s="360"/>
      <c r="BS125" s="360"/>
      <c r="BT125" s="360"/>
    </row>
    <row r="126" spans="1:72" x14ac:dyDescent="0.6">
      <c r="A126" s="367" t="s">
        <v>32</v>
      </c>
      <c r="B126" s="524">
        <v>0</v>
      </c>
      <c r="C126" s="524">
        <v>0</v>
      </c>
      <c r="D126" s="524">
        <v>0</v>
      </c>
      <c r="E126" s="524">
        <v>-34442</v>
      </c>
      <c r="F126" s="524">
        <v>0</v>
      </c>
      <c r="G126" s="524">
        <v>0</v>
      </c>
      <c r="H126" s="524">
        <v>0</v>
      </c>
      <c r="I126" s="524">
        <v>0</v>
      </c>
      <c r="J126" s="524">
        <v>-32258</v>
      </c>
      <c r="K126" s="524">
        <v>0</v>
      </c>
      <c r="L126" s="524">
        <v>0</v>
      </c>
      <c r="M126" s="524">
        <v>0</v>
      </c>
      <c r="N126" s="524">
        <v>0</v>
      </c>
      <c r="O126" s="524">
        <v>0</v>
      </c>
      <c r="P126" s="524">
        <v>0</v>
      </c>
      <c r="R126" s="390"/>
      <c r="S126" s="360"/>
      <c r="W126" s="388"/>
      <c r="X126" s="388"/>
      <c r="Y126" s="366"/>
      <c r="Z126" s="365"/>
      <c r="AA126" s="360"/>
      <c r="AB126" s="360"/>
      <c r="AC126" s="360"/>
      <c r="AD126" s="360"/>
      <c r="AE126" s="360"/>
      <c r="AF126" s="360"/>
      <c r="AG126" s="360"/>
      <c r="AH126" s="360"/>
      <c r="AI126" s="360"/>
      <c r="AJ126" s="360"/>
      <c r="AK126" s="360"/>
      <c r="AL126" s="360"/>
      <c r="AM126" s="360"/>
      <c r="AN126" s="360"/>
      <c r="AO126" s="360"/>
      <c r="AP126" s="360"/>
      <c r="AQ126" s="360"/>
      <c r="AR126" s="360"/>
      <c r="AS126" s="360"/>
      <c r="AT126" s="360"/>
      <c r="AU126" s="360"/>
      <c r="AV126" s="360"/>
      <c r="AW126" s="360"/>
      <c r="AX126" s="371"/>
      <c r="AY126" s="360"/>
      <c r="AZ126" s="360"/>
      <c r="BA126" s="360"/>
      <c r="BB126" s="360"/>
      <c r="BC126" s="360"/>
      <c r="BD126" s="360"/>
      <c r="BE126" s="360"/>
      <c r="BF126" s="360"/>
      <c r="BG126" s="360"/>
      <c r="BH126" s="360"/>
      <c r="BI126" s="360"/>
      <c r="BJ126" s="360"/>
      <c r="BK126" s="360"/>
      <c r="BL126" s="360"/>
      <c r="BM126" s="360"/>
      <c r="BN126" s="360"/>
      <c r="BO126" s="360"/>
      <c r="BP126" s="360"/>
      <c r="BQ126" s="360"/>
      <c r="BR126" s="360"/>
      <c r="BS126" s="360"/>
      <c r="BT126" s="360"/>
    </row>
    <row r="127" spans="1:72" x14ac:dyDescent="0.6">
      <c r="A127" s="367" t="s">
        <v>31</v>
      </c>
      <c r="B127" s="524">
        <v>42279</v>
      </c>
      <c r="C127" s="524">
        <v>76931</v>
      </c>
      <c r="D127" s="524">
        <v>35064</v>
      </c>
      <c r="E127" s="524">
        <v>228359</v>
      </c>
      <c r="F127" s="524">
        <v>230483</v>
      </c>
      <c r="G127" s="524">
        <v>199248</v>
      </c>
      <c r="H127" s="524">
        <v>12362</v>
      </c>
      <c r="I127" s="524">
        <v>264789</v>
      </c>
      <c r="J127" s="524">
        <v>192101</v>
      </c>
      <c r="K127" s="524">
        <v>323923</v>
      </c>
      <c r="L127" s="524">
        <v>99809</v>
      </c>
      <c r="M127" s="524">
        <v>245355</v>
      </c>
      <c r="N127" s="524">
        <f>SUM(N123:N126)</f>
        <v>289652</v>
      </c>
      <c r="O127" s="524">
        <f t="shared" ref="O127:P127" si="55">SUM(O123:O126)</f>
        <v>144553.3000000001</v>
      </c>
      <c r="P127" s="524">
        <f t="shared" si="55"/>
        <v>-649663.9057120278</v>
      </c>
      <c r="S127" s="371"/>
      <c r="W127" s="388"/>
      <c r="X127" s="388"/>
      <c r="Y127" s="366"/>
      <c r="Z127" s="365"/>
      <c r="AA127" s="360"/>
      <c r="AB127" s="371"/>
      <c r="AC127" s="371"/>
      <c r="AD127" s="360"/>
      <c r="AE127" s="371"/>
      <c r="AF127" s="360"/>
      <c r="AG127" s="360"/>
      <c r="AH127" s="360"/>
      <c r="AI127" s="360"/>
      <c r="AJ127" s="360"/>
      <c r="AK127" s="360"/>
      <c r="AL127" s="360"/>
      <c r="AM127" s="360"/>
      <c r="AN127" s="360"/>
      <c r="AO127" s="371"/>
      <c r="AP127" s="360"/>
      <c r="AQ127" s="360"/>
      <c r="AR127" s="360"/>
      <c r="AS127" s="360"/>
      <c r="AT127" s="360"/>
      <c r="AU127" s="360"/>
      <c r="AV127" s="360"/>
      <c r="AW127" s="371"/>
      <c r="AX127" s="371"/>
      <c r="AY127" s="360"/>
      <c r="AZ127" s="360"/>
      <c r="BA127" s="360"/>
      <c r="BB127" s="360"/>
      <c r="BC127" s="360"/>
      <c r="BD127" s="360"/>
      <c r="BE127" s="360"/>
      <c r="BF127" s="360"/>
      <c r="BG127" s="360"/>
      <c r="BH127" s="360"/>
      <c r="BI127" s="360"/>
      <c r="BJ127" s="360"/>
      <c r="BK127" s="360"/>
      <c r="BL127" s="360"/>
      <c r="BM127" s="360"/>
      <c r="BN127" s="360"/>
      <c r="BO127" s="360"/>
      <c r="BP127" s="360"/>
      <c r="BQ127" s="360"/>
      <c r="BR127" s="360"/>
      <c r="BS127" s="360"/>
      <c r="BT127" s="360"/>
    </row>
    <row r="128" spans="1:72" x14ac:dyDescent="0.6">
      <c r="A128" s="367" t="s">
        <v>30</v>
      </c>
      <c r="B128" s="524">
        <v>-18204</v>
      </c>
      <c r="C128" s="524">
        <v>-23535</v>
      </c>
      <c r="D128" s="524">
        <v>-18370</v>
      </c>
      <c r="E128" s="524">
        <v>-32241</v>
      </c>
      <c r="F128" s="524">
        <v>-24843</v>
      </c>
      <c r="G128" s="524">
        <v>-34624</v>
      </c>
      <c r="H128" s="524">
        <v>-9159</v>
      </c>
      <c r="I128" s="524">
        <v>-32241</v>
      </c>
      <c r="J128" s="524">
        <v>-29199</v>
      </c>
      <c r="K128" s="524">
        <v>-54026</v>
      </c>
      <c r="L128" s="524">
        <v>-12254</v>
      </c>
      <c r="M128" s="524">
        <v>-28741</v>
      </c>
      <c r="N128" s="524">
        <v>-44321</v>
      </c>
      <c r="O128" s="524">
        <f>N128*1.2</f>
        <v>-53185.2</v>
      </c>
      <c r="P128" s="524">
        <f>O128</f>
        <v>-53185.2</v>
      </c>
      <c r="S128" s="371"/>
      <c r="W128" s="388"/>
      <c r="X128" s="388"/>
      <c r="Y128" s="366"/>
      <c r="Z128" s="365"/>
      <c r="AA128" s="360"/>
      <c r="AB128" s="371"/>
      <c r="AC128" s="371"/>
      <c r="AD128" s="360"/>
      <c r="AE128" s="371"/>
      <c r="AF128" s="360"/>
      <c r="AG128" s="360"/>
      <c r="AH128" s="360"/>
      <c r="AI128" s="360"/>
      <c r="AJ128" s="360"/>
      <c r="AK128" s="360"/>
      <c r="AL128" s="371"/>
      <c r="AM128" s="371"/>
      <c r="AN128" s="360"/>
      <c r="AO128" s="371"/>
      <c r="AP128" s="360"/>
      <c r="AQ128" s="360"/>
      <c r="AR128" s="360"/>
      <c r="AS128" s="360"/>
      <c r="AT128" s="360"/>
      <c r="AU128" s="360"/>
      <c r="AV128" s="360"/>
      <c r="AW128" s="360"/>
      <c r="AX128" s="360"/>
      <c r="AY128" s="360"/>
      <c r="AZ128" s="360"/>
      <c r="BA128" s="360"/>
      <c r="BB128" s="360"/>
      <c r="BC128" s="360"/>
      <c r="BD128" s="360"/>
      <c r="BE128" s="360"/>
      <c r="BF128" s="360"/>
      <c r="BG128" s="360"/>
      <c r="BH128" s="360"/>
      <c r="BI128" s="360"/>
      <c r="BJ128" s="360"/>
      <c r="BK128" s="360"/>
      <c r="BL128" s="360"/>
      <c r="BM128" s="360"/>
      <c r="BN128" s="360"/>
      <c r="BO128" s="360"/>
      <c r="BP128" s="360"/>
      <c r="BQ128" s="360"/>
      <c r="BR128" s="360"/>
      <c r="BS128" s="360"/>
      <c r="BT128" s="360"/>
    </row>
    <row r="129" spans="1:72" x14ac:dyDescent="0.6">
      <c r="A129" s="367" t="s">
        <v>29</v>
      </c>
      <c r="B129" s="524">
        <v>14573</v>
      </c>
      <c r="C129" s="524">
        <v>37431</v>
      </c>
      <c r="D129" s="524">
        <v>595</v>
      </c>
      <c r="E129" s="524">
        <v>29918</v>
      </c>
      <c r="F129" s="524">
        <v>8784</v>
      </c>
      <c r="G129" s="524">
        <v>19158</v>
      </c>
      <c r="H129" s="524">
        <v>733</v>
      </c>
      <c r="I129" s="524">
        <v>29918</v>
      </c>
      <c r="J129" s="524">
        <v>32508</v>
      </c>
      <c r="K129" s="524">
        <v>-23912</v>
      </c>
      <c r="L129" s="524">
        <v>2068</v>
      </c>
      <c r="M129" s="524">
        <v>50924</v>
      </c>
      <c r="N129" s="524">
        <v>53610</v>
      </c>
      <c r="O129" s="524">
        <f>N129</f>
        <v>53610</v>
      </c>
      <c r="P129" s="524">
        <f>N129</f>
        <v>53610</v>
      </c>
      <c r="S129" s="360"/>
      <c r="W129" s="388"/>
      <c r="X129" s="389"/>
      <c r="Y129" s="365"/>
      <c r="Z129" s="365"/>
      <c r="AA129" s="360"/>
      <c r="AB129" s="360"/>
      <c r="AC129" s="360"/>
      <c r="AD129" s="360"/>
      <c r="AE129" s="360"/>
      <c r="AF129" s="360"/>
      <c r="AG129" s="360"/>
      <c r="AH129" s="360"/>
      <c r="AI129" s="360"/>
      <c r="AJ129" s="360"/>
      <c r="AK129" s="360"/>
      <c r="AL129" s="360"/>
      <c r="AM129" s="360"/>
      <c r="AN129" s="360"/>
      <c r="AO129" s="360"/>
      <c r="AP129" s="360"/>
      <c r="AQ129" s="360"/>
      <c r="AR129" s="360"/>
      <c r="AS129" s="360"/>
      <c r="AT129" s="360"/>
      <c r="AU129" s="360"/>
      <c r="AV129" s="360"/>
      <c r="AW129" s="360"/>
      <c r="AX129" s="360"/>
      <c r="AY129" s="360"/>
      <c r="AZ129" s="360"/>
      <c r="BA129" s="360"/>
      <c r="BB129" s="360"/>
      <c r="BC129" s="360"/>
      <c r="BD129" s="360"/>
      <c r="BE129" s="360"/>
      <c r="BF129" s="360"/>
      <c r="BG129" s="360"/>
      <c r="BH129" s="360"/>
      <c r="BI129" s="360"/>
      <c r="BJ129" s="360"/>
      <c r="BK129" s="360"/>
      <c r="BL129" s="360"/>
      <c r="BM129" s="360"/>
      <c r="BN129" s="360"/>
      <c r="BO129" s="360"/>
      <c r="BP129" s="360"/>
      <c r="BQ129" s="360"/>
      <c r="BR129" s="360"/>
      <c r="BS129" s="360"/>
      <c r="BT129" s="360"/>
    </row>
    <row r="130" spans="1:72" x14ac:dyDescent="0.6">
      <c r="A130" s="378" t="s">
        <v>28</v>
      </c>
      <c r="B130" s="524">
        <v>266</v>
      </c>
      <c r="C130" s="524">
        <v>0</v>
      </c>
      <c r="D130" s="524">
        <v>242</v>
      </c>
      <c r="E130" s="524">
        <v>2153</v>
      </c>
      <c r="F130" s="524">
        <v>245</v>
      </c>
      <c r="G130" s="524">
        <v>545</v>
      </c>
      <c r="H130" s="524">
        <v>0</v>
      </c>
      <c r="I130" s="524">
        <v>-34277</v>
      </c>
      <c r="J130" s="524">
        <v>1304</v>
      </c>
      <c r="K130" s="524">
        <v>-49136</v>
      </c>
      <c r="L130" s="524">
        <v>8</v>
      </c>
      <c r="M130" s="524">
        <v>-107</v>
      </c>
      <c r="N130" s="524">
        <v>-534</v>
      </c>
      <c r="O130" s="524">
        <v>-534</v>
      </c>
      <c r="P130" s="524">
        <v>-534</v>
      </c>
      <c r="S130" s="360"/>
      <c r="W130" s="388"/>
      <c r="X130" s="389"/>
      <c r="Y130" s="366"/>
      <c r="Z130" s="366"/>
      <c r="AA130" s="360"/>
      <c r="AB130" s="360"/>
      <c r="AC130" s="360"/>
      <c r="AD130" s="360"/>
      <c r="AE130" s="360"/>
      <c r="AF130" s="360"/>
      <c r="AG130" s="360"/>
      <c r="AH130" s="360"/>
      <c r="AI130" s="360"/>
      <c r="AJ130" s="360"/>
      <c r="AK130" s="360"/>
      <c r="AL130" s="360"/>
      <c r="AM130" s="360"/>
      <c r="AN130" s="360"/>
      <c r="AO130" s="360"/>
      <c r="AP130" s="360"/>
      <c r="AQ130" s="360"/>
      <c r="AR130" s="360"/>
      <c r="AS130" s="360"/>
      <c r="AT130" s="360"/>
      <c r="AU130" s="360"/>
      <c r="AV130" s="360"/>
      <c r="AW130" s="360"/>
      <c r="AX130" s="360"/>
      <c r="AY130" s="360"/>
      <c r="AZ130" s="360"/>
      <c r="BA130" s="360"/>
      <c r="BB130" s="360"/>
      <c r="BC130" s="360"/>
      <c r="BD130" s="360"/>
      <c r="BE130" s="360"/>
      <c r="BF130" s="360"/>
      <c r="BG130" s="360"/>
      <c r="BH130" s="360"/>
      <c r="BI130" s="360"/>
      <c r="BJ130" s="360"/>
      <c r="BK130" s="360"/>
      <c r="BL130" s="360"/>
      <c r="BM130" s="360"/>
      <c r="BN130" s="360"/>
      <c r="BO130" s="360"/>
      <c r="BP130" s="360"/>
      <c r="BQ130" s="360"/>
      <c r="BR130" s="360"/>
      <c r="BS130" s="360"/>
      <c r="BT130" s="360"/>
    </row>
    <row r="131" spans="1:72" x14ac:dyDescent="0.6">
      <c r="A131" s="378" t="s">
        <v>27</v>
      </c>
      <c r="B131" s="524">
        <v>38914</v>
      </c>
      <c r="C131" s="524">
        <v>90827</v>
      </c>
      <c r="D131" s="524">
        <v>17531</v>
      </c>
      <c r="E131" s="524">
        <v>228189</v>
      </c>
      <c r="F131" s="524">
        <v>214669</v>
      </c>
      <c r="G131" s="524">
        <v>184327</v>
      </c>
      <c r="H131" s="524">
        <v>3936</v>
      </c>
      <c r="I131" s="524">
        <v>228189</v>
      </c>
      <c r="J131" s="524">
        <v>196714</v>
      </c>
      <c r="K131" s="524">
        <v>196849</v>
      </c>
      <c r="L131" s="524">
        <v>89631</v>
      </c>
      <c r="M131" s="524">
        <v>267431</v>
      </c>
      <c r="N131" s="524">
        <f>SUM(N127:N130)</f>
        <v>298407</v>
      </c>
      <c r="O131" s="524">
        <f t="shared" ref="O131:P131" si="56">SUM(O127:O130)</f>
        <v>144444.10000000009</v>
      </c>
      <c r="P131" s="524">
        <f t="shared" si="56"/>
        <v>-649773.10571202775</v>
      </c>
      <c r="S131" s="360"/>
      <c r="W131" s="388"/>
      <c r="X131" s="388"/>
      <c r="Y131" s="366"/>
      <c r="Z131" s="365"/>
      <c r="AA131" s="360"/>
      <c r="AB131" s="360"/>
      <c r="AC131" s="360"/>
      <c r="AD131" s="360"/>
      <c r="AE131" s="360"/>
      <c r="AF131" s="360"/>
      <c r="AG131" s="360"/>
      <c r="AH131" s="360"/>
      <c r="AI131" s="360"/>
      <c r="AJ131" s="360"/>
      <c r="AK131" s="360"/>
      <c r="AL131" s="360"/>
      <c r="AM131" s="360"/>
      <c r="AN131" s="360"/>
      <c r="AO131" s="360"/>
      <c r="AP131" s="360"/>
      <c r="AQ131" s="360"/>
      <c r="AR131" s="360"/>
      <c r="AS131" s="360"/>
      <c r="AT131" s="360"/>
      <c r="AU131" s="360"/>
      <c r="AV131" s="360"/>
      <c r="AW131" s="360"/>
      <c r="AX131" s="360"/>
      <c r="AY131" s="360"/>
      <c r="AZ131" s="360"/>
      <c r="BA131" s="360"/>
      <c r="BB131" s="360"/>
      <c r="BC131" s="360"/>
      <c r="BD131" s="360"/>
      <c r="BE131" s="360"/>
      <c r="BF131" s="360"/>
      <c r="BG131" s="360"/>
      <c r="BH131" s="360"/>
      <c r="BI131" s="360"/>
      <c r="BJ131" s="360"/>
      <c r="BK131" s="360"/>
      <c r="BL131" s="360"/>
      <c r="BM131" s="360"/>
      <c r="BN131" s="360"/>
      <c r="BO131" s="360"/>
      <c r="BP131" s="360"/>
      <c r="BQ131" s="360"/>
      <c r="BR131" s="360"/>
      <c r="BS131" s="360"/>
      <c r="BT131" s="360"/>
    </row>
    <row r="132" spans="1:72" x14ac:dyDescent="0.6">
      <c r="A132" s="367" t="s">
        <v>26</v>
      </c>
      <c r="B132" s="524">
        <v>-2354</v>
      </c>
      <c r="C132" s="524">
        <v>-13370</v>
      </c>
      <c r="D132" s="524">
        <v>-4234</v>
      </c>
      <c r="E132" s="524">
        <v>-49568</v>
      </c>
      <c r="F132" s="524">
        <v>-51471</v>
      </c>
      <c r="G132" s="524">
        <v>-33034</v>
      </c>
      <c r="H132" s="524">
        <v>-984</v>
      </c>
      <c r="I132" s="524">
        <v>-49568</v>
      </c>
      <c r="J132" s="524">
        <v>-41699</v>
      </c>
      <c r="K132" s="524">
        <v>-37698</v>
      </c>
      <c r="L132" s="524">
        <v>-21877</v>
      </c>
      <c r="M132" s="524">
        <v>-50155</v>
      </c>
      <c r="N132" s="524">
        <v>-57246</v>
      </c>
      <c r="O132" s="524">
        <f>-O131*0.19</f>
        <v>-27444.379000000019</v>
      </c>
      <c r="P132" s="524">
        <f>-P131*0.19</f>
        <v>123456.89008528527</v>
      </c>
      <c r="S132" s="360"/>
      <c r="W132" s="388"/>
      <c r="X132" s="388"/>
      <c r="Y132" s="366"/>
      <c r="Z132" s="365"/>
      <c r="AA132" s="360"/>
      <c r="AB132" s="360"/>
      <c r="AC132" s="360"/>
      <c r="AD132" s="360"/>
      <c r="AE132" s="360"/>
      <c r="AF132" s="360"/>
      <c r="AG132" s="360"/>
      <c r="AH132" s="360"/>
      <c r="AI132" s="360"/>
      <c r="AJ132" s="360"/>
      <c r="AK132" s="360"/>
      <c r="AL132" s="360"/>
      <c r="AM132" s="360"/>
      <c r="AN132" s="360"/>
      <c r="AO132" s="360"/>
      <c r="AP132" s="360"/>
      <c r="AQ132" s="360"/>
      <c r="AR132" s="360"/>
      <c r="AS132" s="360"/>
      <c r="AT132" s="360"/>
      <c r="AU132" s="360"/>
      <c r="AV132" s="360"/>
      <c r="AW132" s="360"/>
      <c r="AX132" s="360"/>
      <c r="AY132" s="360"/>
      <c r="AZ132" s="360"/>
      <c r="BA132" s="360"/>
      <c r="BB132" s="360"/>
      <c r="BC132" s="360"/>
      <c r="BD132" s="360"/>
      <c r="BE132" s="360"/>
      <c r="BF132" s="360"/>
      <c r="BG132" s="360"/>
      <c r="BH132" s="360"/>
      <c r="BI132" s="360"/>
      <c r="BJ132" s="360"/>
      <c r="BK132" s="360"/>
      <c r="BL132" s="360"/>
      <c r="BM132" s="360"/>
      <c r="BN132" s="360"/>
      <c r="BO132" s="360"/>
      <c r="BP132" s="360"/>
      <c r="BQ132" s="360"/>
      <c r="BR132" s="360"/>
      <c r="BS132" s="360"/>
      <c r="BT132" s="360"/>
    </row>
    <row r="133" spans="1:72" x14ac:dyDescent="0.6">
      <c r="A133" s="367" t="s">
        <v>25</v>
      </c>
      <c r="B133" s="524">
        <v>36560</v>
      </c>
      <c r="C133" s="524">
        <v>77457</v>
      </c>
      <c r="D133" s="524">
        <v>13297</v>
      </c>
      <c r="E133" s="524">
        <v>178621</v>
      </c>
      <c r="F133" s="524">
        <v>163198</v>
      </c>
      <c r="G133" s="524">
        <v>151293</v>
      </c>
      <c r="H133" s="524">
        <v>2952</v>
      </c>
      <c r="I133" s="524">
        <v>178621</v>
      </c>
      <c r="J133" s="524">
        <v>155015</v>
      </c>
      <c r="K133" s="524">
        <v>159151</v>
      </c>
      <c r="L133" s="524">
        <v>67754</v>
      </c>
      <c r="M133" s="524">
        <v>217276</v>
      </c>
      <c r="N133" s="524">
        <v>241161</v>
      </c>
      <c r="O133" s="524">
        <f>SUM(O131:O132)</f>
        <v>116999.72100000008</v>
      </c>
      <c r="P133" s="524">
        <f>SUM(P131:P132)</f>
        <v>-526316.21562674246</v>
      </c>
      <c r="S133" s="403"/>
      <c r="T133" s="403"/>
      <c r="U133" s="403"/>
      <c r="V133" s="403"/>
      <c r="W133" s="388"/>
      <c r="X133" s="388"/>
      <c r="Y133" s="403"/>
      <c r="Z133" s="365"/>
      <c r="AA133" s="360"/>
      <c r="AB133" s="360"/>
      <c r="AC133" s="360"/>
      <c r="AD133" s="360"/>
      <c r="AE133" s="360"/>
      <c r="AF133" s="360"/>
      <c r="AG133" s="360"/>
      <c r="AH133" s="360"/>
      <c r="AI133" s="360"/>
      <c r="AJ133" s="360"/>
      <c r="AK133" s="360"/>
      <c r="AL133" s="360"/>
      <c r="AM133" s="360"/>
      <c r="AN133" s="360"/>
      <c r="AO133" s="360"/>
      <c r="AP133" s="360"/>
      <c r="AQ133" s="360"/>
      <c r="AR133" s="360"/>
      <c r="AS133" s="360"/>
      <c r="AT133" s="360"/>
      <c r="AU133" s="360"/>
      <c r="AV133" s="360"/>
      <c r="AW133" s="360"/>
      <c r="AX133" s="360"/>
      <c r="AY133" s="360"/>
      <c r="AZ133" s="360"/>
      <c r="BA133" s="360"/>
      <c r="BB133" s="360"/>
      <c r="BC133" s="360"/>
      <c r="BD133" s="360"/>
      <c r="BE133" s="360"/>
      <c r="BF133" s="360"/>
      <c r="BG133" s="360"/>
      <c r="BH133" s="360"/>
      <c r="BI133" s="360"/>
      <c r="BJ133" s="360"/>
      <c r="BK133" s="360"/>
      <c r="BL133" s="360"/>
      <c r="BM133" s="360"/>
      <c r="BN133" s="360"/>
      <c r="BO133" s="360"/>
      <c r="BP133" s="360"/>
      <c r="BQ133" s="360"/>
      <c r="BR133" s="360"/>
      <c r="BS133" s="360"/>
      <c r="BT133" s="360"/>
    </row>
    <row r="134" spans="1:72" x14ac:dyDescent="0.6">
      <c r="A134" s="367" t="s">
        <v>24</v>
      </c>
      <c r="B134" s="524">
        <v>0</v>
      </c>
      <c r="C134" s="524">
        <v>0</v>
      </c>
      <c r="D134" s="524">
        <v>0</v>
      </c>
      <c r="E134" s="524">
        <v>0</v>
      </c>
      <c r="F134" s="524">
        <v>0</v>
      </c>
      <c r="G134" s="524">
        <v>0</v>
      </c>
      <c r="H134" s="524">
        <v>0</v>
      </c>
      <c r="I134" s="524">
        <v>0</v>
      </c>
      <c r="J134" s="524">
        <v>0</v>
      </c>
      <c r="K134" s="524">
        <v>0</v>
      </c>
      <c r="L134" s="524">
        <v>0</v>
      </c>
      <c r="M134" s="524">
        <v>0</v>
      </c>
      <c r="N134" s="524">
        <v>0</v>
      </c>
      <c r="O134" s="524">
        <v>0</v>
      </c>
      <c r="P134" s="524">
        <v>0</v>
      </c>
      <c r="S134" s="371"/>
      <c r="W134" s="388"/>
      <c r="X134" s="389"/>
      <c r="Y134" s="366"/>
      <c r="Z134" s="366"/>
      <c r="AA134" s="360"/>
      <c r="AB134" s="360"/>
      <c r="AC134" s="360"/>
      <c r="AD134" s="360"/>
      <c r="AE134" s="371"/>
      <c r="AF134" s="360"/>
      <c r="AG134" s="360"/>
      <c r="AH134" s="360"/>
      <c r="AI134" s="360"/>
      <c r="AJ134" s="360"/>
      <c r="AK134" s="360"/>
      <c r="AL134" s="360"/>
      <c r="AM134" s="371"/>
      <c r="AN134" s="360"/>
      <c r="AO134" s="371"/>
      <c r="AP134" s="360"/>
      <c r="AQ134" s="360"/>
      <c r="AR134" s="360"/>
      <c r="AS134" s="360"/>
      <c r="AT134" s="360"/>
      <c r="AU134" s="360"/>
      <c r="AV134" s="360"/>
      <c r="AW134" s="360"/>
      <c r="AX134" s="360"/>
      <c r="AY134" s="360"/>
      <c r="AZ134" s="360"/>
      <c r="BA134" s="360"/>
      <c r="BB134" s="360"/>
      <c r="BC134" s="360"/>
      <c r="BD134" s="360"/>
      <c r="BE134" s="360"/>
      <c r="BF134" s="360"/>
      <c r="BG134" s="360"/>
      <c r="BH134" s="360"/>
      <c r="BI134" s="360"/>
      <c r="BJ134" s="360"/>
      <c r="BK134" s="360"/>
      <c r="BL134" s="360"/>
      <c r="BM134" s="360"/>
      <c r="BN134" s="360"/>
      <c r="BO134" s="360"/>
      <c r="BP134" s="360"/>
      <c r="BQ134" s="360"/>
      <c r="BR134" s="360"/>
      <c r="BS134" s="360"/>
      <c r="BT134" s="360"/>
    </row>
    <row r="135" spans="1:72" x14ac:dyDescent="0.6">
      <c r="A135" s="367" t="s">
        <v>23</v>
      </c>
      <c r="B135" s="524">
        <v>36560</v>
      </c>
      <c r="C135" s="524">
        <v>77457</v>
      </c>
      <c r="D135" s="524">
        <v>13297</v>
      </c>
      <c r="E135" s="524">
        <v>178621</v>
      </c>
      <c r="F135" s="524">
        <v>163198</v>
      </c>
      <c r="G135" s="524">
        <v>151293</v>
      </c>
      <c r="H135" s="524">
        <v>2952</v>
      </c>
      <c r="I135" s="524">
        <v>178621</v>
      </c>
      <c r="J135" s="524">
        <v>155015</v>
      </c>
      <c r="K135" s="524">
        <v>159151</v>
      </c>
      <c r="L135" s="524">
        <v>67754</v>
      </c>
      <c r="M135" s="524">
        <v>217276</v>
      </c>
      <c r="N135" s="524">
        <f>SUM(N131:N134)</f>
        <v>482322</v>
      </c>
      <c r="O135" s="524">
        <f t="shared" ref="O135:P135" si="57">SUM(O131:O134)</f>
        <v>233999.44200000016</v>
      </c>
      <c r="P135" s="524">
        <f t="shared" si="57"/>
        <v>-1052632.4312534849</v>
      </c>
      <c r="S135" s="371"/>
      <c r="W135" s="388"/>
      <c r="X135" s="388"/>
      <c r="Y135" s="366"/>
      <c r="Z135" s="365"/>
      <c r="AA135" s="360"/>
      <c r="AB135" s="360"/>
      <c r="AC135" s="360"/>
      <c r="AD135" s="360"/>
      <c r="AE135" s="371"/>
      <c r="AF135" s="360"/>
      <c r="AG135" s="360"/>
      <c r="AH135" s="360"/>
      <c r="AI135" s="360"/>
      <c r="AJ135" s="371"/>
      <c r="AK135" s="371"/>
      <c r="AL135" s="371"/>
      <c r="AM135" s="371"/>
      <c r="AN135" s="360"/>
      <c r="AO135" s="371"/>
      <c r="AP135" s="360"/>
      <c r="AQ135" s="360"/>
      <c r="AR135" s="360"/>
      <c r="AS135" s="360"/>
      <c r="AT135" s="360"/>
      <c r="AU135" s="360"/>
      <c r="AV135" s="360"/>
      <c r="AW135" s="360"/>
      <c r="AX135" s="360"/>
      <c r="AY135" s="360"/>
      <c r="AZ135" s="360"/>
      <c r="BA135" s="360"/>
      <c r="BB135" s="360"/>
      <c r="BC135" s="360"/>
      <c r="BD135" s="360"/>
      <c r="BE135" s="360"/>
      <c r="BF135" s="360"/>
      <c r="BG135" s="360"/>
      <c r="BH135" s="360"/>
      <c r="BI135" s="360"/>
      <c r="BJ135" s="360"/>
      <c r="BK135" s="360"/>
      <c r="BL135" s="360"/>
      <c r="BM135" s="360"/>
      <c r="BN135" s="360"/>
      <c r="BO135" s="360"/>
      <c r="BP135" s="360"/>
      <c r="BQ135" s="360"/>
      <c r="BR135" s="360"/>
      <c r="BS135" s="360"/>
      <c r="BT135" s="360"/>
    </row>
    <row r="136" spans="1:72" x14ac:dyDescent="0.6">
      <c r="A136" s="367" t="s">
        <v>22</v>
      </c>
      <c r="B136" s="524">
        <v>2251</v>
      </c>
      <c r="C136" s="524">
        <v>4769</v>
      </c>
      <c r="D136" s="524">
        <v>819</v>
      </c>
      <c r="E136" s="524">
        <v>10997</v>
      </c>
      <c r="F136" s="524">
        <v>10047</v>
      </c>
      <c r="G136" s="524">
        <v>9314</v>
      </c>
      <c r="H136" s="524">
        <v>182</v>
      </c>
      <c r="I136" s="524">
        <v>10997</v>
      </c>
      <c r="J136" s="524">
        <v>9543</v>
      </c>
      <c r="K136" s="524">
        <v>9798</v>
      </c>
      <c r="L136" s="524">
        <v>4171</v>
      </c>
      <c r="M136" s="524">
        <v>1266</v>
      </c>
      <c r="N136" s="524">
        <f>N135*1000/N137</f>
        <v>2810.7342657342656</v>
      </c>
      <c r="O136" s="524">
        <f>O135*1000/O137</f>
        <v>1363.6331118881128</v>
      </c>
      <c r="P136" s="524">
        <f>P135*1000/P137</f>
        <v>-6134.2216273513113</v>
      </c>
      <c r="S136" s="360"/>
      <c r="W136" s="388"/>
      <c r="X136" s="388"/>
      <c r="Y136" s="366"/>
      <c r="Z136" s="365"/>
      <c r="AA136" s="360"/>
      <c r="AB136" s="360"/>
      <c r="AC136" s="360"/>
      <c r="AD136" s="360"/>
      <c r="AE136" s="360"/>
      <c r="AF136" s="360"/>
      <c r="AG136" s="360"/>
      <c r="AH136" s="360"/>
      <c r="AI136" s="360"/>
      <c r="AJ136" s="360"/>
      <c r="AK136" s="360"/>
      <c r="AL136" s="360"/>
      <c r="AM136" s="360"/>
      <c r="AN136" s="360"/>
      <c r="AO136" s="360"/>
      <c r="AP136" s="360"/>
      <c r="AQ136" s="360"/>
      <c r="AR136" s="360"/>
      <c r="AS136" s="360"/>
      <c r="AT136" s="360"/>
      <c r="AU136" s="360"/>
      <c r="AV136" s="360"/>
      <c r="AW136" s="360"/>
      <c r="AX136" s="360"/>
      <c r="AY136" s="360"/>
      <c r="AZ136" s="360"/>
      <c r="BA136" s="360"/>
      <c r="BB136" s="360"/>
      <c r="BC136" s="360"/>
      <c r="BD136" s="360"/>
      <c r="BE136" s="360"/>
      <c r="BF136" s="360"/>
      <c r="BG136" s="360"/>
      <c r="BH136" s="360"/>
      <c r="BI136" s="360"/>
      <c r="BJ136" s="360"/>
      <c r="BK136" s="360"/>
      <c r="BL136" s="360"/>
      <c r="BM136" s="360"/>
      <c r="BN136" s="360"/>
      <c r="BO136" s="360"/>
      <c r="BP136" s="360"/>
      <c r="BQ136" s="360"/>
      <c r="BR136" s="360"/>
      <c r="BS136" s="360"/>
      <c r="BT136" s="360"/>
    </row>
    <row r="137" spans="1:72" x14ac:dyDescent="0.6">
      <c r="A137" s="367" t="s">
        <v>21</v>
      </c>
      <c r="B137" s="524">
        <v>16243</v>
      </c>
      <c r="C137" s="524">
        <v>16243</v>
      </c>
      <c r="D137" s="524">
        <v>16243</v>
      </c>
      <c r="E137" s="524">
        <v>16243</v>
      </c>
      <c r="F137" s="524"/>
      <c r="G137" s="524">
        <v>16243</v>
      </c>
      <c r="H137" s="524">
        <v>16243</v>
      </c>
      <c r="I137" s="524">
        <v>16243</v>
      </c>
      <c r="J137" s="524">
        <v>16243</v>
      </c>
      <c r="K137" s="524">
        <v>16243</v>
      </c>
      <c r="L137" s="524">
        <v>16243</v>
      </c>
      <c r="M137" s="524">
        <v>171600</v>
      </c>
      <c r="N137" s="524">
        <v>171600</v>
      </c>
      <c r="O137" s="524">
        <v>171600</v>
      </c>
      <c r="P137" s="524">
        <v>171600</v>
      </c>
      <c r="S137" s="360"/>
      <c r="W137" s="389"/>
      <c r="X137" s="389"/>
      <c r="Y137" s="366"/>
      <c r="Z137" s="366"/>
      <c r="AA137" s="360"/>
      <c r="AB137" s="360"/>
      <c r="AC137" s="360"/>
      <c r="AD137" s="360"/>
      <c r="AE137" s="360"/>
      <c r="AF137" s="360"/>
      <c r="AG137" s="360"/>
      <c r="AH137" s="360"/>
      <c r="AI137" s="360"/>
      <c r="AJ137" s="360"/>
      <c r="AK137" s="360"/>
      <c r="AL137" s="360"/>
      <c r="AM137" s="360"/>
      <c r="AN137" s="360"/>
      <c r="AO137" s="360"/>
      <c r="AP137" s="360"/>
      <c r="AQ137" s="360"/>
      <c r="AR137" s="360"/>
      <c r="AS137" s="360"/>
      <c r="AT137" s="360"/>
      <c r="AU137" s="360"/>
      <c r="AV137" s="360"/>
      <c r="AW137" s="360"/>
      <c r="AX137" s="360"/>
      <c r="AY137" s="360"/>
      <c r="AZ137" s="360"/>
      <c r="BA137" s="360"/>
      <c r="BB137" s="360"/>
      <c r="BC137" s="360"/>
      <c r="BD137" s="360"/>
      <c r="BE137" s="360"/>
      <c r="BF137" s="360"/>
      <c r="BG137" s="360"/>
      <c r="BH137" s="360"/>
      <c r="BI137" s="360"/>
      <c r="BJ137" s="360"/>
      <c r="BK137" s="360"/>
      <c r="BL137" s="360"/>
      <c r="BM137" s="360"/>
      <c r="BN137" s="360"/>
      <c r="BO137" s="360"/>
      <c r="BP137" s="360"/>
      <c r="BQ137" s="360"/>
      <c r="BR137" s="360"/>
      <c r="BS137" s="360"/>
      <c r="BT137" s="360"/>
    </row>
    <row r="138" spans="1:72" x14ac:dyDescent="0.6">
      <c r="A138" s="360"/>
      <c r="B138" s="360"/>
      <c r="C138" s="360"/>
      <c r="D138" s="360"/>
      <c r="E138" s="360"/>
      <c r="F138" s="360"/>
      <c r="G138" s="360"/>
      <c r="H138" s="360"/>
      <c r="I138" s="548"/>
      <c r="J138" s="360"/>
      <c r="K138" s="360"/>
      <c r="L138" s="360"/>
      <c r="M138" s="360"/>
      <c r="N138" s="360"/>
      <c r="O138" s="360"/>
      <c r="P138" s="360"/>
      <c r="Q138" s="360"/>
      <c r="R138" s="360"/>
      <c r="S138" s="360"/>
      <c r="W138" s="389"/>
      <c r="X138" s="389"/>
      <c r="Y138" s="366"/>
      <c r="Z138" s="366"/>
      <c r="AA138" s="360"/>
      <c r="AB138" s="360"/>
      <c r="AC138" s="360"/>
      <c r="AD138" s="360"/>
      <c r="AE138" s="360"/>
      <c r="AF138" s="360"/>
      <c r="AG138" s="360"/>
      <c r="AH138" s="360"/>
      <c r="AI138" s="360"/>
      <c r="AJ138" s="360"/>
      <c r="AK138" s="360"/>
      <c r="AL138" s="360"/>
      <c r="AM138" s="360"/>
      <c r="AN138" s="360"/>
      <c r="AO138" s="360"/>
      <c r="AP138" s="360"/>
      <c r="AQ138" s="360"/>
      <c r="AR138" s="360"/>
      <c r="AS138" s="360"/>
      <c r="AT138" s="360"/>
      <c r="AU138" s="360"/>
      <c r="AV138" s="360"/>
      <c r="AW138" s="360"/>
      <c r="AX138" s="360"/>
      <c r="AY138" s="360"/>
      <c r="AZ138" s="360"/>
      <c r="BA138" s="360"/>
      <c r="BB138" s="360"/>
      <c r="BC138" s="360"/>
      <c r="BD138" s="360"/>
      <c r="BE138" s="360"/>
      <c r="BF138" s="360"/>
      <c r="BG138" s="360"/>
      <c r="BH138" s="360"/>
      <c r="BI138" s="360"/>
      <c r="BJ138" s="360"/>
      <c r="BK138" s="360"/>
      <c r="BL138" s="360"/>
      <c r="BM138" s="360"/>
      <c r="BN138" s="360"/>
      <c r="BO138" s="360"/>
      <c r="BP138" s="360"/>
      <c r="BQ138" s="360"/>
      <c r="BR138" s="360"/>
      <c r="BS138" s="360"/>
      <c r="BT138" s="360"/>
    </row>
    <row r="139" spans="1:72" x14ac:dyDescent="0.6">
      <c r="A139" s="360"/>
      <c r="B139" s="360"/>
      <c r="C139" s="360"/>
      <c r="D139" s="360"/>
      <c r="E139" s="360"/>
      <c r="F139" s="360"/>
      <c r="G139" s="360"/>
      <c r="H139" s="360"/>
      <c r="I139" s="548"/>
      <c r="J139" s="360"/>
      <c r="K139" s="360"/>
      <c r="L139" s="360"/>
      <c r="M139" s="360"/>
      <c r="N139" s="360"/>
      <c r="O139" s="360"/>
      <c r="P139" s="360"/>
      <c r="Q139" s="360"/>
      <c r="R139" s="360"/>
      <c r="S139" s="360"/>
      <c r="W139" s="388"/>
      <c r="X139" s="388"/>
      <c r="Y139" s="366"/>
      <c r="Z139" s="365"/>
      <c r="AA139" s="360"/>
      <c r="AB139" s="360"/>
      <c r="AC139" s="360"/>
      <c r="AD139" s="360"/>
      <c r="AE139" s="360"/>
      <c r="AF139" s="360"/>
      <c r="AG139" s="360"/>
      <c r="AH139" s="360"/>
      <c r="AI139" s="360"/>
      <c r="AJ139" s="360"/>
      <c r="AK139" s="360"/>
      <c r="AL139" s="360"/>
      <c r="AM139" s="360"/>
      <c r="AN139" s="360"/>
      <c r="AO139" s="360"/>
      <c r="AP139" s="360"/>
      <c r="AQ139" s="360"/>
      <c r="AR139" s="360"/>
      <c r="AS139" s="360"/>
      <c r="AT139" s="360"/>
      <c r="AU139" s="360"/>
      <c r="AV139" s="360"/>
      <c r="AW139" s="360"/>
      <c r="AX139" s="360"/>
      <c r="AY139" s="360"/>
      <c r="AZ139" s="360"/>
      <c r="BA139" s="360"/>
      <c r="BB139" s="360"/>
      <c r="BC139" s="360"/>
      <c r="BD139" s="360"/>
      <c r="BE139" s="360"/>
      <c r="BF139" s="360"/>
      <c r="BG139" s="360"/>
      <c r="BH139" s="360"/>
      <c r="BI139" s="360"/>
      <c r="BJ139" s="360"/>
      <c r="BK139" s="360"/>
      <c r="BL139" s="360"/>
      <c r="BM139" s="360"/>
      <c r="BN139" s="360"/>
      <c r="BO139" s="360"/>
      <c r="BP139" s="360"/>
      <c r="BQ139" s="360"/>
      <c r="BR139" s="360"/>
      <c r="BS139" s="360"/>
      <c r="BT139" s="360"/>
    </row>
    <row r="140" spans="1:72" ht="23.25" thickBot="1" x14ac:dyDescent="0.65">
      <c r="A140" s="360"/>
      <c r="B140" s="360"/>
      <c r="C140" s="360"/>
      <c r="D140" s="360"/>
      <c r="E140" s="360"/>
      <c r="F140" s="360"/>
      <c r="G140" s="360"/>
      <c r="H140" s="360"/>
      <c r="I140" s="548"/>
      <c r="J140" s="360"/>
      <c r="K140" s="360"/>
      <c r="L140" s="360"/>
      <c r="M140" s="360"/>
      <c r="N140" s="360"/>
      <c r="O140" s="360"/>
      <c r="P140" s="360"/>
      <c r="Q140" s="360"/>
      <c r="R140" s="360"/>
      <c r="S140" s="360"/>
      <c r="W140" s="388"/>
      <c r="X140" s="388"/>
      <c r="Y140" s="366"/>
      <c r="Z140" s="365"/>
      <c r="AA140" s="360"/>
      <c r="AB140" s="360"/>
      <c r="AC140" s="360"/>
      <c r="AD140" s="360"/>
      <c r="AE140" s="360"/>
      <c r="AF140" s="360"/>
      <c r="AG140" s="360"/>
      <c r="AH140" s="360"/>
      <c r="AI140" s="360"/>
      <c r="AJ140" s="360"/>
      <c r="AK140" s="360"/>
      <c r="AL140" s="360"/>
      <c r="AM140" s="360"/>
      <c r="AN140" s="360"/>
      <c r="AO140" s="360"/>
      <c r="AP140" s="360"/>
      <c r="AQ140" s="360"/>
      <c r="AR140" s="360"/>
      <c r="AS140" s="360"/>
      <c r="AT140" s="360"/>
      <c r="AU140" s="360"/>
      <c r="AV140" s="360"/>
      <c r="AW140" s="360"/>
      <c r="AX140" s="360"/>
      <c r="AY140" s="360"/>
      <c r="AZ140" s="360"/>
      <c r="BA140" s="360"/>
      <c r="BB140" s="360"/>
      <c r="BC140" s="360"/>
      <c r="BD140" s="360"/>
      <c r="BE140" s="360"/>
      <c r="BF140" s="360"/>
      <c r="BG140" s="360"/>
      <c r="BH140" s="360"/>
      <c r="BI140" s="360"/>
      <c r="BJ140" s="360"/>
      <c r="BK140" s="360"/>
      <c r="BL140" s="360"/>
      <c r="BM140" s="360"/>
      <c r="BN140" s="360"/>
      <c r="BO140" s="360"/>
      <c r="BP140" s="360"/>
      <c r="BQ140" s="360"/>
      <c r="BR140" s="360"/>
      <c r="BS140" s="360"/>
      <c r="BT140" s="360"/>
    </row>
    <row r="141" spans="1:72" ht="27" thickTop="1" thickBot="1" x14ac:dyDescent="0.65">
      <c r="A141" s="38" t="s">
        <v>150</v>
      </c>
      <c r="B141" s="38"/>
      <c r="C141" s="38" t="s">
        <v>19</v>
      </c>
      <c r="D141" s="39" t="s">
        <v>18</v>
      </c>
      <c r="E141" s="39" t="s">
        <v>214</v>
      </c>
      <c r="F141" s="39" t="s">
        <v>17</v>
      </c>
      <c r="G141" s="39" t="s">
        <v>2506</v>
      </c>
      <c r="H141" s="39" t="s">
        <v>2508</v>
      </c>
      <c r="I141" s="39" t="s">
        <v>2507</v>
      </c>
      <c r="J141" s="360"/>
      <c r="K141" s="360"/>
      <c r="L141" s="639" t="s">
        <v>150</v>
      </c>
      <c r="M141" s="625" t="s">
        <v>2587</v>
      </c>
      <c r="N141" s="626"/>
      <c r="O141" s="626"/>
      <c r="P141" s="626"/>
      <c r="Q141" s="626"/>
      <c r="R141" s="626"/>
      <c r="S141" s="626"/>
      <c r="T141" s="626"/>
      <c r="U141" s="626"/>
      <c r="V141" s="626"/>
      <c r="W141" s="626"/>
      <c r="X141" s="626"/>
      <c r="Y141" s="626"/>
      <c r="Z141" s="627"/>
      <c r="AA141" s="360"/>
      <c r="AB141" s="360"/>
      <c r="AC141" s="360"/>
      <c r="AD141" s="360"/>
      <c r="AE141" s="360"/>
      <c r="AF141" s="360"/>
      <c r="AG141" s="360"/>
      <c r="AH141" s="360"/>
      <c r="AI141" s="360"/>
      <c r="AJ141" s="360"/>
      <c r="AK141" s="360"/>
      <c r="AL141" s="360"/>
      <c r="AM141" s="360"/>
      <c r="AN141" s="360"/>
      <c r="AO141" s="360"/>
      <c r="AP141" s="360"/>
      <c r="AQ141" s="360"/>
      <c r="AR141" s="360"/>
      <c r="AS141" s="360"/>
      <c r="AT141" s="360"/>
      <c r="AU141" s="360"/>
      <c r="AV141" s="360"/>
      <c r="AW141" s="360"/>
      <c r="AX141" s="360"/>
      <c r="AY141" s="360"/>
      <c r="AZ141" s="360"/>
      <c r="BA141" s="360"/>
      <c r="BB141" s="360"/>
      <c r="BC141" s="360"/>
      <c r="BD141" s="360"/>
      <c r="BE141" s="360"/>
      <c r="BF141" s="360"/>
      <c r="BG141" s="360"/>
      <c r="BH141" s="360"/>
      <c r="BI141" s="360"/>
      <c r="BJ141" s="360"/>
      <c r="BK141" s="360"/>
      <c r="BL141" s="360"/>
      <c r="BM141" s="360"/>
      <c r="BN141" s="360"/>
      <c r="BO141" s="360"/>
      <c r="BP141" s="360"/>
      <c r="BQ141" s="360"/>
      <c r="BR141" s="360"/>
      <c r="BS141" s="360"/>
      <c r="BT141" s="360"/>
    </row>
    <row r="142" spans="1:72" ht="27" thickTop="1" thickBot="1" x14ac:dyDescent="0.65">
      <c r="A142" s="40" t="s">
        <v>2557</v>
      </c>
      <c r="B142" s="41">
        <f>E142</f>
        <v>63184</v>
      </c>
      <c r="C142" s="42">
        <f>AVERAGE(O9,L9,H9)</f>
        <v>71874.666666666672</v>
      </c>
      <c r="D142" s="43"/>
      <c r="E142" s="43">
        <f>O9</f>
        <v>63184</v>
      </c>
      <c r="F142" s="43"/>
      <c r="G142" s="44"/>
      <c r="H142" s="44">
        <f>MAX(O9,L9,H9,C9:D9)</f>
        <v>79389</v>
      </c>
      <c r="I142" s="44">
        <f>MIN(O9,K9,H9,D9,C9,B9)</f>
        <v>28488</v>
      </c>
      <c r="J142" s="360"/>
      <c r="K142" s="360"/>
      <c r="L142" s="639"/>
      <c r="M142" s="628"/>
      <c r="N142" s="629"/>
      <c r="O142" s="629"/>
      <c r="P142" s="629"/>
      <c r="Q142" s="629"/>
      <c r="R142" s="629"/>
      <c r="S142" s="629"/>
      <c r="T142" s="629"/>
      <c r="U142" s="629"/>
      <c r="V142" s="629"/>
      <c r="W142" s="629"/>
      <c r="X142" s="629"/>
      <c r="Y142" s="629"/>
      <c r="Z142" s="630"/>
      <c r="AA142" s="360"/>
      <c r="AB142" s="360"/>
      <c r="AC142" s="360"/>
      <c r="AD142" s="360"/>
      <c r="AE142" s="360"/>
      <c r="AF142" s="360"/>
      <c r="AG142" s="360"/>
      <c r="AH142" s="360"/>
      <c r="AI142" s="360"/>
      <c r="AJ142" s="360"/>
      <c r="AK142" s="360"/>
      <c r="AL142" s="360"/>
      <c r="AM142" s="360"/>
      <c r="AN142" s="360"/>
      <c r="AO142" s="360"/>
      <c r="AP142" s="360"/>
      <c r="AQ142" s="360"/>
      <c r="AR142" s="360"/>
      <c r="AS142" s="360"/>
      <c r="AT142" s="360"/>
      <c r="AU142" s="360"/>
      <c r="AV142" s="360"/>
      <c r="AW142" s="360"/>
      <c r="AX142" s="360"/>
      <c r="AY142" s="360"/>
      <c r="AZ142" s="360"/>
      <c r="BA142" s="360"/>
      <c r="BB142" s="360"/>
      <c r="BC142" s="360"/>
      <c r="BD142" s="360"/>
      <c r="BE142" s="360"/>
      <c r="BF142" s="360"/>
      <c r="BG142" s="360"/>
      <c r="BH142" s="360"/>
      <c r="BI142" s="360"/>
      <c r="BJ142" s="360"/>
      <c r="BK142" s="360"/>
      <c r="BL142" s="360"/>
      <c r="BM142" s="360"/>
      <c r="BN142" s="360"/>
      <c r="BO142" s="360"/>
      <c r="BP142" s="360"/>
      <c r="BQ142" s="360"/>
      <c r="BR142" s="360"/>
      <c r="BS142" s="360"/>
      <c r="BT142" s="360"/>
    </row>
    <row r="143" spans="1:72" ht="27" thickTop="1" thickBot="1" x14ac:dyDescent="0.65">
      <c r="A143" s="45" t="s">
        <v>2559</v>
      </c>
      <c r="B143" s="46">
        <f>E143</f>
        <v>29664113.802623574</v>
      </c>
      <c r="C143" s="460"/>
      <c r="D143" s="48"/>
      <c r="E143" s="49">
        <f>O42</f>
        <v>29664113.802623574</v>
      </c>
      <c r="F143" s="49"/>
      <c r="G143" s="50"/>
      <c r="H143" s="49"/>
      <c r="I143" s="49"/>
      <c r="J143" s="360"/>
      <c r="K143" s="360"/>
      <c r="L143" s="638" t="s">
        <v>2516</v>
      </c>
      <c r="M143" s="568">
        <f>B147</f>
        <v>1363.6331118881128</v>
      </c>
      <c r="N143" s="569">
        <v>28000000</v>
      </c>
      <c r="O143" s="570">
        <v>29000000</v>
      </c>
      <c r="P143" s="569">
        <v>30000000</v>
      </c>
      <c r="Q143" s="570">
        <v>31000000</v>
      </c>
      <c r="R143" s="569">
        <v>32000000</v>
      </c>
      <c r="S143" s="570">
        <v>33000000</v>
      </c>
      <c r="T143" s="569">
        <v>34000000</v>
      </c>
      <c r="U143" s="570">
        <v>35000000</v>
      </c>
      <c r="V143" s="569">
        <v>36000000</v>
      </c>
      <c r="W143" s="570">
        <v>37000000</v>
      </c>
      <c r="X143" s="569">
        <v>38000000</v>
      </c>
      <c r="Y143" s="570">
        <v>39000000</v>
      </c>
      <c r="Z143" s="571">
        <v>40000000</v>
      </c>
      <c r="AA143" s="360"/>
      <c r="AB143" s="360"/>
      <c r="AC143" s="360"/>
      <c r="AD143" s="360"/>
      <c r="AE143" s="360"/>
      <c r="AF143" s="360"/>
      <c r="AG143" s="360"/>
      <c r="AH143" s="360"/>
      <c r="AI143" s="360"/>
      <c r="AJ143" s="360"/>
      <c r="AK143" s="360"/>
      <c r="AL143" s="360"/>
      <c r="AM143" s="360"/>
      <c r="AN143" s="360"/>
      <c r="AO143" s="360"/>
      <c r="AP143" s="360"/>
      <c r="AQ143" s="360"/>
      <c r="AR143" s="360"/>
      <c r="AS143" s="360"/>
      <c r="AT143" s="360"/>
      <c r="AU143" s="360"/>
      <c r="AV143" s="360"/>
      <c r="AW143" s="360"/>
      <c r="AX143" s="360"/>
      <c r="AY143" s="360"/>
      <c r="AZ143" s="360"/>
      <c r="BA143" s="360"/>
      <c r="BB143" s="360"/>
      <c r="BC143" s="360"/>
      <c r="BD143" s="360"/>
      <c r="BE143" s="360"/>
      <c r="BF143" s="360"/>
      <c r="BG143" s="360"/>
      <c r="BH143" s="360"/>
      <c r="BI143" s="360"/>
      <c r="BJ143" s="360"/>
      <c r="BK143" s="360"/>
      <c r="BL143" s="360"/>
      <c r="BM143" s="360"/>
      <c r="BN143" s="360"/>
      <c r="BO143" s="360"/>
      <c r="BP143" s="360"/>
      <c r="BQ143" s="360"/>
      <c r="BR143" s="360"/>
      <c r="BS143" s="360"/>
      <c r="BT143" s="360"/>
    </row>
    <row r="144" spans="1:72" ht="27" thickTop="1" thickBot="1" x14ac:dyDescent="0.65">
      <c r="A144" s="51" t="s">
        <v>2561</v>
      </c>
      <c r="B144" s="347">
        <f>E144</f>
        <v>7.3427766523170419</v>
      </c>
      <c r="C144" s="299"/>
      <c r="D144" s="53"/>
      <c r="E144" s="54">
        <f>E152</f>
        <v>7.3427766523170419</v>
      </c>
      <c r="F144" s="55"/>
      <c r="G144" s="55"/>
      <c r="H144" s="54"/>
      <c r="I144" s="54"/>
      <c r="J144" s="360"/>
      <c r="K144" s="360"/>
      <c r="L144" s="638"/>
      <c r="M144" s="572">
        <v>55000</v>
      </c>
      <c r="N144" s="397">
        <f t="dataTable" ref="N144:Z151" dt2D="1" dtr="1" r1="B143" r2="B142"/>
        <v>-2263.9411892182084</v>
      </c>
      <c r="O144" s="397">
        <v>-1646.1240626093672</v>
      </c>
      <c r="P144" s="397">
        <v>-1028.3069360005304</v>
      </c>
      <c r="Q144" s="397">
        <v>-410.48980939169167</v>
      </c>
      <c r="R144" s="397">
        <v>207.32731721715385</v>
      </c>
      <c r="S144" s="397">
        <v>825.14444382599061</v>
      </c>
      <c r="T144" s="397">
        <v>1442.9615704348337</v>
      </c>
      <c r="U144" s="397">
        <v>2060.7786970436728</v>
      </c>
      <c r="V144" s="397">
        <v>2678.5958236525166</v>
      </c>
      <c r="W144" s="397">
        <v>3296.4129502613505</v>
      </c>
      <c r="X144" s="397">
        <v>3914.2300768701894</v>
      </c>
      <c r="Y144" s="397">
        <v>4532.0472034790337</v>
      </c>
      <c r="Z144" s="573">
        <v>5149.8643300878757</v>
      </c>
      <c r="AA144" s="360"/>
      <c r="AB144" s="360"/>
      <c r="AC144" s="360"/>
      <c r="AD144" s="360"/>
      <c r="AE144" s="360"/>
      <c r="AF144" s="360"/>
      <c r="AG144" s="360"/>
      <c r="AH144" s="360"/>
      <c r="AI144" s="360"/>
      <c r="AJ144" s="360"/>
      <c r="AK144" s="360"/>
      <c r="AL144" s="360"/>
      <c r="AM144" s="360"/>
      <c r="AN144" s="360"/>
      <c r="AO144" s="360"/>
      <c r="AP144" s="360"/>
      <c r="AQ144" s="360"/>
      <c r="AR144" s="360"/>
      <c r="AS144" s="360"/>
      <c r="AT144" s="360"/>
      <c r="AU144" s="360"/>
      <c r="AV144" s="360"/>
      <c r="AW144" s="360"/>
      <c r="AX144" s="360"/>
      <c r="AY144" s="360"/>
      <c r="AZ144" s="360"/>
      <c r="BA144" s="360"/>
      <c r="BB144" s="360"/>
      <c r="BC144" s="360"/>
      <c r="BD144" s="360"/>
      <c r="BE144" s="360"/>
      <c r="BF144" s="360"/>
      <c r="BG144" s="360"/>
      <c r="BH144" s="360"/>
      <c r="BI144" s="360"/>
      <c r="BJ144" s="360"/>
      <c r="BK144" s="360"/>
      <c r="BL144" s="360"/>
      <c r="BM144" s="360"/>
      <c r="BN144" s="360"/>
      <c r="BO144" s="360"/>
      <c r="BP144" s="360"/>
      <c r="BQ144" s="360"/>
      <c r="BR144" s="360"/>
      <c r="BS144" s="360"/>
      <c r="BT144" s="360"/>
    </row>
    <row r="145" spans="1:72" ht="27" thickTop="1" thickBot="1" x14ac:dyDescent="0.65">
      <c r="A145" s="56" t="s">
        <v>2563</v>
      </c>
      <c r="B145" s="57">
        <f>B144*B142</f>
        <v>463946</v>
      </c>
      <c r="C145" s="58"/>
      <c r="D145" s="59"/>
      <c r="E145" s="60"/>
      <c r="F145" s="60"/>
      <c r="G145" s="60"/>
      <c r="H145" s="60"/>
      <c r="I145" s="60"/>
      <c r="J145" s="360"/>
      <c r="K145" s="360"/>
      <c r="L145" s="638"/>
      <c r="M145" s="572">
        <v>57000</v>
      </c>
      <c r="N145" s="397">
        <v>-1664.3247274288865</v>
      </c>
      <c r="O145" s="397">
        <v>-1025.0927271847127</v>
      </c>
      <c r="P145" s="397">
        <v>-385.86072694053888</v>
      </c>
      <c r="Q145" s="397">
        <v>253.37127330363492</v>
      </c>
      <c r="R145" s="397">
        <v>892.60327354780873</v>
      </c>
      <c r="S145" s="397">
        <v>1531.8352737919822</v>
      </c>
      <c r="T145" s="397">
        <v>2171.067274036156</v>
      </c>
      <c r="U145" s="397">
        <v>2810.2992742803253</v>
      </c>
      <c r="V145" s="397">
        <v>3449.5312745244992</v>
      </c>
      <c r="W145" s="397">
        <v>4088.7632747686771</v>
      </c>
      <c r="X145" s="397">
        <v>4727.9952750128468</v>
      </c>
      <c r="Y145" s="397">
        <v>5367.2272752570207</v>
      </c>
      <c r="Z145" s="573">
        <v>6006.4592755011909</v>
      </c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  <c r="AP145" s="360"/>
      <c r="AQ145" s="360"/>
      <c r="AR145" s="360"/>
      <c r="AS145" s="360"/>
      <c r="AT145" s="360"/>
      <c r="AU145" s="360"/>
      <c r="AV145" s="360"/>
      <c r="AW145" s="360"/>
      <c r="AX145" s="360"/>
      <c r="AY145" s="360"/>
      <c r="AZ145" s="360"/>
      <c r="BA145" s="360"/>
      <c r="BB145" s="360"/>
      <c r="BC145" s="360"/>
      <c r="BD145" s="360"/>
      <c r="BE145" s="360"/>
      <c r="BF145" s="360"/>
      <c r="BG145" s="360"/>
      <c r="BH145" s="360"/>
      <c r="BI145" s="360"/>
      <c r="BJ145" s="360"/>
      <c r="BK145" s="360"/>
      <c r="BL145" s="360"/>
      <c r="BM145" s="360"/>
      <c r="BN145" s="360"/>
      <c r="BO145" s="360"/>
      <c r="BP145" s="360"/>
      <c r="BQ145" s="360"/>
      <c r="BR145" s="360"/>
      <c r="BS145" s="360"/>
      <c r="BT145" s="360"/>
    </row>
    <row r="146" spans="1:72" ht="27" thickTop="1" thickBot="1" x14ac:dyDescent="0.65">
      <c r="A146" s="61" t="s">
        <v>2565</v>
      </c>
      <c r="B146" s="57">
        <f>E146</f>
        <v>3082845.8484392581</v>
      </c>
      <c r="C146" s="62"/>
      <c r="D146" s="63"/>
      <c r="E146" s="64">
        <f>F82</f>
        <v>3082845.8484392581</v>
      </c>
      <c r="F146" s="64"/>
      <c r="G146" s="65"/>
      <c r="H146" s="65"/>
      <c r="I146" s="65"/>
      <c r="J146" s="360"/>
      <c r="K146" s="360"/>
      <c r="L146" s="638"/>
      <c r="M146" s="572">
        <v>59000</v>
      </c>
      <c r="N146" s="397">
        <v>-1064.7082656395619</v>
      </c>
      <c r="O146" s="397">
        <v>-404.06139176005797</v>
      </c>
      <c r="P146" s="397">
        <v>256.5854821194485</v>
      </c>
      <c r="Q146" s="397">
        <v>917.23235599895713</v>
      </c>
      <c r="R146" s="397">
        <v>1577.8792298784567</v>
      </c>
      <c r="S146" s="397">
        <v>2238.5261037579698</v>
      </c>
      <c r="T146" s="397">
        <v>2899.1729776374782</v>
      </c>
      <c r="U146" s="397">
        <v>3559.8198515169779</v>
      </c>
      <c r="V146" s="397">
        <v>4220.4667253964872</v>
      </c>
      <c r="W146" s="397">
        <v>4881.1135992759946</v>
      </c>
      <c r="X146" s="397">
        <v>5541.7604731554957</v>
      </c>
      <c r="Y146" s="397">
        <v>6202.4073470350086</v>
      </c>
      <c r="Z146" s="573">
        <v>6863.0542209145124</v>
      </c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  <c r="AP146" s="360"/>
      <c r="AQ146" s="360"/>
      <c r="AR146" s="360"/>
      <c r="AS146" s="360"/>
      <c r="AT146" s="360"/>
      <c r="AU146" s="360"/>
      <c r="AV146" s="360"/>
      <c r="AW146" s="360"/>
      <c r="AX146" s="360"/>
      <c r="AY146" s="360"/>
      <c r="AZ146" s="360"/>
      <c r="BA146" s="360"/>
      <c r="BB146" s="360"/>
      <c r="BC146" s="360"/>
      <c r="BD146" s="360"/>
      <c r="BE146" s="360"/>
      <c r="BF146" s="360"/>
      <c r="BG146" s="360"/>
      <c r="BH146" s="360"/>
      <c r="BI146" s="360"/>
      <c r="BJ146" s="360"/>
      <c r="BK146" s="360"/>
      <c r="BL146" s="360"/>
      <c r="BM146" s="360"/>
      <c r="BN146" s="360"/>
      <c r="BO146" s="360"/>
      <c r="BP146" s="360"/>
      <c r="BQ146" s="360"/>
      <c r="BR146" s="360"/>
      <c r="BS146" s="360"/>
      <c r="BT146" s="360"/>
    </row>
    <row r="147" spans="1:72" ht="27" thickTop="1" thickBot="1" x14ac:dyDescent="0.75">
      <c r="A147" s="66" t="s">
        <v>2567</v>
      </c>
      <c r="B147" s="67">
        <f>O136</f>
        <v>1363.6331118881128</v>
      </c>
      <c r="C147" s="100"/>
      <c r="D147" s="100"/>
      <c r="E147" s="100"/>
      <c r="F147" s="100"/>
      <c r="G147" s="100"/>
      <c r="H147" s="68"/>
      <c r="I147" s="68"/>
      <c r="J147" s="360"/>
      <c r="K147" s="360"/>
      <c r="L147" s="638"/>
      <c r="M147" s="572">
        <v>61000</v>
      </c>
      <c r="N147" s="397">
        <v>-465.09180385023774</v>
      </c>
      <c r="O147" s="397">
        <v>216.96994366460126</v>
      </c>
      <c r="P147" s="397">
        <v>899.03169117944037</v>
      </c>
      <c r="Q147" s="397">
        <v>1581.093438694279</v>
      </c>
      <c r="R147" s="397">
        <v>2263.1551862091137</v>
      </c>
      <c r="S147" s="397">
        <v>2945.216933723957</v>
      </c>
      <c r="T147" s="397">
        <v>3627.2786812388008</v>
      </c>
      <c r="U147" s="397">
        <v>4309.340428753635</v>
      </c>
      <c r="V147" s="397">
        <v>4991.4021762684733</v>
      </c>
      <c r="W147" s="397">
        <v>5673.4639237833098</v>
      </c>
      <c r="X147" s="397">
        <v>6355.5256712981482</v>
      </c>
      <c r="Y147" s="397">
        <v>7037.5874188129883</v>
      </c>
      <c r="Z147" s="573">
        <v>7719.6491663278257</v>
      </c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  <c r="AP147" s="360"/>
      <c r="AQ147" s="360"/>
      <c r="AR147" s="360"/>
      <c r="AS147" s="360"/>
      <c r="AT147" s="360"/>
      <c r="AU147" s="360"/>
      <c r="AV147" s="360"/>
      <c r="AW147" s="360"/>
      <c r="AX147" s="360"/>
      <c r="AY147" s="360"/>
      <c r="AZ147" s="360"/>
      <c r="BA147" s="360"/>
      <c r="BB147" s="360"/>
      <c r="BC147" s="360"/>
      <c r="BD147" s="360"/>
      <c r="BE147" s="360"/>
      <c r="BF147" s="360"/>
      <c r="BG147" s="360"/>
      <c r="BH147" s="360"/>
      <c r="BI147" s="360"/>
      <c r="BJ147" s="360"/>
      <c r="BK147" s="360"/>
      <c r="BL147" s="360"/>
      <c r="BM147" s="360"/>
      <c r="BN147" s="360"/>
      <c r="BO147" s="360"/>
      <c r="BP147" s="360"/>
      <c r="BQ147" s="360"/>
      <c r="BR147" s="360"/>
      <c r="BS147" s="360"/>
      <c r="BT147" s="360"/>
    </row>
    <row r="148" spans="1:72" ht="24" thickTop="1" thickBot="1" x14ac:dyDescent="0.65">
      <c r="L148" s="638"/>
      <c r="M148" s="572">
        <v>63000</v>
      </c>
      <c r="N148" s="397">
        <v>134.52465793908658</v>
      </c>
      <c r="O148" s="397">
        <v>838.00127908925811</v>
      </c>
      <c r="P148" s="397">
        <v>1541.4779002394275</v>
      </c>
      <c r="Q148" s="397">
        <v>2244.9545213896013</v>
      </c>
      <c r="R148" s="397">
        <v>2948.4311425397705</v>
      </c>
      <c r="S148" s="397">
        <v>3651.9077636899437</v>
      </c>
      <c r="T148" s="397">
        <v>4355.384384840122</v>
      </c>
      <c r="U148" s="397">
        <v>5058.8610059902876</v>
      </c>
      <c r="V148" s="397">
        <v>5762.3376271404632</v>
      </c>
      <c r="W148" s="397">
        <v>6465.8142482906333</v>
      </c>
      <c r="X148" s="397">
        <v>7169.2908694408097</v>
      </c>
      <c r="Y148" s="397">
        <v>7872.7674905909789</v>
      </c>
      <c r="Z148" s="573">
        <v>8576.244111741149</v>
      </c>
    </row>
    <row r="149" spans="1:72" ht="27" thickTop="1" thickBot="1" x14ac:dyDescent="0.65">
      <c r="A149" s="38" t="s">
        <v>159</v>
      </c>
      <c r="B149" s="38"/>
      <c r="C149" s="38" t="s">
        <v>19</v>
      </c>
      <c r="D149" s="39" t="s">
        <v>18</v>
      </c>
      <c r="E149" s="39" t="s">
        <v>214</v>
      </c>
      <c r="F149" s="39" t="s">
        <v>17</v>
      </c>
      <c r="G149" s="39" t="s">
        <v>2506</v>
      </c>
      <c r="H149" s="39" t="s">
        <v>2508</v>
      </c>
      <c r="I149" s="39" t="s">
        <v>2507</v>
      </c>
      <c r="L149" s="638"/>
      <c r="M149" s="572">
        <v>65000</v>
      </c>
      <c r="N149" s="397">
        <v>734.14111972840658</v>
      </c>
      <c r="O149" s="397">
        <v>1459.0326145139106</v>
      </c>
      <c r="P149" s="397">
        <v>2183.9241092994148</v>
      </c>
      <c r="Q149" s="397">
        <v>2908.815604084919</v>
      </c>
      <c r="R149" s="397">
        <v>3633.7070988704231</v>
      </c>
      <c r="S149" s="397">
        <v>4358.5985936559364</v>
      </c>
      <c r="T149" s="397">
        <v>5083.4900884414355</v>
      </c>
      <c r="U149" s="397">
        <v>5808.3815832269411</v>
      </c>
      <c r="V149" s="397">
        <v>6533.2730780124457</v>
      </c>
      <c r="W149" s="397">
        <v>7258.164572797954</v>
      </c>
      <c r="X149" s="397">
        <v>7983.056067583454</v>
      </c>
      <c r="Y149" s="397">
        <v>8707.9475623689632</v>
      </c>
      <c r="Z149" s="573">
        <v>9432.8390571544714</v>
      </c>
    </row>
    <row r="150" spans="1:72" ht="27" thickTop="1" thickBot="1" x14ac:dyDescent="0.65">
      <c r="A150" s="40" t="s">
        <v>2558</v>
      </c>
      <c r="B150" s="41">
        <v>60000</v>
      </c>
      <c r="C150" s="42">
        <f>C142</f>
        <v>71874.666666666672</v>
      </c>
      <c r="D150" s="43"/>
      <c r="E150" s="43"/>
      <c r="F150" s="43"/>
      <c r="G150" s="44"/>
      <c r="H150" s="44">
        <f>H142</f>
        <v>79389</v>
      </c>
      <c r="I150" s="44">
        <f>I142</f>
        <v>28488</v>
      </c>
      <c r="L150" s="638"/>
      <c r="M150" s="572">
        <v>67000</v>
      </c>
      <c r="N150" s="397">
        <v>1333.7575815177329</v>
      </c>
      <c r="O150" s="397">
        <v>2080.0639499385675</v>
      </c>
      <c r="P150" s="397">
        <v>2826.3703183594066</v>
      </c>
      <c r="Q150" s="397">
        <v>3572.6766867802457</v>
      </c>
      <c r="R150" s="397">
        <v>4318.9830552010799</v>
      </c>
      <c r="S150" s="397">
        <v>5065.2894236219281</v>
      </c>
      <c r="T150" s="397">
        <v>5811.5957920427682</v>
      </c>
      <c r="U150" s="397">
        <v>6557.9021604635946</v>
      </c>
      <c r="V150" s="397">
        <v>7304.2085288844337</v>
      </c>
      <c r="W150" s="397">
        <v>8050.5148973052765</v>
      </c>
      <c r="X150" s="397">
        <v>8796.8212657261083</v>
      </c>
      <c r="Y150" s="397">
        <v>9543.1276341469456</v>
      </c>
      <c r="Z150" s="573">
        <v>10289.434002567792</v>
      </c>
    </row>
    <row r="151" spans="1:72" ht="27" thickTop="1" thickBot="1" x14ac:dyDescent="0.65">
      <c r="A151" s="45" t="s">
        <v>2560</v>
      </c>
      <c r="B151" s="41">
        <f>پنل!B1</f>
        <v>40500000</v>
      </c>
      <c r="C151" s="47"/>
      <c r="D151" s="48"/>
      <c r="E151" s="49">
        <f>E143</f>
        <v>29664113.802623574</v>
      </c>
      <c r="F151" s="49">
        <v>40500000</v>
      </c>
      <c r="G151" s="50"/>
      <c r="H151" s="49"/>
      <c r="I151" s="49"/>
      <c r="L151" s="638"/>
      <c r="M151" s="574">
        <v>69000</v>
      </c>
      <c r="N151" s="575">
        <v>1933.3740433070545</v>
      </c>
      <c r="O151" s="575">
        <v>2701.0952853632202</v>
      </c>
      <c r="P151" s="575">
        <v>3468.8165274193939</v>
      </c>
      <c r="Q151" s="575">
        <v>4236.537769475568</v>
      </c>
      <c r="R151" s="575">
        <v>5004.2590115317334</v>
      </c>
      <c r="S151" s="575">
        <v>5771.9802535879126</v>
      </c>
      <c r="T151" s="575">
        <v>6539.7014956440808</v>
      </c>
      <c r="U151" s="575">
        <v>7307.4227377002517</v>
      </c>
      <c r="V151" s="575">
        <v>8075.1439797564208</v>
      </c>
      <c r="W151" s="575">
        <v>8842.8652218125953</v>
      </c>
      <c r="X151" s="575">
        <v>9610.5864638687599</v>
      </c>
      <c r="Y151" s="575">
        <v>10378.307705924932</v>
      </c>
      <c r="Z151" s="576">
        <v>11146.028947981105</v>
      </c>
    </row>
    <row r="152" spans="1:72" ht="27" thickTop="1" thickBot="1" x14ac:dyDescent="0.65">
      <c r="A152" s="51" t="s">
        <v>2562</v>
      </c>
      <c r="B152" s="41">
        <f>E152</f>
        <v>7.3427766523170419</v>
      </c>
      <c r="C152" s="299"/>
      <c r="D152" s="53"/>
      <c r="E152" s="54">
        <f>H72</f>
        <v>7.3427766523170419</v>
      </c>
      <c r="F152" s="55"/>
      <c r="G152" s="55"/>
      <c r="H152" s="54"/>
      <c r="I152" s="54"/>
      <c r="T152" s="360"/>
      <c r="U152" s="360"/>
      <c r="V152" s="360"/>
      <c r="W152" s="360"/>
      <c r="X152" s="360"/>
      <c r="Y152" s="360"/>
      <c r="Z152" s="360"/>
    </row>
    <row r="153" spans="1:72" ht="27" thickTop="1" thickBot="1" x14ac:dyDescent="0.65">
      <c r="A153" s="56" t="s">
        <v>2564</v>
      </c>
      <c r="B153" s="57">
        <f>B150*B152</f>
        <v>440566.59913902252</v>
      </c>
      <c r="C153" s="58"/>
      <c r="D153" s="59"/>
      <c r="E153" s="60"/>
      <c r="F153" s="60"/>
      <c r="G153" s="60"/>
      <c r="H153" s="60"/>
      <c r="I153" s="60"/>
      <c r="T153" s="360"/>
      <c r="U153" s="360"/>
      <c r="V153" s="360"/>
      <c r="W153" s="360"/>
      <c r="X153" s="360"/>
      <c r="Y153" s="360"/>
      <c r="Z153" s="360"/>
    </row>
    <row r="154" spans="1:72" ht="27" thickTop="1" thickBot="1" x14ac:dyDescent="0.65">
      <c r="A154" s="61" t="s">
        <v>2566</v>
      </c>
      <c r="B154" s="57">
        <f>پنل!B2</f>
        <v>6000000</v>
      </c>
      <c r="C154" s="62"/>
      <c r="D154" s="63"/>
      <c r="E154" s="64">
        <f>H82</f>
        <v>3082845.8484392581</v>
      </c>
      <c r="F154" s="64"/>
      <c r="G154" s="65"/>
      <c r="H154" s="65"/>
      <c r="I154" s="65"/>
      <c r="T154" s="360"/>
      <c r="U154" s="360"/>
      <c r="V154" s="360"/>
      <c r="W154" s="360"/>
      <c r="X154" s="360"/>
      <c r="Y154" s="360"/>
      <c r="Z154" s="360"/>
    </row>
    <row r="155" spans="1:72" ht="27" thickTop="1" thickBot="1" x14ac:dyDescent="0.75">
      <c r="A155" s="66" t="s">
        <v>2568</v>
      </c>
      <c r="B155" s="67">
        <f>P136</f>
        <v>-6134.2216273513113</v>
      </c>
      <c r="C155" s="100"/>
      <c r="D155" s="100"/>
      <c r="E155" s="100"/>
      <c r="F155" s="100"/>
      <c r="G155" s="100"/>
      <c r="H155" s="68"/>
      <c r="I155" s="68"/>
      <c r="L155" s="639" t="s">
        <v>159</v>
      </c>
      <c r="M155" s="625" t="s">
        <v>2587</v>
      </c>
      <c r="N155" s="626"/>
      <c r="O155" s="626"/>
      <c r="P155" s="626"/>
      <c r="Q155" s="626"/>
      <c r="R155" s="626"/>
      <c r="S155" s="626"/>
      <c r="T155" s="626"/>
      <c r="U155" s="626"/>
      <c r="V155" s="626"/>
      <c r="W155" s="626"/>
      <c r="X155" s="626"/>
      <c r="Y155" s="626"/>
      <c r="Z155" s="627"/>
    </row>
    <row r="156" spans="1:72" ht="24" thickTop="1" thickBot="1" x14ac:dyDescent="0.65">
      <c r="L156" s="639"/>
      <c r="M156" s="628"/>
      <c r="N156" s="629"/>
      <c r="O156" s="629"/>
      <c r="P156" s="629"/>
      <c r="Q156" s="629"/>
      <c r="R156" s="629"/>
      <c r="S156" s="629"/>
      <c r="T156" s="629"/>
      <c r="U156" s="629"/>
      <c r="V156" s="629"/>
      <c r="W156" s="629"/>
      <c r="X156" s="629"/>
      <c r="Y156" s="629"/>
      <c r="Z156" s="630"/>
    </row>
    <row r="157" spans="1:72" ht="27" thickTop="1" thickBot="1" x14ac:dyDescent="0.75">
      <c r="F157" s="115"/>
      <c r="G157" s="87"/>
      <c r="H157" s="87"/>
      <c r="I157" s="87"/>
      <c r="L157" s="638" t="s">
        <v>2516</v>
      </c>
      <c r="M157" s="568">
        <f>B155</f>
        <v>-6134.2216273513113</v>
      </c>
      <c r="N157" s="569">
        <v>28000000</v>
      </c>
      <c r="O157" s="570">
        <v>29000000</v>
      </c>
      <c r="P157" s="569">
        <v>30000000</v>
      </c>
      <c r="Q157" s="570">
        <v>31000000</v>
      </c>
      <c r="R157" s="569">
        <v>32000000</v>
      </c>
      <c r="S157" s="570">
        <v>33000000</v>
      </c>
      <c r="T157" s="569">
        <v>34000000</v>
      </c>
      <c r="U157" s="570">
        <v>35000000</v>
      </c>
      <c r="V157" s="569">
        <v>36000000</v>
      </c>
      <c r="W157" s="570">
        <v>37000000</v>
      </c>
      <c r="X157" s="569">
        <v>38000000</v>
      </c>
      <c r="Y157" s="570">
        <v>39000000</v>
      </c>
      <c r="Z157" s="571">
        <v>40000000</v>
      </c>
    </row>
    <row r="158" spans="1:72" ht="30" thickTop="1" thickBot="1" x14ac:dyDescent="0.8">
      <c r="A158" s="634" t="s">
        <v>150</v>
      </c>
      <c r="B158" s="635"/>
      <c r="C158" s="87"/>
      <c r="D158" s="645" t="s">
        <v>159</v>
      </c>
      <c r="E158" s="646"/>
      <c r="F158" s="87"/>
      <c r="G158" s="87"/>
      <c r="H158" s="487" t="s">
        <v>1</v>
      </c>
      <c r="I158" s="488">
        <v>56840</v>
      </c>
      <c r="L158" s="638"/>
      <c r="M158" s="572">
        <v>55000</v>
      </c>
      <c r="N158" s="397">
        <f t="dataTable" ref="N158:Z165" dt2D="1" dtr="1" r1="B151" r2="B150"/>
        <v>-13629.54265002817</v>
      </c>
      <c r="O158" s="397">
        <v>-13031.124397367528</v>
      </c>
      <c r="P158" s="397">
        <v>-12432.706144706883</v>
      </c>
      <c r="Q158" s="397">
        <v>-11834.287892046243</v>
      </c>
      <c r="R158" s="397">
        <v>-11235.869639385597</v>
      </c>
      <c r="S158" s="397">
        <v>-10637.451386724953</v>
      </c>
      <c r="T158" s="397">
        <v>-10039.03313406431</v>
      </c>
      <c r="U158" s="397">
        <v>-9440.6148814036696</v>
      </c>
      <c r="V158" s="397">
        <v>-8842.1966287430259</v>
      </c>
      <c r="W158" s="397">
        <v>-8243.7783760823804</v>
      </c>
      <c r="X158" s="397">
        <v>-7645.3601234217413</v>
      </c>
      <c r="Y158" s="397">
        <v>-7046.9418707610967</v>
      </c>
      <c r="Z158" s="573">
        <v>-6448.5236181004493</v>
      </c>
    </row>
    <row r="159" spans="1:72" ht="27" thickTop="1" thickBot="1" x14ac:dyDescent="0.75">
      <c r="A159" s="475" t="s">
        <v>10</v>
      </c>
      <c r="B159" s="476">
        <v>1</v>
      </c>
      <c r="C159" s="87"/>
      <c r="D159" s="475" t="s">
        <v>10</v>
      </c>
      <c r="E159" s="476">
        <v>1</v>
      </c>
      <c r="F159" s="87"/>
      <c r="G159" s="87"/>
      <c r="H159" s="489">
        <v>6</v>
      </c>
      <c r="I159" s="509">
        <f>$I$158/H159</f>
        <v>9473.3333333333339</v>
      </c>
      <c r="L159" s="638"/>
      <c r="M159" s="572">
        <v>57000</v>
      </c>
      <c r="N159" s="397">
        <v>-13882.109263244261</v>
      </c>
      <c r="O159" s="397">
        <v>-13263.002709864928</v>
      </c>
      <c r="P159" s="397">
        <v>-12643.896156485594</v>
      </c>
      <c r="Q159" s="397">
        <v>-12024.789603106265</v>
      </c>
      <c r="R159" s="397">
        <v>-11405.683049726929</v>
      </c>
      <c r="S159" s="397">
        <v>-10786.576496347601</v>
      </c>
      <c r="T159" s="397">
        <v>-10167.469942968266</v>
      </c>
      <c r="U159" s="397">
        <v>-9548.3633895889325</v>
      </c>
      <c r="V159" s="397">
        <v>-8929.2568362096026</v>
      </c>
      <c r="W159" s="397">
        <v>-8310.1502828302637</v>
      </c>
      <c r="X159" s="397">
        <v>-7691.0437294509347</v>
      </c>
      <c r="Y159" s="397">
        <v>-7071.9371760716003</v>
      </c>
      <c r="Z159" s="573">
        <v>-6452.8306226922623</v>
      </c>
    </row>
    <row r="160" spans="1:72" ht="27" thickTop="1" thickBot="1" x14ac:dyDescent="0.75">
      <c r="A160" s="477" t="s">
        <v>2572</v>
      </c>
      <c r="B160" s="478">
        <f>B159*B147</f>
        <v>1363.6331118881128</v>
      </c>
      <c r="C160" s="87"/>
      <c r="D160" s="477" t="s">
        <v>2573</v>
      </c>
      <c r="E160" s="478">
        <f>E159*B155</f>
        <v>-6134.2216273513113</v>
      </c>
      <c r="F160" s="305"/>
      <c r="G160" s="114"/>
      <c r="H160" s="489">
        <v>8</v>
      </c>
      <c r="I160" s="509">
        <f>$I$158/H160</f>
        <v>7105</v>
      </c>
      <c r="L160" s="638"/>
      <c r="M160" s="572">
        <v>59000</v>
      </c>
      <c r="N160" s="397">
        <v>-14134.675876460356</v>
      </c>
      <c r="O160" s="397">
        <v>-13494.881022362331</v>
      </c>
      <c r="P160" s="397">
        <v>-12855.086168264312</v>
      </c>
      <c r="Q160" s="397">
        <v>-12215.29131416629</v>
      </c>
      <c r="R160" s="397">
        <v>-11575.496460068267</v>
      </c>
      <c r="S160" s="397">
        <v>-10935.701605970238</v>
      </c>
      <c r="T160" s="397">
        <v>-10295.906751872219</v>
      </c>
      <c r="U160" s="397">
        <v>-9656.111897774199</v>
      </c>
      <c r="V160" s="397">
        <v>-9016.3170436761757</v>
      </c>
      <c r="W160" s="397">
        <v>-8376.522189578156</v>
      </c>
      <c r="X160" s="397">
        <v>-7736.7273354801318</v>
      </c>
      <c r="Y160" s="397">
        <v>-7096.9324813821086</v>
      </c>
      <c r="Z160" s="573">
        <v>-6457.1376272840835</v>
      </c>
    </row>
    <row r="161" spans="1:26" ht="27" thickTop="1" thickBot="1" x14ac:dyDescent="0.75">
      <c r="C161" s="87"/>
      <c r="D161" s="87"/>
      <c r="E161" s="115"/>
      <c r="F161" s="87"/>
      <c r="G161" s="114"/>
      <c r="H161" s="490">
        <v>10</v>
      </c>
      <c r="I161" s="510">
        <f>$I$158/H161</f>
        <v>5684</v>
      </c>
      <c r="L161" s="638"/>
      <c r="M161" s="572">
        <v>61000</v>
      </c>
      <c r="N161" s="397">
        <v>-14387.24248967645</v>
      </c>
      <c r="O161" s="397">
        <v>-13726.75933485974</v>
      </c>
      <c r="P161" s="397">
        <v>-13066.276180043023</v>
      </c>
      <c r="Q161" s="397">
        <v>-12405.793025226314</v>
      </c>
      <c r="R161" s="397">
        <v>-11745.309870409599</v>
      </c>
      <c r="S161" s="397">
        <v>-11084.826715592884</v>
      </c>
      <c r="T161" s="397">
        <v>-10424.343560776171</v>
      </c>
      <c r="U161" s="397">
        <v>-9763.8604059594618</v>
      </c>
      <c r="V161" s="397">
        <v>-9103.3772511427524</v>
      </c>
      <c r="W161" s="397">
        <v>-8442.8940963260338</v>
      </c>
      <c r="X161" s="397">
        <v>-7782.4109415093289</v>
      </c>
      <c r="Y161" s="397">
        <v>-7121.9277866926104</v>
      </c>
      <c r="Z161" s="573">
        <v>-6461.444631875891</v>
      </c>
    </row>
    <row r="162" spans="1:26" ht="27" thickTop="1" thickBot="1" x14ac:dyDescent="0.75">
      <c r="A162" s="479" t="s">
        <v>2510</v>
      </c>
      <c r="B162" s="480" t="s">
        <v>2576</v>
      </c>
      <c r="C162" s="87"/>
      <c r="D162" s="479" t="s">
        <v>2510</v>
      </c>
      <c r="E162" s="480" t="str">
        <f>B162</f>
        <v>98/09/11</v>
      </c>
      <c r="F162" s="87"/>
      <c r="G162" s="305"/>
      <c r="H162" s="305"/>
      <c r="I162" s="305"/>
      <c r="L162" s="638"/>
      <c r="M162" s="572">
        <v>63000</v>
      </c>
      <c r="N162" s="397">
        <v>-14639.809102892548</v>
      </c>
      <c r="O162" s="397">
        <v>-13958.637647357149</v>
      </c>
      <c r="P162" s="397">
        <v>-13277.466191821746</v>
      </c>
      <c r="Q162" s="397">
        <v>-12596.294736286343</v>
      </c>
      <c r="R162" s="397">
        <v>-11915.12328075094</v>
      </c>
      <c r="S162" s="397">
        <v>-11233.951825215538</v>
      </c>
      <c r="T162" s="397">
        <v>-10552.780369680138</v>
      </c>
      <c r="U162" s="397">
        <v>-9871.6089141447301</v>
      </c>
      <c r="V162" s="397">
        <v>-9190.4374586093309</v>
      </c>
      <c r="W162" s="397">
        <v>-8509.2660030739244</v>
      </c>
      <c r="X162" s="397">
        <v>-7828.094547538527</v>
      </c>
      <c r="Y162" s="397">
        <v>-7146.9230920031214</v>
      </c>
      <c r="Z162" s="573">
        <v>-6465.7516364677176</v>
      </c>
    </row>
    <row r="163" spans="1:26" ht="27" thickTop="1" thickBot="1" x14ac:dyDescent="0.75">
      <c r="A163" s="481" t="s">
        <v>2511</v>
      </c>
      <c r="B163" s="482" t="s">
        <v>2577</v>
      </c>
      <c r="C163" s="87"/>
      <c r="D163" s="481" t="s">
        <v>2511</v>
      </c>
      <c r="E163" s="482" t="str">
        <f>B163</f>
        <v>99/04/01</v>
      </c>
      <c r="F163" s="305"/>
      <c r="G163" s="305"/>
      <c r="H163" s="305"/>
      <c r="I163" s="87"/>
      <c r="L163" s="638"/>
      <c r="M163" s="572">
        <v>65000</v>
      </c>
      <c r="N163" s="397">
        <v>-14892.375716108645</v>
      </c>
      <c r="O163" s="397">
        <v>-14190.515959854554</v>
      </c>
      <c r="P163" s="397">
        <v>-13488.656203600465</v>
      </c>
      <c r="Q163" s="397">
        <v>-12786.796447346371</v>
      </c>
      <c r="R163" s="397">
        <v>-12084.936691092278</v>
      </c>
      <c r="S163" s="397">
        <v>-11383.076934838184</v>
      </c>
      <c r="T163" s="397">
        <v>-10681.217178584091</v>
      </c>
      <c r="U163" s="397">
        <v>-9979.357422330002</v>
      </c>
      <c r="V163" s="397">
        <v>-9277.4976660759112</v>
      </c>
      <c r="W163" s="397">
        <v>-8575.6379098218131</v>
      </c>
      <c r="X163" s="397">
        <v>-7873.7781535677286</v>
      </c>
      <c r="Y163" s="397">
        <v>-7171.9183973136342</v>
      </c>
      <c r="Z163" s="573">
        <v>-6470.0586410595361</v>
      </c>
    </row>
    <row r="164" spans="1:26" ht="27" thickTop="1" thickBot="1" x14ac:dyDescent="0.75">
      <c r="A164" s="87"/>
      <c r="B164" s="87"/>
      <c r="C164" s="87"/>
      <c r="D164" s="87"/>
      <c r="E164" s="305"/>
      <c r="F164" s="87"/>
      <c r="G164" s="87"/>
      <c r="H164" s="87"/>
      <c r="I164" s="87"/>
      <c r="L164" s="638"/>
      <c r="M164" s="572">
        <v>67000</v>
      </c>
      <c r="N164" s="397">
        <v>-15144.942329324736</v>
      </c>
      <c r="O164" s="397">
        <v>-14422.394272351954</v>
      </c>
      <c r="P164" s="397">
        <v>-13699.846215379173</v>
      </c>
      <c r="Q164" s="397">
        <v>-12977.298158406391</v>
      </c>
      <c r="R164" s="397">
        <v>-12254.750101433607</v>
      </c>
      <c r="S164" s="397">
        <v>-11532.202044460824</v>
      </c>
      <c r="T164" s="397">
        <v>-10809.653987488044</v>
      </c>
      <c r="U164" s="397">
        <v>-10087.105930515254</v>
      </c>
      <c r="V164" s="397">
        <v>-9364.5578735424842</v>
      </c>
      <c r="W164" s="397">
        <v>-8642.0098165696963</v>
      </c>
      <c r="X164" s="397">
        <v>-7919.4617595969112</v>
      </c>
      <c r="Y164" s="397">
        <v>-7196.9137026241333</v>
      </c>
      <c r="Z164" s="573">
        <v>-6474.3656456513436</v>
      </c>
    </row>
    <row r="165" spans="1:26" ht="27" thickTop="1" thickBot="1" x14ac:dyDescent="0.75">
      <c r="A165" s="483" t="s">
        <v>2544</v>
      </c>
      <c r="B165" s="486">
        <v>4</v>
      </c>
      <c r="C165" s="114"/>
      <c r="D165" s="483" t="s">
        <v>2547</v>
      </c>
      <c r="E165" s="484">
        <v>16</v>
      </c>
      <c r="F165" s="87"/>
      <c r="G165" s="87"/>
      <c r="H165" s="87"/>
      <c r="I165" s="87"/>
      <c r="L165" s="638"/>
      <c r="M165" s="574">
        <v>69000</v>
      </c>
      <c r="N165" s="575">
        <v>-15397.508942540837</v>
      </c>
      <c r="O165" s="575">
        <v>-14654.272584849365</v>
      </c>
      <c r="P165" s="575">
        <v>-13911.036227157894</v>
      </c>
      <c r="Q165" s="575">
        <v>-13167.799869466422</v>
      </c>
      <c r="R165" s="575">
        <v>-12424.563511774946</v>
      </c>
      <c r="S165" s="575">
        <v>-11681.327154083474</v>
      </c>
      <c r="T165" s="575">
        <v>-10938.090796392</v>
      </c>
      <c r="U165" s="575">
        <v>-10194.854438700529</v>
      </c>
      <c r="V165" s="575">
        <v>-9451.6180810090609</v>
      </c>
      <c r="W165" s="575">
        <v>-8708.3817233175869</v>
      </c>
      <c r="X165" s="575">
        <v>-7965.1453656261128</v>
      </c>
      <c r="Y165" s="575">
        <v>-7221.9090079346388</v>
      </c>
      <c r="Z165" s="576">
        <v>-6478.6726502431666</v>
      </c>
    </row>
    <row r="166" spans="1:26" ht="27" thickTop="1" thickBot="1" x14ac:dyDescent="0.75">
      <c r="A166" s="477" t="s">
        <v>2545</v>
      </c>
      <c r="B166" s="485">
        <v>10</v>
      </c>
      <c r="C166" s="114"/>
      <c r="D166" s="477" t="s">
        <v>2546</v>
      </c>
      <c r="E166" s="485">
        <v>22</v>
      </c>
      <c r="F166" s="87"/>
      <c r="G166" s="87"/>
      <c r="H166" s="87"/>
      <c r="I166" s="87"/>
    </row>
    <row r="167" spans="1:26" ht="27" thickTop="1" thickBot="1" x14ac:dyDescent="0.75">
      <c r="C167" s="114"/>
      <c r="D167" s="115"/>
      <c r="E167" s="87"/>
      <c r="F167" s="87"/>
      <c r="G167" s="87"/>
      <c r="H167" s="87"/>
      <c r="I167" s="87"/>
    </row>
    <row r="168" spans="1:26" ht="27" thickTop="1" thickBot="1" x14ac:dyDescent="0.75">
      <c r="A168" s="319">
        <v>0.2</v>
      </c>
      <c r="B168" s="320" t="s">
        <v>2519</v>
      </c>
      <c r="C168" s="114"/>
      <c r="D168" s="319">
        <v>0.2</v>
      </c>
      <c r="E168" s="320" t="s">
        <v>2519</v>
      </c>
      <c r="F168" s="87"/>
      <c r="G168" s="87"/>
      <c r="H168" s="87"/>
      <c r="I168" s="87"/>
    </row>
    <row r="169" spans="1:26" ht="26.25" thickTop="1" x14ac:dyDescent="0.7">
      <c r="A169" s="321" t="s">
        <v>8</v>
      </c>
      <c r="B169" s="322" t="s">
        <v>7</v>
      </c>
      <c r="D169" s="321" t="s">
        <v>8</v>
      </c>
      <c r="E169" s="322" t="s">
        <v>7</v>
      </c>
    </row>
    <row r="170" spans="1:26" ht="26.25" thickBot="1" x14ac:dyDescent="0.75">
      <c r="A170" s="324">
        <f>A168/12</f>
        <v>1.6666666666666666E-2</v>
      </c>
      <c r="B170" s="323">
        <v>5</v>
      </c>
      <c r="D170" s="324">
        <f>D168/12</f>
        <v>1.6666666666666666E-2</v>
      </c>
      <c r="E170" s="323">
        <v>5</v>
      </c>
    </row>
    <row r="171" spans="1:26" ht="26.25" thickTop="1" x14ac:dyDescent="0.7">
      <c r="A171" s="176" t="s">
        <v>2548</v>
      </c>
      <c r="B171" s="177">
        <f>B170*B147</f>
        <v>6818.1655594405638</v>
      </c>
      <c r="D171" s="176" t="s">
        <v>2548</v>
      </c>
      <c r="E171" s="473">
        <f>B155*E170</f>
        <v>-30671.108136756557</v>
      </c>
    </row>
    <row r="172" spans="1:26" ht="25.5" x14ac:dyDescent="0.7">
      <c r="A172" s="176" t="s">
        <v>3</v>
      </c>
      <c r="B172" s="177">
        <f>B171/(1+A170)^B165</f>
        <v>6381.9471601869263</v>
      </c>
      <c r="D172" s="176" t="s">
        <v>3</v>
      </c>
      <c r="E172" s="473">
        <f>E171/(1+D170)^E165</f>
        <v>-23543.558937660055</v>
      </c>
    </row>
    <row r="173" spans="1:26" ht="26.25" thickBot="1" x14ac:dyDescent="0.75">
      <c r="A173" s="178" t="s">
        <v>2</v>
      </c>
      <c r="B173" s="179">
        <f>B160/(1+A170)^B166</f>
        <v>1155.8771860597246</v>
      </c>
      <c r="D173" s="178" t="s">
        <v>2</v>
      </c>
      <c r="E173" s="474">
        <f>E160/(1+D170)^E166</f>
        <v>-4264.13161557682</v>
      </c>
    </row>
    <row r="174" spans="1:26" ht="27" thickTop="1" thickBot="1" x14ac:dyDescent="0.75">
      <c r="A174" s="180" t="s">
        <v>0</v>
      </c>
      <c r="B174" s="181">
        <f>B173+B172</f>
        <v>7537.8243462466507</v>
      </c>
      <c r="D174" s="180" t="s">
        <v>0</v>
      </c>
      <c r="E174" s="181">
        <f>E173+E172</f>
        <v>-27807.690553236876</v>
      </c>
    </row>
    <row r="175" spans="1:26" ht="23.25" thickTop="1" x14ac:dyDescent="0.6"/>
  </sheetData>
  <mergeCells count="9">
    <mergeCell ref="G1:J1"/>
    <mergeCell ref="A158:B158"/>
    <mergeCell ref="D158:E158"/>
    <mergeCell ref="L141:L142"/>
    <mergeCell ref="M141:Z142"/>
    <mergeCell ref="L143:L151"/>
    <mergeCell ref="L155:L156"/>
    <mergeCell ref="M155:Z156"/>
    <mergeCell ref="L157:L165"/>
  </mergeCells>
  <conditionalFormatting sqref="N144:Z151">
    <cfRule type="colorScale" priority="2">
      <colorScale>
        <cfvo type="num" val="$I$161"/>
        <cfvo type="num" val="$I$160"/>
        <cfvo type="num" val="$I$159"/>
        <color rgb="FFF8696B"/>
        <color rgb="FFFFEB84"/>
        <color rgb="FF63BE7B"/>
      </colorScale>
    </cfRule>
    <cfRule type="colorScale" priority="4">
      <colorScale>
        <cfvo type="num" val="$I$159"/>
        <cfvo type="num" val="$I$158"/>
        <cfvo type="num" val="$I$157"/>
        <color rgb="FFF8696B"/>
        <color rgb="FFFFEB84"/>
        <color rgb="FF63BE7B"/>
      </colorScale>
    </cfRule>
  </conditionalFormatting>
  <conditionalFormatting sqref="N158:Z165">
    <cfRule type="colorScale" priority="1">
      <colorScale>
        <cfvo type="num" val="$I$161"/>
        <cfvo type="num" val="$I$160"/>
        <cfvo type="num" val="$I$159"/>
        <color rgb="FFF8696B"/>
        <color rgb="FFFFEB84"/>
        <color rgb="FF63BE7B"/>
      </colorScale>
    </cfRule>
    <cfRule type="colorScale" priority="3">
      <colorScale>
        <cfvo type="num" val="$I$159"/>
        <cfvo type="num" val="$I$158"/>
        <cfvo type="num" val="$I$157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I55:J55 G59 G55 G53 J5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3"/>
  <sheetViews>
    <sheetView rightToLeft="1" topLeftCell="A121" zoomScale="25" zoomScaleNormal="25" workbookViewId="0">
      <pane xSplit="1" topLeftCell="B1" activePane="topRight" state="frozen"/>
      <selection pane="topRight" activeCell="B143" sqref="B143"/>
    </sheetView>
  </sheetViews>
  <sheetFormatPr defaultRowHeight="22.5" x14ac:dyDescent="0.6"/>
  <cols>
    <col min="1" max="1" width="60.7109375" style="357" bestFit="1" customWidth="1"/>
    <col min="2" max="2" width="21.140625" style="357" bestFit="1" customWidth="1"/>
    <col min="3" max="3" width="16.85546875" style="357" bestFit="1" customWidth="1"/>
    <col min="4" max="4" width="20.140625" style="357" bestFit="1" customWidth="1"/>
    <col min="5" max="5" width="26" style="357" bestFit="1" customWidth="1"/>
    <col min="6" max="7" width="16.85546875" style="357" bestFit="1" customWidth="1"/>
    <col min="8" max="8" width="24.42578125" style="357" bestFit="1" customWidth="1"/>
    <col min="9" max="11" width="16.85546875" style="357" bestFit="1" customWidth="1"/>
    <col min="12" max="12" width="25.28515625" style="357" customWidth="1"/>
    <col min="13" max="13" width="25" style="357" customWidth="1"/>
    <col min="14" max="26" width="16.140625" style="357" customWidth="1"/>
    <col min="27" max="27" width="10.7109375" style="357" bestFit="1" customWidth="1"/>
    <col min="28" max="28" width="9.5703125" style="357" bestFit="1" customWidth="1"/>
    <col min="29" max="29" width="14.85546875" style="357" customWidth="1"/>
    <col min="30" max="30" width="15.7109375" style="357" bestFit="1" customWidth="1"/>
    <col min="31" max="31" width="11.42578125" style="357" bestFit="1" customWidth="1"/>
    <col min="32" max="32" width="10.7109375" style="357" bestFit="1" customWidth="1"/>
    <col min="33" max="33" width="9.5703125" style="357" bestFit="1" customWidth="1"/>
    <col min="34" max="35" width="9.28515625" style="357" bestFit="1" customWidth="1"/>
    <col min="36" max="16384" width="9.140625" style="357"/>
  </cols>
  <sheetData>
    <row r="1" spans="1:39" ht="37.5" thickTop="1" thickBot="1" x14ac:dyDescent="1">
      <c r="F1" s="647" t="str">
        <f>VLOOKUP(J1,'دیده بان بازار'!A:Z,2,0)</f>
        <v>قند مرودشت‌</v>
      </c>
      <c r="G1" s="648"/>
      <c r="H1" s="648"/>
      <c r="I1" s="649"/>
      <c r="J1" s="406" t="s">
        <v>1624</v>
      </c>
    </row>
    <row r="2" spans="1:39" ht="23.25" thickTop="1" x14ac:dyDescent="0.6">
      <c r="A2" s="359" t="s">
        <v>130</v>
      </c>
    </row>
    <row r="3" spans="1:39" x14ac:dyDescent="0.6">
      <c r="A3" s="359" t="s">
        <v>158</v>
      </c>
    </row>
    <row r="4" spans="1:39" x14ac:dyDescent="0.6">
      <c r="A4" s="353"/>
      <c r="B4" s="353" t="s">
        <v>174</v>
      </c>
      <c r="C4" s="353" t="s">
        <v>173</v>
      </c>
      <c r="D4" s="353" t="s">
        <v>172</v>
      </c>
      <c r="E4" s="353" t="s">
        <v>171</v>
      </c>
      <c r="F4" s="353" t="s">
        <v>170</v>
      </c>
      <c r="G4" s="353" t="s">
        <v>169</v>
      </c>
      <c r="H4" s="353" t="s">
        <v>168</v>
      </c>
      <c r="I4" s="353" t="s">
        <v>167</v>
      </c>
      <c r="J4" s="353" t="s">
        <v>166</v>
      </c>
      <c r="K4" s="353" t="s">
        <v>165</v>
      </c>
      <c r="L4" s="353" t="s">
        <v>164</v>
      </c>
      <c r="M4" s="353" t="s">
        <v>163</v>
      </c>
      <c r="N4" s="353" t="s">
        <v>162</v>
      </c>
      <c r="O4" s="353" t="s">
        <v>146</v>
      </c>
      <c r="P4" s="353" t="s">
        <v>161</v>
      </c>
      <c r="S4" s="353"/>
      <c r="T4" s="353" t="s">
        <v>174</v>
      </c>
      <c r="U4" s="353" t="s">
        <v>173</v>
      </c>
      <c r="V4" s="353" t="s">
        <v>172</v>
      </c>
      <c r="W4" s="353" t="s">
        <v>171</v>
      </c>
      <c r="X4" s="353" t="s">
        <v>170</v>
      </c>
      <c r="Y4" s="353" t="s">
        <v>169</v>
      </c>
      <c r="Z4" s="353" t="s">
        <v>168</v>
      </c>
      <c r="AA4" s="353" t="s">
        <v>167</v>
      </c>
      <c r="AB4" s="353" t="s">
        <v>166</v>
      </c>
      <c r="AC4" s="353" t="s">
        <v>165</v>
      </c>
      <c r="AD4" s="353" t="s">
        <v>164</v>
      </c>
      <c r="AE4" s="353" t="s">
        <v>163</v>
      </c>
      <c r="AF4" s="353" t="s">
        <v>162</v>
      </c>
      <c r="AG4" s="353" t="s">
        <v>146</v>
      </c>
      <c r="AH4" s="353" t="s">
        <v>161</v>
      </c>
      <c r="AI4" s="360"/>
      <c r="AJ4" s="360"/>
      <c r="AK4" s="360"/>
    </row>
    <row r="5" spans="1:39" x14ac:dyDescent="0.6">
      <c r="A5" s="519" t="s">
        <v>102</v>
      </c>
      <c r="B5" s="352" t="s">
        <v>96</v>
      </c>
      <c r="C5" s="353" t="s">
        <v>62</v>
      </c>
      <c r="D5" s="353" t="s">
        <v>107</v>
      </c>
      <c r="E5" s="353" t="s">
        <v>108</v>
      </c>
      <c r="F5" s="353" t="s">
        <v>109</v>
      </c>
      <c r="G5" s="353" t="s">
        <v>40</v>
      </c>
      <c r="H5" s="353" t="s">
        <v>55</v>
      </c>
      <c r="I5" s="353" t="s">
        <v>95</v>
      </c>
      <c r="J5" s="353" t="s">
        <v>94</v>
      </c>
      <c r="K5" s="353" t="s">
        <v>39</v>
      </c>
      <c r="L5" s="353" t="s">
        <v>54</v>
      </c>
      <c r="M5" s="352" t="s">
        <v>148</v>
      </c>
      <c r="N5" s="353" t="s">
        <v>149</v>
      </c>
      <c r="O5" s="353" t="s">
        <v>160</v>
      </c>
      <c r="P5" s="353" t="s">
        <v>159</v>
      </c>
      <c r="S5" s="519" t="s">
        <v>102</v>
      </c>
      <c r="T5" s="352" t="s">
        <v>96</v>
      </c>
      <c r="U5" s="353" t="s">
        <v>62</v>
      </c>
      <c r="V5" s="353" t="s">
        <v>107</v>
      </c>
      <c r="W5" s="353" t="s">
        <v>108</v>
      </c>
      <c r="X5" s="353" t="s">
        <v>109</v>
      </c>
      <c r="Y5" s="353" t="s">
        <v>40</v>
      </c>
      <c r="Z5" s="353" t="s">
        <v>55</v>
      </c>
      <c r="AA5" s="353" t="s">
        <v>95</v>
      </c>
      <c r="AB5" s="353" t="s">
        <v>94</v>
      </c>
      <c r="AC5" s="353" t="s">
        <v>39</v>
      </c>
      <c r="AD5" s="353" t="s">
        <v>54</v>
      </c>
      <c r="AE5" s="352" t="s">
        <v>148</v>
      </c>
      <c r="AF5" s="353" t="s">
        <v>149</v>
      </c>
      <c r="AG5" s="353" t="s">
        <v>160</v>
      </c>
      <c r="AH5" s="353" t="s">
        <v>159</v>
      </c>
      <c r="AI5" s="360"/>
      <c r="AJ5" s="360"/>
      <c r="AK5" s="360"/>
    </row>
    <row r="6" spans="1:39" x14ac:dyDescent="0.6">
      <c r="A6" s="353" t="s">
        <v>185</v>
      </c>
      <c r="B6" s="520">
        <v>23525</v>
      </c>
      <c r="C6" s="520">
        <v>22718</v>
      </c>
      <c r="D6" s="520">
        <v>3735</v>
      </c>
      <c r="E6" s="520">
        <v>22718</v>
      </c>
      <c r="F6" s="520">
        <v>22718</v>
      </c>
      <c r="G6" s="520">
        <v>22548</v>
      </c>
      <c r="H6" s="520">
        <v>7132</v>
      </c>
      <c r="I6" s="520">
        <v>27679</v>
      </c>
      <c r="J6" s="520">
        <v>27613</v>
      </c>
      <c r="K6" s="520">
        <v>38578</v>
      </c>
      <c r="L6" s="520">
        <v>3827</v>
      </c>
      <c r="M6" s="520">
        <v>24112</v>
      </c>
      <c r="N6" s="520">
        <v>24014</v>
      </c>
      <c r="O6" s="520">
        <f>B130</f>
        <v>24014</v>
      </c>
      <c r="P6" s="520">
        <f>B138</f>
        <v>30000</v>
      </c>
      <c r="S6" s="353" t="s">
        <v>185</v>
      </c>
      <c r="T6" s="375">
        <f>B6/B6</f>
        <v>1</v>
      </c>
      <c r="U6" s="375">
        <f t="shared" ref="U6:AF6" si="0">C6/C6</f>
        <v>1</v>
      </c>
      <c r="V6" s="375">
        <f t="shared" si="0"/>
        <v>1</v>
      </c>
      <c r="W6" s="375">
        <f t="shared" si="0"/>
        <v>1</v>
      </c>
      <c r="X6" s="375">
        <f t="shared" si="0"/>
        <v>1</v>
      </c>
      <c r="Y6" s="375">
        <f t="shared" si="0"/>
        <v>1</v>
      </c>
      <c r="Z6" s="375">
        <f t="shared" si="0"/>
        <v>1</v>
      </c>
      <c r="AA6" s="375">
        <f t="shared" si="0"/>
        <v>1</v>
      </c>
      <c r="AB6" s="375">
        <f t="shared" si="0"/>
        <v>1</v>
      </c>
      <c r="AC6" s="375">
        <f t="shared" si="0"/>
        <v>1</v>
      </c>
      <c r="AD6" s="375">
        <f t="shared" si="0"/>
        <v>1</v>
      </c>
      <c r="AE6" s="375">
        <f t="shared" si="0"/>
        <v>1</v>
      </c>
      <c r="AF6" s="375">
        <f t="shared" si="0"/>
        <v>1</v>
      </c>
      <c r="AG6" s="375">
        <f>AF6</f>
        <v>1</v>
      </c>
      <c r="AH6" s="375"/>
      <c r="AI6" s="360"/>
      <c r="AJ6" s="360"/>
      <c r="AK6" s="360"/>
    </row>
    <row r="7" spans="1:39" x14ac:dyDescent="0.6">
      <c r="A7" s="353" t="s">
        <v>186</v>
      </c>
      <c r="B7" s="520">
        <v>9491</v>
      </c>
      <c r="C7" s="520">
        <v>8642</v>
      </c>
      <c r="D7" s="520">
        <v>1571</v>
      </c>
      <c r="E7" s="520">
        <v>8642</v>
      </c>
      <c r="F7" s="520">
        <v>8642</v>
      </c>
      <c r="G7" s="520">
        <v>9185</v>
      </c>
      <c r="H7" s="520">
        <v>3066</v>
      </c>
      <c r="I7" s="520">
        <v>10556</v>
      </c>
      <c r="J7" s="520">
        <v>10556</v>
      </c>
      <c r="K7" s="520">
        <v>11394</v>
      </c>
      <c r="L7" s="520">
        <v>1330</v>
      </c>
      <c r="M7" s="520">
        <v>8887</v>
      </c>
      <c r="N7" s="520">
        <v>8887</v>
      </c>
      <c r="O7" s="520">
        <f>$O$6*AG7</f>
        <v>8887</v>
      </c>
      <c r="P7" s="520">
        <f>$P$6*AH7</f>
        <v>11417.766694184327</v>
      </c>
      <c r="S7" s="353" t="s">
        <v>186</v>
      </c>
      <c r="T7" s="375">
        <f>B7/B6</f>
        <v>0.4034431455897981</v>
      </c>
      <c r="U7" s="375">
        <f t="shared" ref="U7:AF7" si="1">C7/C6</f>
        <v>0.38040320450743903</v>
      </c>
      <c r="V7" s="375">
        <f t="shared" si="1"/>
        <v>0.420615796519411</v>
      </c>
      <c r="W7" s="375">
        <f t="shared" si="1"/>
        <v>0.38040320450743903</v>
      </c>
      <c r="X7" s="375">
        <f t="shared" si="1"/>
        <v>0.38040320450743903</v>
      </c>
      <c r="Y7" s="375">
        <f t="shared" si="1"/>
        <v>0.40735320205783215</v>
      </c>
      <c r="Z7" s="375">
        <f t="shared" si="1"/>
        <v>0.42989343802579921</v>
      </c>
      <c r="AA7" s="375">
        <f t="shared" si="1"/>
        <v>0.38137215939882219</v>
      </c>
      <c r="AB7" s="375">
        <f t="shared" si="1"/>
        <v>0.38228370694962516</v>
      </c>
      <c r="AC7" s="375">
        <f t="shared" si="1"/>
        <v>0.29534968116543109</v>
      </c>
      <c r="AD7" s="375">
        <f t="shared" si="1"/>
        <v>0.34753070290044419</v>
      </c>
      <c r="AE7" s="375">
        <f t="shared" si="1"/>
        <v>0.36857166556071663</v>
      </c>
      <c r="AF7" s="375">
        <f t="shared" si="1"/>
        <v>0.37007578912301159</v>
      </c>
      <c r="AG7" s="375">
        <f t="shared" ref="AG7:AG9" si="2">AF7</f>
        <v>0.37007578912301159</v>
      </c>
      <c r="AH7" s="375">
        <f>AVERAGE(T7:AF7)</f>
        <v>0.38059222313947755</v>
      </c>
      <c r="AI7" s="366"/>
      <c r="AJ7" s="366"/>
      <c r="AK7" s="365"/>
      <c r="AL7" s="388"/>
      <c r="AM7" s="388"/>
    </row>
    <row r="8" spans="1:39" x14ac:dyDescent="0.6">
      <c r="A8" s="353" t="s">
        <v>187</v>
      </c>
      <c r="B8" s="520">
        <v>2766</v>
      </c>
      <c r="C8" s="520">
        <v>1152</v>
      </c>
      <c r="D8" s="520">
        <v>228</v>
      </c>
      <c r="E8" s="520">
        <v>1152</v>
      </c>
      <c r="F8" s="520">
        <v>1152</v>
      </c>
      <c r="G8" s="520">
        <v>1152</v>
      </c>
      <c r="H8" s="520">
        <v>230</v>
      </c>
      <c r="I8" s="520">
        <v>1169</v>
      </c>
      <c r="J8" s="520">
        <v>1169</v>
      </c>
      <c r="K8" s="520">
        <v>1279</v>
      </c>
      <c r="L8" s="520">
        <v>170</v>
      </c>
      <c r="M8" s="520">
        <v>1782</v>
      </c>
      <c r="N8" s="520">
        <v>1782</v>
      </c>
      <c r="O8" s="520">
        <f t="shared" ref="O8:O9" si="3">$O$6*AG8</f>
        <v>1782</v>
      </c>
      <c r="P8" s="520">
        <f t="shared" ref="P8:P9" si="4">$P$6*AH8</f>
        <v>1671.561419388418</v>
      </c>
      <c r="S8" s="353" t="s">
        <v>187</v>
      </c>
      <c r="T8" s="375">
        <f>B8/B6</f>
        <v>0.11757704569606801</v>
      </c>
      <c r="U8" s="375">
        <f t="shared" ref="U8:AF8" si="5">C8/C6</f>
        <v>5.070868914517123E-2</v>
      </c>
      <c r="V8" s="375">
        <f t="shared" si="5"/>
        <v>6.1044176706827311E-2</v>
      </c>
      <c r="W8" s="375">
        <f t="shared" si="5"/>
        <v>5.070868914517123E-2</v>
      </c>
      <c r="X8" s="375">
        <f t="shared" si="5"/>
        <v>5.070868914517123E-2</v>
      </c>
      <c r="Y8" s="375">
        <f t="shared" si="5"/>
        <v>5.1091005854177751E-2</v>
      </c>
      <c r="Z8" s="375">
        <f t="shared" si="5"/>
        <v>3.224901850813236E-2</v>
      </c>
      <c r="AA8" s="375">
        <f t="shared" si="5"/>
        <v>4.2234184761010152E-2</v>
      </c>
      <c r="AB8" s="375">
        <f t="shared" si="5"/>
        <v>4.2335132003042043E-2</v>
      </c>
      <c r="AC8" s="375">
        <f t="shared" si="5"/>
        <v>3.3153610866296854E-2</v>
      </c>
      <c r="AD8" s="375">
        <f t="shared" si="5"/>
        <v>4.4421217663966554E-2</v>
      </c>
      <c r="AE8" s="375">
        <f t="shared" si="5"/>
        <v>7.3905109489051102E-2</v>
      </c>
      <c r="AF8" s="375">
        <f t="shared" si="5"/>
        <v>7.4206712750895312E-2</v>
      </c>
      <c r="AG8" s="375">
        <f t="shared" si="2"/>
        <v>7.4206712750895312E-2</v>
      </c>
      <c r="AH8" s="375">
        <f t="shared" ref="AH8:AH9" si="6">AVERAGE(T8:AF8)</f>
        <v>5.5718713979613935E-2</v>
      </c>
      <c r="AI8" s="366"/>
      <c r="AJ8" s="365"/>
      <c r="AK8" s="365"/>
      <c r="AL8" s="388"/>
      <c r="AM8" s="388"/>
    </row>
    <row r="9" spans="1:39" x14ac:dyDescent="0.6">
      <c r="A9" s="353" t="s">
        <v>153</v>
      </c>
      <c r="B9" s="520">
        <v>7047</v>
      </c>
      <c r="C9" s="520">
        <v>6558</v>
      </c>
      <c r="D9" s="520">
        <v>1157</v>
      </c>
      <c r="E9" s="520">
        <v>6558</v>
      </c>
      <c r="F9" s="520">
        <v>6558</v>
      </c>
      <c r="G9" s="520">
        <v>7865</v>
      </c>
      <c r="H9" s="520">
        <v>1686</v>
      </c>
      <c r="I9" s="520">
        <v>5997</v>
      </c>
      <c r="J9" s="520">
        <v>5997</v>
      </c>
      <c r="K9" s="520">
        <v>7685</v>
      </c>
      <c r="L9" s="520">
        <v>629</v>
      </c>
      <c r="M9" s="520">
        <v>5252</v>
      </c>
      <c r="N9" s="520">
        <v>6872</v>
      </c>
      <c r="O9" s="520">
        <f t="shared" si="3"/>
        <v>6872</v>
      </c>
      <c r="P9" s="520">
        <f t="shared" si="4"/>
        <v>7758.3173139415539</v>
      </c>
      <c r="S9" s="353" t="s">
        <v>153</v>
      </c>
      <c r="T9" s="375">
        <f>B9/B6</f>
        <v>0.29955366631243358</v>
      </c>
      <c r="U9" s="375">
        <f t="shared" ref="U9:AF9" si="7">C9/C6</f>
        <v>0.28866977726912579</v>
      </c>
      <c r="V9" s="375">
        <f t="shared" si="7"/>
        <v>0.30977242302543506</v>
      </c>
      <c r="W9" s="375">
        <f t="shared" si="7"/>
        <v>0.28866977726912579</v>
      </c>
      <c r="X9" s="375">
        <f t="shared" si="7"/>
        <v>0.28866977726912579</v>
      </c>
      <c r="Y9" s="375">
        <f t="shared" si="7"/>
        <v>0.34881142451658681</v>
      </c>
      <c r="Z9" s="375">
        <f t="shared" si="7"/>
        <v>0.23639932697700505</v>
      </c>
      <c r="AA9" s="375">
        <f t="shared" si="7"/>
        <v>0.21666245167816756</v>
      </c>
      <c r="AB9" s="375">
        <f t="shared" si="7"/>
        <v>0.21718031362039619</v>
      </c>
      <c r="AC9" s="375">
        <f t="shared" si="7"/>
        <v>0.19920680180413708</v>
      </c>
      <c r="AD9" s="375">
        <f t="shared" si="7"/>
        <v>0.16435850535667626</v>
      </c>
      <c r="AE9" s="375">
        <f t="shared" si="7"/>
        <v>0.21781685467816855</v>
      </c>
      <c r="AF9" s="375">
        <f t="shared" si="7"/>
        <v>0.28616640293162321</v>
      </c>
      <c r="AG9" s="375">
        <f t="shared" si="2"/>
        <v>0.28616640293162321</v>
      </c>
      <c r="AH9" s="375">
        <f t="shared" si="6"/>
        <v>0.25861057713138513</v>
      </c>
      <c r="AI9" s="366"/>
      <c r="AJ9" s="365"/>
      <c r="AK9" s="365"/>
      <c r="AL9" s="388"/>
      <c r="AM9" s="388"/>
    </row>
    <row r="10" spans="1:39" x14ac:dyDescent="0.6">
      <c r="B10" s="521"/>
      <c r="C10" s="521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  <c r="O10" s="521"/>
      <c r="P10" s="521"/>
      <c r="S10" s="360"/>
      <c r="T10" s="360"/>
      <c r="U10" s="365"/>
      <c r="V10" s="366"/>
      <c r="W10" s="366"/>
      <c r="X10" s="365"/>
      <c r="Y10" s="364"/>
      <c r="Z10" s="365"/>
      <c r="AA10" s="365"/>
      <c r="AB10" s="366"/>
      <c r="AC10" s="365"/>
      <c r="AD10" s="364"/>
      <c r="AE10" s="365"/>
      <c r="AF10" s="365"/>
      <c r="AG10" s="365"/>
      <c r="AH10" s="366"/>
      <c r="AI10" s="366"/>
      <c r="AJ10" s="365"/>
      <c r="AK10" s="365"/>
      <c r="AL10" s="388"/>
      <c r="AM10" s="388"/>
    </row>
    <row r="11" spans="1:39" x14ac:dyDescent="0.6">
      <c r="S11" s="360"/>
      <c r="T11" s="360"/>
      <c r="U11" s="371"/>
      <c r="V11" s="371"/>
      <c r="W11" s="360"/>
      <c r="X11" s="360"/>
      <c r="Y11" s="364"/>
      <c r="Z11" s="365"/>
      <c r="AA11" s="365"/>
      <c r="AB11" s="365"/>
      <c r="AC11" s="365"/>
      <c r="AD11" s="364"/>
      <c r="AE11" s="365"/>
      <c r="AF11" s="365"/>
      <c r="AG11" s="365"/>
      <c r="AH11" s="366"/>
      <c r="AI11" s="366"/>
      <c r="AJ11" s="365"/>
      <c r="AK11" s="365"/>
      <c r="AL11" s="388"/>
      <c r="AM11" s="388"/>
    </row>
    <row r="12" spans="1:39" x14ac:dyDescent="0.6">
      <c r="S12" s="360"/>
      <c r="T12" s="360"/>
      <c r="U12" s="371"/>
      <c r="V12" s="371"/>
      <c r="W12" s="360"/>
      <c r="X12" s="371"/>
      <c r="Y12" s="364"/>
      <c r="Z12" s="365"/>
      <c r="AA12" s="365"/>
      <c r="AB12" s="365"/>
      <c r="AC12" s="365"/>
      <c r="AD12" s="364"/>
      <c r="AE12" s="365"/>
      <c r="AF12" s="365"/>
      <c r="AG12" s="365"/>
      <c r="AH12" s="365"/>
      <c r="AI12" s="365"/>
      <c r="AJ12" s="360"/>
      <c r="AK12" s="360"/>
    </row>
    <row r="13" spans="1:39" x14ac:dyDescent="0.6">
      <c r="A13" s="353"/>
      <c r="B13" s="353" t="s">
        <v>174</v>
      </c>
      <c r="C13" s="353" t="s">
        <v>173</v>
      </c>
      <c r="D13" s="353" t="s">
        <v>172</v>
      </c>
      <c r="E13" s="353" t="s">
        <v>171</v>
      </c>
      <c r="F13" s="353" t="s">
        <v>170</v>
      </c>
      <c r="G13" s="353" t="s">
        <v>169</v>
      </c>
      <c r="H13" s="353" t="s">
        <v>168</v>
      </c>
      <c r="I13" s="353" t="s">
        <v>167</v>
      </c>
      <c r="J13" s="353" t="s">
        <v>166</v>
      </c>
      <c r="K13" s="353" t="s">
        <v>165</v>
      </c>
      <c r="L13" s="353" t="s">
        <v>164</v>
      </c>
      <c r="M13" s="353" t="s">
        <v>163</v>
      </c>
      <c r="N13" s="353" t="s">
        <v>162</v>
      </c>
      <c r="O13" s="353" t="s">
        <v>146</v>
      </c>
      <c r="P13" s="353" t="s">
        <v>161</v>
      </c>
      <c r="S13" s="353"/>
      <c r="T13" s="353" t="s">
        <v>174</v>
      </c>
      <c r="U13" s="353" t="s">
        <v>173</v>
      </c>
      <c r="V13" s="353" t="s">
        <v>172</v>
      </c>
      <c r="W13" s="353" t="s">
        <v>171</v>
      </c>
      <c r="X13" s="353" t="s">
        <v>170</v>
      </c>
      <c r="Y13" s="353" t="s">
        <v>169</v>
      </c>
      <c r="Z13" s="353" t="s">
        <v>168</v>
      </c>
      <c r="AA13" s="353" t="s">
        <v>167</v>
      </c>
      <c r="AB13" s="353" t="s">
        <v>166</v>
      </c>
      <c r="AC13" s="353" t="s">
        <v>165</v>
      </c>
      <c r="AD13" s="353" t="s">
        <v>164</v>
      </c>
      <c r="AE13" s="353" t="s">
        <v>163</v>
      </c>
      <c r="AF13" s="353" t="s">
        <v>162</v>
      </c>
      <c r="AG13" s="353" t="s">
        <v>146</v>
      </c>
      <c r="AH13" s="353" t="s">
        <v>161</v>
      </c>
      <c r="AI13" s="366"/>
      <c r="AJ13" s="360"/>
      <c r="AK13" s="360"/>
    </row>
    <row r="14" spans="1:39" x14ac:dyDescent="0.6">
      <c r="A14" s="519" t="s">
        <v>105</v>
      </c>
      <c r="B14" s="352" t="s">
        <v>96</v>
      </c>
      <c r="C14" s="353" t="s">
        <v>62</v>
      </c>
      <c r="D14" s="353" t="s">
        <v>107</v>
      </c>
      <c r="E14" s="353" t="s">
        <v>108</v>
      </c>
      <c r="F14" s="353" t="s">
        <v>109</v>
      </c>
      <c r="G14" s="353" t="s">
        <v>40</v>
      </c>
      <c r="H14" s="353" t="s">
        <v>55</v>
      </c>
      <c r="I14" s="353" t="s">
        <v>95</v>
      </c>
      <c r="J14" s="353" t="s">
        <v>94</v>
      </c>
      <c r="K14" s="353" t="s">
        <v>39</v>
      </c>
      <c r="L14" s="353" t="s">
        <v>54</v>
      </c>
      <c r="M14" s="352" t="s">
        <v>148</v>
      </c>
      <c r="N14" s="353" t="s">
        <v>149</v>
      </c>
      <c r="O14" s="353" t="s">
        <v>160</v>
      </c>
      <c r="P14" s="353" t="s">
        <v>159</v>
      </c>
      <c r="S14" s="519" t="s">
        <v>105</v>
      </c>
      <c r="T14" s="352" t="s">
        <v>96</v>
      </c>
      <c r="U14" s="353" t="s">
        <v>62</v>
      </c>
      <c r="V14" s="353" t="s">
        <v>107</v>
      </c>
      <c r="W14" s="353" t="s">
        <v>108</v>
      </c>
      <c r="X14" s="353" t="s">
        <v>109</v>
      </c>
      <c r="Y14" s="353" t="s">
        <v>40</v>
      </c>
      <c r="Z14" s="353" t="s">
        <v>55</v>
      </c>
      <c r="AA14" s="353" t="s">
        <v>95</v>
      </c>
      <c r="AB14" s="353" t="s">
        <v>94</v>
      </c>
      <c r="AC14" s="353" t="s">
        <v>39</v>
      </c>
      <c r="AD14" s="353" t="s">
        <v>54</v>
      </c>
      <c r="AE14" s="352" t="s">
        <v>148</v>
      </c>
      <c r="AF14" s="353" t="s">
        <v>149</v>
      </c>
      <c r="AG14" s="353" t="s">
        <v>160</v>
      </c>
      <c r="AH14" s="353" t="s">
        <v>159</v>
      </c>
      <c r="AI14" s="360"/>
      <c r="AJ14" s="360"/>
      <c r="AK14" s="360"/>
    </row>
    <row r="15" spans="1:39" x14ac:dyDescent="0.6">
      <c r="A15" s="353" t="s">
        <v>185</v>
      </c>
      <c r="B15" s="520">
        <v>9208</v>
      </c>
      <c r="C15" s="520">
        <v>4784</v>
      </c>
      <c r="D15" s="520">
        <v>588</v>
      </c>
      <c r="E15" s="520">
        <v>4784</v>
      </c>
      <c r="F15" s="520">
        <v>15292</v>
      </c>
      <c r="G15" s="520">
        <v>22651</v>
      </c>
      <c r="H15" s="520">
        <v>0</v>
      </c>
      <c r="I15" s="520">
        <v>6313</v>
      </c>
      <c r="J15" s="520">
        <v>14670</v>
      </c>
      <c r="K15" s="520">
        <v>28698</v>
      </c>
      <c r="L15" s="520">
        <v>9727</v>
      </c>
      <c r="M15" s="520">
        <v>14297</v>
      </c>
      <c r="N15" s="520">
        <v>28413</v>
      </c>
      <c r="O15" s="520">
        <f>O6*AG15</f>
        <v>28412.999999999996</v>
      </c>
      <c r="P15" s="520">
        <f>P6*AH15</f>
        <v>32816.292622544599</v>
      </c>
      <c r="S15" s="353" t="s">
        <v>185</v>
      </c>
      <c r="T15" s="375">
        <f>B15/B6</f>
        <v>0.39141339001062697</v>
      </c>
      <c r="U15" s="375">
        <f t="shared" ref="U15:AF18" si="8">C15/C6</f>
        <v>0.21058191742230831</v>
      </c>
      <c r="V15" s="375">
        <f t="shared" si="8"/>
        <v>0.157429718875502</v>
      </c>
      <c r="W15" s="375">
        <f t="shared" si="8"/>
        <v>0.21058191742230831</v>
      </c>
      <c r="X15" s="375">
        <f t="shared" si="8"/>
        <v>0.6731226340346862</v>
      </c>
      <c r="Y15" s="375">
        <f t="shared" si="8"/>
        <v>1.0045680326414759</v>
      </c>
      <c r="Z15" s="375">
        <f t="shared" si="8"/>
        <v>0</v>
      </c>
      <c r="AA15" s="375">
        <f t="shared" si="8"/>
        <v>0.22807904909859461</v>
      </c>
      <c r="AB15" s="375">
        <f t="shared" si="8"/>
        <v>0.53127150255314526</v>
      </c>
      <c r="AC15" s="375">
        <f t="shared" si="8"/>
        <v>0.74389548447301568</v>
      </c>
      <c r="AD15" s="375">
        <f t="shared" si="8"/>
        <v>2.5416775542200156</v>
      </c>
      <c r="AE15" s="375">
        <f t="shared" si="8"/>
        <v>0.59294127405441277</v>
      </c>
      <c r="AF15" s="375">
        <f t="shared" si="8"/>
        <v>1.1831848088614974</v>
      </c>
      <c r="AG15" s="375">
        <f>AF15</f>
        <v>1.1831848088614974</v>
      </c>
      <c r="AH15" s="375">
        <f>AVERAGE(AG15,Y15)</f>
        <v>1.0938764207514866</v>
      </c>
      <c r="AI15" s="366"/>
      <c r="AJ15" s="360"/>
      <c r="AK15" s="360"/>
    </row>
    <row r="16" spans="1:39" x14ac:dyDescent="0.6">
      <c r="A16" s="353" t="s">
        <v>186</v>
      </c>
      <c r="B16" s="520">
        <v>4230</v>
      </c>
      <c r="C16" s="520">
        <v>8180</v>
      </c>
      <c r="D16" s="520">
        <v>809</v>
      </c>
      <c r="E16" s="520">
        <v>7426</v>
      </c>
      <c r="F16" s="520">
        <v>10947</v>
      </c>
      <c r="G16" s="520">
        <v>13634</v>
      </c>
      <c r="H16" s="520">
        <v>137</v>
      </c>
      <c r="I16" s="520">
        <v>3323</v>
      </c>
      <c r="J16" s="520">
        <v>5575</v>
      </c>
      <c r="K16" s="520">
        <v>10178</v>
      </c>
      <c r="L16" s="520">
        <v>602</v>
      </c>
      <c r="M16" s="520">
        <v>7639</v>
      </c>
      <c r="N16" s="520">
        <v>8361</v>
      </c>
      <c r="O16" s="520">
        <f t="shared" ref="O16:P18" si="9">O7*AG16</f>
        <v>8361</v>
      </c>
      <c r="P16" s="520">
        <f t="shared" si="9"/>
        <v>10757.116047722297</v>
      </c>
      <c r="S16" s="353" t="s">
        <v>186</v>
      </c>
      <c r="T16" s="375">
        <f t="shared" ref="T16:T18" si="10">B16/B7</f>
        <v>0.44568538615530501</v>
      </c>
      <c r="U16" s="375">
        <f t="shared" si="8"/>
        <v>0.94654015274242076</v>
      </c>
      <c r="V16" s="375">
        <f t="shared" si="8"/>
        <v>0.51495862507956713</v>
      </c>
      <c r="W16" s="375">
        <f t="shared" si="8"/>
        <v>0.85929183059476977</v>
      </c>
      <c r="X16" s="375">
        <f t="shared" si="8"/>
        <v>1.2667206665123814</v>
      </c>
      <c r="Y16" s="375">
        <f t="shared" si="8"/>
        <v>1.4843767011431681</v>
      </c>
      <c r="Z16" s="375">
        <f t="shared" si="8"/>
        <v>4.4683626875407695E-2</v>
      </c>
      <c r="AA16" s="375">
        <f t="shared" si="8"/>
        <v>0.31479727169382343</v>
      </c>
      <c r="AB16" s="375">
        <f t="shared" si="8"/>
        <v>0.52813565744600233</v>
      </c>
      <c r="AC16" s="375">
        <f t="shared" si="8"/>
        <v>0.89327716341934349</v>
      </c>
      <c r="AD16" s="375">
        <f t="shared" si="8"/>
        <v>0.45263157894736844</v>
      </c>
      <c r="AE16" s="375">
        <f t="shared" si="8"/>
        <v>0.859570158658715</v>
      </c>
      <c r="AF16" s="375">
        <f t="shared" si="8"/>
        <v>0.94081242263981091</v>
      </c>
      <c r="AG16" s="375">
        <f t="shared" ref="AG16:AG18" si="11">AF16</f>
        <v>0.94081242263981091</v>
      </c>
      <c r="AH16" s="375">
        <f>AVERAGE(AF16,AC16,Y16,T16:U16)</f>
        <v>0.94213836522000971</v>
      </c>
      <c r="AI16" s="360"/>
      <c r="AJ16" s="360"/>
      <c r="AK16" s="360"/>
    </row>
    <row r="17" spans="1:37" x14ac:dyDescent="0.6">
      <c r="A17" s="353" t="s">
        <v>187</v>
      </c>
      <c r="B17" s="520">
        <v>2766</v>
      </c>
      <c r="C17" s="520">
        <v>952</v>
      </c>
      <c r="D17" s="520">
        <v>164</v>
      </c>
      <c r="E17" s="520">
        <v>952</v>
      </c>
      <c r="F17" s="520">
        <v>1152</v>
      </c>
      <c r="G17" s="520">
        <v>1152</v>
      </c>
      <c r="H17" s="520">
        <v>0</v>
      </c>
      <c r="I17" s="520">
        <v>1169</v>
      </c>
      <c r="J17" s="520">
        <v>1169</v>
      </c>
      <c r="K17" s="520">
        <v>1279</v>
      </c>
      <c r="L17" s="520">
        <v>170</v>
      </c>
      <c r="M17" s="520">
        <v>1782</v>
      </c>
      <c r="N17" s="520">
        <v>1782</v>
      </c>
      <c r="O17" s="520">
        <f t="shared" si="9"/>
        <v>1782</v>
      </c>
      <c r="P17" s="520">
        <f t="shared" si="9"/>
        <v>1613.5210923263203</v>
      </c>
      <c r="S17" s="353" t="s">
        <v>187</v>
      </c>
      <c r="T17" s="375">
        <f t="shared" si="10"/>
        <v>1</v>
      </c>
      <c r="U17" s="375">
        <f t="shared" si="8"/>
        <v>0.82638888888888884</v>
      </c>
      <c r="V17" s="375">
        <f t="shared" si="8"/>
        <v>0.7192982456140351</v>
      </c>
      <c r="W17" s="375">
        <f t="shared" si="8"/>
        <v>0.82638888888888884</v>
      </c>
      <c r="X17" s="375">
        <f t="shared" si="8"/>
        <v>1</v>
      </c>
      <c r="Y17" s="375">
        <f t="shared" si="8"/>
        <v>1</v>
      </c>
      <c r="Z17" s="375">
        <f t="shared" si="8"/>
        <v>0</v>
      </c>
      <c r="AA17" s="375">
        <f t="shared" si="8"/>
        <v>1</v>
      </c>
      <c r="AB17" s="375">
        <f t="shared" si="8"/>
        <v>1</v>
      </c>
      <c r="AC17" s="375">
        <f t="shared" si="8"/>
        <v>1</v>
      </c>
      <c r="AD17" s="375">
        <f t="shared" si="8"/>
        <v>1</v>
      </c>
      <c r="AE17" s="375">
        <f t="shared" si="8"/>
        <v>1</v>
      </c>
      <c r="AF17" s="375">
        <f t="shared" si="8"/>
        <v>1</v>
      </c>
      <c r="AG17" s="375">
        <f t="shared" si="11"/>
        <v>1</v>
      </c>
      <c r="AH17" s="375">
        <f>AVERAGE(AF17,AC17,Y17,T17:U17)</f>
        <v>0.9652777777777779</v>
      </c>
      <c r="AI17" s="360"/>
      <c r="AJ17" s="360"/>
      <c r="AK17" s="360"/>
    </row>
    <row r="18" spans="1:37" x14ac:dyDescent="0.6">
      <c r="A18" s="353" t="s">
        <v>153</v>
      </c>
      <c r="B18" s="520">
        <v>2262</v>
      </c>
      <c r="C18" s="520">
        <v>1011</v>
      </c>
      <c r="D18" s="520">
        <v>0</v>
      </c>
      <c r="E18" s="520">
        <v>1011</v>
      </c>
      <c r="F18" s="520">
        <v>1135</v>
      </c>
      <c r="G18" s="520">
        <v>5645</v>
      </c>
      <c r="H18" s="520">
        <v>526</v>
      </c>
      <c r="I18" s="520">
        <v>1075</v>
      </c>
      <c r="J18" s="520">
        <v>2621</v>
      </c>
      <c r="K18" s="520">
        <v>7701</v>
      </c>
      <c r="L18" s="520">
        <v>32</v>
      </c>
      <c r="M18" s="520">
        <v>1701</v>
      </c>
      <c r="N18" s="520">
        <v>7287</v>
      </c>
      <c r="O18" s="520">
        <f t="shared" si="9"/>
        <v>7286.9999999999991</v>
      </c>
      <c r="P18" s="520">
        <f t="shared" si="9"/>
        <v>5051.2220588176078</v>
      </c>
      <c r="S18" s="353" t="s">
        <v>153</v>
      </c>
      <c r="T18" s="375">
        <f t="shared" si="10"/>
        <v>0.32098765432098764</v>
      </c>
      <c r="U18" s="375">
        <f t="shared" si="8"/>
        <v>0.15416285452881975</v>
      </c>
      <c r="V18" s="375">
        <f t="shared" si="8"/>
        <v>0</v>
      </c>
      <c r="W18" s="375">
        <f t="shared" si="8"/>
        <v>0.15416285452881975</v>
      </c>
      <c r="X18" s="375">
        <f t="shared" si="8"/>
        <v>0.17307105824946631</v>
      </c>
      <c r="Y18" s="375">
        <f t="shared" si="8"/>
        <v>0.7177368086458995</v>
      </c>
      <c r="Z18" s="375">
        <f t="shared" si="8"/>
        <v>0.31198102016607354</v>
      </c>
      <c r="AA18" s="375">
        <f t="shared" si="8"/>
        <v>0.17925629481407371</v>
      </c>
      <c r="AB18" s="375">
        <f t="shared" si="8"/>
        <v>0.4370518592629648</v>
      </c>
      <c r="AC18" s="375">
        <f t="shared" si="8"/>
        <v>1.0020819778789851</v>
      </c>
      <c r="AD18" s="375">
        <f t="shared" si="8"/>
        <v>5.0874403815580289E-2</v>
      </c>
      <c r="AE18" s="375">
        <f t="shared" si="8"/>
        <v>0.3238766184310739</v>
      </c>
      <c r="AF18" s="375">
        <f t="shared" si="8"/>
        <v>1.0603899883585564</v>
      </c>
      <c r="AG18" s="375">
        <f t="shared" si="11"/>
        <v>1.0603899883585564</v>
      </c>
      <c r="AH18" s="375">
        <f>AVERAGE(AF18,AC18,Y18,T18:U18)</f>
        <v>0.65107185674664969</v>
      </c>
      <c r="AI18" s="366"/>
      <c r="AJ18" s="360"/>
      <c r="AK18" s="360"/>
    </row>
    <row r="19" spans="1:37" x14ac:dyDescent="0.6">
      <c r="B19" s="521"/>
      <c r="C19" s="521"/>
      <c r="D19" s="521">
        <v>0</v>
      </c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</row>
    <row r="20" spans="1:37" ht="23.25" thickBot="1" x14ac:dyDescent="0.65"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</row>
    <row r="21" spans="1:37" x14ac:dyDescent="0.6">
      <c r="S21" s="415" t="s">
        <v>58</v>
      </c>
      <c r="T21" s="350" t="s">
        <v>112</v>
      </c>
      <c r="U21" s="350" t="s">
        <v>113</v>
      </c>
      <c r="V21" s="419" t="s">
        <v>2550</v>
      </c>
      <c r="W21" s="419" t="s">
        <v>2584</v>
      </c>
      <c r="X21" s="366"/>
      <c r="Y21" s="360"/>
      <c r="Z21" s="366"/>
      <c r="AA21" s="366"/>
      <c r="AB21" s="366"/>
      <c r="AC21" s="366"/>
      <c r="AD21" s="360"/>
      <c r="AE21" s="366"/>
      <c r="AF21" s="366"/>
      <c r="AG21" s="366"/>
      <c r="AH21" s="366"/>
      <c r="AI21" s="366"/>
      <c r="AJ21" s="360"/>
      <c r="AK21" s="360"/>
    </row>
    <row r="22" spans="1:37" ht="25.5" x14ac:dyDescent="0.6">
      <c r="A22" s="353"/>
      <c r="B22" s="353" t="s">
        <v>174</v>
      </c>
      <c r="C22" s="353" t="s">
        <v>173</v>
      </c>
      <c r="D22" s="353" t="s">
        <v>172</v>
      </c>
      <c r="E22" s="353" t="s">
        <v>171</v>
      </c>
      <c r="F22" s="353" t="s">
        <v>170</v>
      </c>
      <c r="G22" s="353" t="s">
        <v>169</v>
      </c>
      <c r="H22" s="353" t="s">
        <v>168</v>
      </c>
      <c r="I22" s="353" t="s">
        <v>167</v>
      </c>
      <c r="J22" s="353" t="s">
        <v>166</v>
      </c>
      <c r="K22" s="353" t="s">
        <v>165</v>
      </c>
      <c r="L22" s="353" t="s">
        <v>164</v>
      </c>
      <c r="M22" s="353" t="s">
        <v>163</v>
      </c>
      <c r="N22" s="353" t="s">
        <v>162</v>
      </c>
      <c r="O22" s="353" t="s">
        <v>146</v>
      </c>
      <c r="P22" s="353" t="s">
        <v>161</v>
      </c>
      <c r="S22" s="416" t="s">
        <v>156</v>
      </c>
      <c r="T22" s="367">
        <v>3000</v>
      </c>
      <c r="U22" s="367"/>
      <c r="V22" s="420" t="s">
        <v>2582</v>
      </c>
      <c r="W22" s="376">
        <v>102</v>
      </c>
      <c r="X22" s="366"/>
      <c r="Y22" s="360"/>
      <c r="Z22" s="366"/>
      <c r="AA22" s="366"/>
      <c r="AB22" s="366"/>
      <c r="AC22" s="366"/>
      <c r="AD22" s="360"/>
      <c r="AE22" s="366"/>
      <c r="AF22" s="366"/>
      <c r="AG22" s="366"/>
      <c r="AH22" s="366"/>
      <c r="AI22" s="366"/>
      <c r="AJ22" s="360"/>
      <c r="AK22" s="360"/>
    </row>
    <row r="23" spans="1:37" ht="26.25" thickBot="1" x14ac:dyDescent="0.65">
      <c r="A23" s="519" t="s">
        <v>99</v>
      </c>
      <c r="B23" s="352" t="s">
        <v>96</v>
      </c>
      <c r="C23" s="353" t="s">
        <v>62</v>
      </c>
      <c r="D23" s="353" t="s">
        <v>107</v>
      </c>
      <c r="E23" s="353" t="s">
        <v>108</v>
      </c>
      <c r="F23" s="353" t="s">
        <v>109</v>
      </c>
      <c r="G23" s="353" t="s">
        <v>40</v>
      </c>
      <c r="H23" s="353" t="s">
        <v>55</v>
      </c>
      <c r="I23" s="353" t="s">
        <v>95</v>
      </c>
      <c r="J23" s="353" t="s">
        <v>94</v>
      </c>
      <c r="K23" s="353" t="s">
        <v>39</v>
      </c>
      <c r="L23" s="353" t="s">
        <v>54</v>
      </c>
      <c r="M23" s="352" t="s">
        <v>148</v>
      </c>
      <c r="N23" s="353" t="s">
        <v>149</v>
      </c>
      <c r="O23" s="353" t="s">
        <v>160</v>
      </c>
      <c r="P23" s="353" t="s">
        <v>159</v>
      </c>
      <c r="S23" s="417" t="s">
        <v>157</v>
      </c>
      <c r="T23" s="379"/>
      <c r="U23" s="379"/>
      <c r="V23" s="421" t="s">
        <v>2583</v>
      </c>
      <c r="W23" s="381" t="s">
        <v>2585</v>
      </c>
      <c r="X23" s="371"/>
      <c r="Y23" s="360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0"/>
      <c r="AK23" s="360"/>
    </row>
    <row r="24" spans="1:37" x14ac:dyDescent="0.6">
      <c r="A24" s="353" t="s">
        <v>185</v>
      </c>
      <c r="B24" s="520">
        <v>211195</v>
      </c>
      <c r="C24" s="520">
        <v>121790</v>
      </c>
      <c r="D24" s="520">
        <v>0</v>
      </c>
      <c r="E24" s="520">
        <v>121790</v>
      </c>
      <c r="F24" s="520">
        <v>391463</v>
      </c>
      <c r="G24" s="520">
        <v>578303</v>
      </c>
      <c r="H24" s="520">
        <v>15297</v>
      </c>
      <c r="I24" s="520">
        <v>171157</v>
      </c>
      <c r="J24" s="520">
        <v>398517</v>
      </c>
      <c r="K24" s="520">
        <v>776639</v>
      </c>
      <c r="L24" s="520">
        <v>242153</v>
      </c>
      <c r="M24" s="520">
        <v>374979</v>
      </c>
      <c r="N24" s="520">
        <v>857644</v>
      </c>
      <c r="O24" s="520">
        <f>O15*O33/1000000</f>
        <v>1051280.9999999998</v>
      </c>
      <c r="P24" s="520">
        <f>P15*P33/1000000</f>
        <v>1329059.8512130561</v>
      </c>
      <c r="S24" s="360"/>
      <c r="T24" s="360"/>
      <c r="U24" s="371"/>
      <c r="V24" s="366"/>
      <c r="W24" s="366"/>
      <c r="X24" s="371"/>
      <c r="Y24" s="360"/>
      <c r="Z24" s="365"/>
      <c r="AA24" s="365"/>
      <c r="AB24" s="365"/>
      <c r="AC24" s="365"/>
      <c r="AD24" s="360"/>
      <c r="AE24" s="365"/>
      <c r="AF24" s="365"/>
      <c r="AG24" s="365"/>
      <c r="AH24" s="365"/>
      <c r="AI24" s="366"/>
      <c r="AJ24" s="360"/>
      <c r="AK24" s="360"/>
    </row>
    <row r="25" spans="1:37" x14ac:dyDescent="0.6">
      <c r="A25" s="353" t="s">
        <v>186</v>
      </c>
      <c r="B25" s="520">
        <v>8566</v>
      </c>
      <c r="C25" s="520">
        <v>36703</v>
      </c>
      <c r="D25" s="520">
        <v>1292</v>
      </c>
      <c r="E25" s="520">
        <v>36703</v>
      </c>
      <c r="F25" s="520">
        <v>58734</v>
      </c>
      <c r="G25" s="520">
        <v>79977</v>
      </c>
      <c r="H25" s="520">
        <v>20524</v>
      </c>
      <c r="I25" s="520">
        <v>31364</v>
      </c>
      <c r="J25" s="520">
        <v>52636</v>
      </c>
      <c r="K25" s="520">
        <v>95705</v>
      </c>
      <c r="L25" s="520">
        <v>7452</v>
      </c>
      <c r="M25" s="520">
        <v>60790</v>
      </c>
      <c r="N25" s="520">
        <v>73964</v>
      </c>
      <c r="O25" s="520">
        <f t="shared" ref="O25:P27" si="12">O16*O34/1000000</f>
        <v>90663.431311826353</v>
      </c>
      <c r="P25" s="520">
        <f t="shared" si="12"/>
        <v>127680.06090760391</v>
      </c>
      <c r="S25" s="360"/>
      <c r="T25" s="360"/>
      <c r="U25" s="371"/>
      <c r="V25" s="366"/>
      <c r="W25" s="366"/>
      <c r="X25" s="365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</row>
    <row r="26" spans="1:37" x14ac:dyDescent="0.6">
      <c r="A26" s="353" t="s">
        <v>187</v>
      </c>
      <c r="B26" s="520">
        <v>2801</v>
      </c>
      <c r="C26" s="520">
        <v>963</v>
      </c>
      <c r="D26" s="520">
        <v>0</v>
      </c>
      <c r="E26" s="520">
        <v>963</v>
      </c>
      <c r="F26" s="520">
        <v>1149</v>
      </c>
      <c r="G26" s="520">
        <v>1149</v>
      </c>
      <c r="H26" s="520">
        <v>221</v>
      </c>
      <c r="I26" s="520">
        <v>1282</v>
      </c>
      <c r="J26" s="520">
        <v>1282</v>
      </c>
      <c r="K26" s="520">
        <v>1374</v>
      </c>
      <c r="L26" s="520">
        <v>362</v>
      </c>
      <c r="M26" s="520">
        <v>3584</v>
      </c>
      <c r="N26" s="520">
        <v>3584</v>
      </c>
      <c r="O26" s="520">
        <f t="shared" si="12"/>
        <v>4393.1877375694339</v>
      </c>
      <c r="P26" s="520">
        <f t="shared" si="12"/>
        <v>5011.0408381808784</v>
      </c>
      <c r="S26" s="360"/>
      <c r="T26" s="360"/>
      <c r="U26" s="360"/>
      <c r="V26" s="371"/>
      <c r="W26" s="360"/>
      <c r="X26" s="371"/>
      <c r="Y26" s="360"/>
      <c r="Z26" s="360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360"/>
    </row>
    <row r="27" spans="1:37" x14ac:dyDescent="0.6">
      <c r="A27" s="353" t="s">
        <v>153</v>
      </c>
      <c r="B27" s="520">
        <v>7740</v>
      </c>
      <c r="C27" s="520">
        <v>2886</v>
      </c>
      <c r="D27" s="520">
        <v>1841</v>
      </c>
      <c r="E27" s="520">
        <v>2886</v>
      </c>
      <c r="F27" s="520">
        <v>3308</v>
      </c>
      <c r="G27" s="520">
        <v>17161</v>
      </c>
      <c r="H27" s="520">
        <v>0</v>
      </c>
      <c r="I27" s="520">
        <v>3592</v>
      </c>
      <c r="J27" s="520">
        <v>8452</v>
      </c>
      <c r="K27" s="520">
        <v>24423</v>
      </c>
      <c r="L27" s="520">
        <v>155</v>
      </c>
      <c r="M27" s="520">
        <v>13805</v>
      </c>
      <c r="N27" s="520">
        <v>73538</v>
      </c>
      <c r="O27" s="520">
        <f t="shared" si="12"/>
        <v>90141.249956858534</v>
      </c>
      <c r="P27" s="520">
        <f t="shared" si="12"/>
        <v>68395.03352046691</v>
      </c>
      <c r="S27" s="360"/>
      <c r="T27" s="360"/>
      <c r="U27" s="371"/>
      <c r="V27" s="371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  <c r="AJ27" s="360"/>
      <c r="AK27" s="360"/>
    </row>
    <row r="28" spans="1:37" x14ac:dyDescent="0.6">
      <c r="A28" s="353" t="s">
        <v>64</v>
      </c>
      <c r="B28" s="521">
        <f t="shared" ref="B28:N28" si="13">SUM(B24:B27)</f>
        <v>230302</v>
      </c>
      <c r="C28" s="521">
        <f t="shared" si="13"/>
        <v>162342</v>
      </c>
      <c r="D28" s="521">
        <f t="shared" si="13"/>
        <v>3133</v>
      </c>
      <c r="E28" s="521">
        <f t="shared" si="13"/>
        <v>162342</v>
      </c>
      <c r="F28" s="521">
        <f t="shared" si="13"/>
        <v>454654</v>
      </c>
      <c r="G28" s="521">
        <f t="shared" si="13"/>
        <v>676590</v>
      </c>
      <c r="H28" s="521">
        <f t="shared" si="13"/>
        <v>36042</v>
      </c>
      <c r="I28" s="521">
        <f t="shared" si="13"/>
        <v>207395</v>
      </c>
      <c r="J28" s="521">
        <f t="shared" si="13"/>
        <v>460887</v>
      </c>
      <c r="K28" s="521">
        <f t="shared" si="13"/>
        <v>898141</v>
      </c>
      <c r="L28" s="521">
        <f t="shared" si="13"/>
        <v>250122</v>
      </c>
      <c r="M28" s="521">
        <f t="shared" si="13"/>
        <v>453158</v>
      </c>
      <c r="N28" s="521">
        <f t="shared" si="13"/>
        <v>1008730</v>
      </c>
      <c r="O28" s="521">
        <f>SUM(O24:O27)</f>
        <v>1236478.8690062542</v>
      </c>
      <c r="P28" s="521">
        <f>SUM(P24:P27)</f>
        <v>1530145.9864793078</v>
      </c>
      <c r="S28" s="360"/>
      <c r="T28" s="360"/>
      <c r="U28" s="371"/>
      <c r="V28" s="371"/>
      <c r="W28" s="360"/>
      <c r="X28" s="371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</row>
    <row r="29" spans="1:37" x14ac:dyDescent="0.6">
      <c r="S29" s="360"/>
      <c r="T29" s="360"/>
      <c r="U29" s="371"/>
      <c r="V29" s="360"/>
      <c r="W29" s="522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</row>
    <row r="30" spans="1:37" x14ac:dyDescent="0.6">
      <c r="S30" s="360"/>
      <c r="T30" s="360"/>
      <c r="U30" s="371"/>
      <c r="V30" s="371"/>
      <c r="W30" s="360"/>
      <c r="X30" s="371"/>
      <c r="Y30" s="364"/>
      <c r="Z30" s="365"/>
      <c r="AA30" s="366"/>
      <c r="AB30" s="360"/>
      <c r="AC30" s="366"/>
      <c r="AD30" s="365"/>
      <c r="AE30" s="364"/>
      <c r="AF30" s="365"/>
      <c r="AG30" s="365"/>
      <c r="AH30" s="364"/>
      <c r="AI30" s="365"/>
      <c r="AJ30" s="360"/>
      <c r="AK30" s="360"/>
    </row>
    <row r="31" spans="1:37" x14ac:dyDescent="0.6">
      <c r="A31" s="353"/>
      <c r="B31" s="353" t="s">
        <v>174</v>
      </c>
      <c r="C31" s="353" t="s">
        <v>173</v>
      </c>
      <c r="D31" s="353" t="s">
        <v>172</v>
      </c>
      <c r="E31" s="353" t="s">
        <v>171</v>
      </c>
      <c r="F31" s="353" t="s">
        <v>170</v>
      </c>
      <c r="G31" s="353" t="s">
        <v>169</v>
      </c>
      <c r="H31" s="353" t="s">
        <v>168</v>
      </c>
      <c r="I31" s="353" t="s">
        <v>167</v>
      </c>
      <c r="J31" s="353" t="s">
        <v>166</v>
      </c>
      <c r="K31" s="353" t="s">
        <v>165</v>
      </c>
      <c r="L31" s="353" t="s">
        <v>164</v>
      </c>
      <c r="M31" s="353" t="s">
        <v>163</v>
      </c>
      <c r="N31" s="353" t="s">
        <v>162</v>
      </c>
      <c r="O31" s="353" t="s">
        <v>146</v>
      </c>
      <c r="P31" s="353" t="s">
        <v>161</v>
      </c>
      <c r="S31" s="353"/>
      <c r="T31" s="353" t="s">
        <v>174</v>
      </c>
      <c r="U31" s="353" t="s">
        <v>173</v>
      </c>
      <c r="V31" s="353" t="s">
        <v>172</v>
      </c>
      <c r="W31" s="353" t="s">
        <v>171</v>
      </c>
      <c r="X31" s="353" t="s">
        <v>170</v>
      </c>
      <c r="Y31" s="353" t="s">
        <v>169</v>
      </c>
      <c r="Z31" s="353" t="s">
        <v>168</v>
      </c>
      <c r="AA31" s="353" t="s">
        <v>167</v>
      </c>
      <c r="AB31" s="353" t="s">
        <v>166</v>
      </c>
      <c r="AC31" s="353" t="s">
        <v>165</v>
      </c>
      <c r="AD31" s="353" t="s">
        <v>164</v>
      </c>
      <c r="AE31" s="353" t="s">
        <v>163</v>
      </c>
      <c r="AF31" s="353" t="s">
        <v>162</v>
      </c>
      <c r="AG31" s="353" t="s">
        <v>146</v>
      </c>
      <c r="AH31" s="353" t="s">
        <v>161</v>
      </c>
      <c r="AI31" s="365"/>
      <c r="AJ31" s="360"/>
      <c r="AK31" s="360"/>
    </row>
    <row r="32" spans="1:37" x14ac:dyDescent="0.6">
      <c r="A32" s="519" t="s">
        <v>98</v>
      </c>
      <c r="B32" s="352" t="s">
        <v>96</v>
      </c>
      <c r="C32" s="353" t="s">
        <v>62</v>
      </c>
      <c r="D32" s="353" t="s">
        <v>107</v>
      </c>
      <c r="E32" s="353" t="s">
        <v>108</v>
      </c>
      <c r="F32" s="353" t="s">
        <v>109</v>
      </c>
      <c r="G32" s="353" t="s">
        <v>40</v>
      </c>
      <c r="H32" s="353" t="s">
        <v>55</v>
      </c>
      <c r="I32" s="353" t="s">
        <v>95</v>
      </c>
      <c r="J32" s="353" t="s">
        <v>94</v>
      </c>
      <c r="K32" s="353" t="s">
        <v>39</v>
      </c>
      <c r="L32" s="353" t="s">
        <v>54</v>
      </c>
      <c r="M32" s="352" t="s">
        <v>148</v>
      </c>
      <c r="N32" s="353" t="s">
        <v>149</v>
      </c>
      <c r="O32" s="353" t="s">
        <v>160</v>
      </c>
      <c r="P32" s="353" t="s">
        <v>159</v>
      </c>
      <c r="S32" s="519" t="s">
        <v>105</v>
      </c>
      <c r="T32" s="352" t="s">
        <v>96</v>
      </c>
      <c r="U32" s="353" t="s">
        <v>62</v>
      </c>
      <c r="V32" s="353" t="s">
        <v>107</v>
      </c>
      <c r="W32" s="353" t="s">
        <v>108</v>
      </c>
      <c r="X32" s="353" t="s">
        <v>109</v>
      </c>
      <c r="Y32" s="353" t="s">
        <v>40</v>
      </c>
      <c r="Z32" s="353" t="s">
        <v>55</v>
      </c>
      <c r="AA32" s="353" t="s">
        <v>95</v>
      </c>
      <c r="AB32" s="353" t="s">
        <v>94</v>
      </c>
      <c r="AC32" s="353" t="s">
        <v>39</v>
      </c>
      <c r="AD32" s="353" t="s">
        <v>54</v>
      </c>
      <c r="AE32" s="352" t="s">
        <v>148</v>
      </c>
      <c r="AF32" s="353" t="s">
        <v>149</v>
      </c>
      <c r="AG32" s="353" t="s">
        <v>160</v>
      </c>
      <c r="AH32" s="353" t="s">
        <v>159</v>
      </c>
      <c r="AI32" s="366"/>
      <c r="AJ32" s="360"/>
      <c r="AK32" s="360"/>
    </row>
    <row r="33" spans="1:37" x14ac:dyDescent="0.6">
      <c r="A33" s="353" t="s">
        <v>185</v>
      </c>
      <c r="B33" s="520">
        <f t="shared" ref="B33:C36" si="14">B24*1000000/B15</f>
        <v>22936033.883579496</v>
      </c>
      <c r="C33" s="520">
        <f t="shared" si="14"/>
        <v>25457775.91973244</v>
      </c>
      <c r="D33" s="520">
        <v>0</v>
      </c>
      <c r="E33" s="520">
        <f t="shared" ref="E33:G36" si="15">E24*1000000/E15</f>
        <v>25457775.91973244</v>
      </c>
      <c r="F33" s="520">
        <f t="shared" si="15"/>
        <v>25599202.197227307</v>
      </c>
      <c r="G33" s="520">
        <f t="shared" si="15"/>
        <v>25531014.083263431</v>
      </c>
      <c r="H33" s="520">
        <v>0</v>
      </c>
      <c r="I33" s="520">
        <f t="shared" ref="I33:N36" si="16">I24*1000000/I15</f>
        <v>27111832.726120703</v>
      </c>
      <c r="J33" s="520">
        <f t="shared" si="16"/>
        <v>27165439.672801636</v>
      </c>
      <c r="K33" s="520">
        <f t="shared" si="16"/>
        <v>27062478.22147885</v>
      </c>
      <c r="L33" s="520">
        <f t="shared" si="16"/>
        <v>24894931.633597203</v>
      </c>
      <c r="M33" s="520">
        <f t="shared" si="16"/>
        <v>26227810.030076239</v>
      </c>
      <c r="N33" s="520">
        <f t="shared" si="16"/>
        <v>30184915.355647065</v>
      </c>
      <c r="O33" s="520">
        <f>B131</f>
        <v>37000000</v>
      </c>
      <c r="P33" s="520">
        <f>B139</f>
        <v>40500000</v>
      </c>
      <c r="S33" s="353" t="s">
        <v>185</v>
      </c>
      <c r="T33" s="375">
        <f>B33/B33</f>
        <v>1</v>
      </c>
      <c r="U33" s="375">
        <f t="shared" ref="U33:AF33" si="17">C33/C33</f>
        <v>1</v>
      </c>
      <c r="V33" s="375"/>
      <c r="W33" s="375">
        <f t="shared" si="17"/>
        <v>1</v>
      </c>
      <c r="X33" s="375">
        <f t="shared" si="17"/>
        <v>1</v>
      </c>
      <c r="Y33" s="375">
        <f t="shared" si="17"/>
        <v>1</v>
      </c>
      <c r="Z33" s="375"/>
      <c r="AA33" s="375">
        <f t="shared" si="17"/>
        <v>1</v>
      </c>
      <c r="AB33" s="375">
        <f t="shared" si="17"/>
        <v>1</v>
      </c>
      <c r="AC33" s="375">
        <f t="shared" si="17"/>
        <v>1</v>
      </c>
      <c r="AD33" s="375">
        <f t="shared" si="17"/>
        <v>1</v>
      </c>
      <c r="AE33" s="375">
        <f t="shared" si="17"/>
        <v>1</v>
      </c>
      <c r="AF33" s="375">
        <f t="shared" si="17"/>
        <v>1</v>
      </c>
      <c r="AG33" s="375">
        <f>AF33</f>
        <v>1</v>
      </c>
      <c r="AH33" s="375">
        <f>AVERAGE(AG33,Y33)</f>
        <v>1</v>
      </c>
      <c r="AI33" s="365"/>
      <c r="AJ33" s="360"/>
      <c r="AK33" s="360"/>
    </row>
    <row r="34" spans="1:37" x14ac:dyDescent="0.6">
      <c r="A34" s="353" t="s">
        <v>186</v>
      </c>
      <c r="B34" s="520">
        <f t="shared" si="14"/>
        <v>2025059.1016548462</v>
      </c>
      <c r="C34" s="520">
        <f t="shared" si="14"/>
        <v>4486919.3154034233</v>
      </c>
      <c r="D34" s="520">
        <f>D25*1000000/D16</f>
        <v>1597033.3745364647</v>
      </c>
      <c r="E34" s="520">
        <f t="shared" si="15"/>
        <v>4942499.3266900079</v>
      </c>
      <c r="F34" s="520">
        <f t="shared" si="15"/>
        <v>5365305.5631679911</v>
      </c>
      <c r="G34" s="520">
        <f t="shared" si="15"/>
        <v>5865996.7727739476</v>
      </c>
      <c r="H34" s="520">
        <f>H25*1000000/H16</f>
        <v>149810218.97810218</v>
      </c>
      <c r="I34" s="520">
        <f t="shared" si="16"/>
        <v>9438459.2235931382</v>
      </c>
      <c r="J34" s="520">
        <f t="shared" si="16"/>
        <v>9441434.9775784761</v>
      </c>
      <c r="K34" s="520">
        <f t="shared" si="16"/>
        <v>9403124.3859304376</v>
      </c>
      <c r="L34" s="520">
        <f t="shared" si="16"/>
        <v>12378737.54152824</v>
      </c>
      <c r="M34" s="520">
        <f t="shared" si="16"/>
        <v>7957847.8858489329</v>
      </c>
      <c r="N34" s="520">
        <f t="shared" si="16"/>
        <v>8846310.249970099</v>
      </c>
      <c r="O34" s="520">
        <f>$O$33*AG34</f>
        <v>10843610.969002075</v>
      </c>
      <c r="P34" s="520">
        <f>$P$33*AH34</f>
        <v>11869357.952556325</v>
      </c>
      <c r="S34" s="353" t="s">
        <v>186</v>
      </c>
      <c r="T34" s="375">
        <f>B34/B33</f>
        <v>8.8291598797499107E-2</v>
      </c>
      <c r="U34" s="375">
        <f t="shared" ref="U34:AF34" si="18">C34/C33</f>
        <v>0.17624946222916477</v>
      </c>
      <c r="V34" s="375"/>
      <c r="W34" s="375">
        <f t="shared" si="18"/>
        <v>0.19414497724677723</v>
      </c>
      <c r="X34" s="375">
        <f t="shared" si="18"/>
        <v>0.209588780221796</v>
      </c>
      <c r="Y34" s="375">
        <f t="shared" si="18"/>
        <v>0.22975964658682851</v>
      </c>
      <c r="Z34" s="375"/>
      <c r="AA34" s="375">
        <f t="shared" si="18"/>
        <v>0.3481306232204554</v>
      </c>
      <c r="AB34" s="375">
        <f t="shared" si="18"/>
        <v>0.34755318122207146</v>
      </c>
      <c r="AC34" s="375">
        <f t="shared" si="18"/>
        <v>0.34745984122279683</v>
      </c>
      <c r="AD34" s="375">
        <f t="shared" si="18"/>
        <v>0.49723926635823301</v>
      </c>
      <c r="AE34" s="375">
        <f t="shared" si="18"/>
        <v>0.30341259436923718</v>
      </c>
      <c r="AF34" s="375">
        <f t="shared" si="18"/>
        <v>0.29307056672978582</v>
      </c>
      <c r="AG34" s="375">
        <f t="shared" ref="AG34:AG36" si="19">AF34</f>
        <v>0.29307056672978582</v>
      </c>
      <c r="AH34" s="375">
        <f>AG34</f>
        <v>0.29307056672978582</v>
      </c>
      <c r="AI34" s="366"/>
      <c r="AJ34" s="360"/>
      <c r="AK34" s="360"/>
    </row>
    <row r="35" spans="1:37" x14ac:dyDescent="0.6">
      <c r="A35" s="353" t="s">
        <v>187</v>
      </c>
      <c r="B35" s="520">
        <f t="shared" si="14"/>
        <v>1012653.6514822849</v>
      </c>
      <c r="C35" s="520">
        <f t="shared" si="14"/>
        <v>1011554.6218487395</v>
      </c>
      <c r="D35" s="520">
        <v>0</v>
      </c>
      <c r="E35" s="520">
        <f t="shared" si="15"/>
        <v>1011554.6218487395</v>
      </c>
      <c r="F35" s="520">
        <f t="shared" si="15"/>
        <v>997395.83333333337</v>
      </c>
      <c r="G35" s="520">
        <f t="shared" si="15"/>
        <v>997395.83333333337</v>
      </c>
      <c r="H35" s="520">
        <v>0</v>
      </c>
      <c r="I35" s="520">
        <f t="shared" si="16"/>
        <v>1096663.8152266894</v>
      </c>
      <c r="J35" s="520">
        <f t="shared" si="16"/>
        <v>1096663.8152266894</v>
      </c>
      <c r="K35" s="520">
        <f t="shared" si="16"/>
        <v>1074276.7787333855</v>
      </c>
      <c r="L35" s="520">
        <f t="shared" si="16"/>
        <v>2129411.7647058824</v>
      </c>
      <c r="M35" s="520">
        <f t="shared" si="16"/>
        <v>2011223.3445566779</v>
      </c>
      <c r="N35" s="520">
        <f t="shared" si="16"/>
        <v>2011223.3445566779</v>
      </c>
      <c r="O35" s="520">
        <f t="shared" ref="O35:O36" si="20">$O$33*AG35</f>
        <v>2465312.9840456983</v>
      </c>
      <c r="P35" s="520">
        <f t="shared" ref="P35:P36" si="21">$P$33*AH35</f>
        <v>3105655.6136840633</v>
      </c>
      <c r="S35" s="353" t="s">
        <v>187</v>
      </c>
      <c r="T35" s="375">
        <f>B35/B33</f>
        <v>4.4151210127365136E-2</v>
      </c>
      <c r="U35" s="375">
        <f t="shared" ref="U35:AF35" si="22">C35/C33</f>
        <v>3.973460309487125E-2</v>
      </c>
      <c r="V35" s="375"/>
      <c r="W35" s="375">
        <f t="shared" si="22"/>
        <v>3.973460309487125E-2</v>
      </c>
      <c r="X35" s="375">
        <f t="shared" si="22"/>
        <v>3.8961988957662244E-2</v>
      </c>
      <c r="Y35" s="375">
        <f t="shared" si="22"/>
        <v>3.9066048457008409E-2</v>
      </c>
      <c r="Z35" s="375"/>
      <c r="AA35" s="375">
        <f t="shared" si="22"/>
        <v>4.0449637850196549E-2</v>
      </c>
      <c r="AB35" s="375">
        <f t="shared" si="22"/>
        <v>4.0369816518179988E-2</v>
      </c>
      <c r="AC35" s="375">
        <f t="shared" si="22"/>
        <v>3.9696171575327399E-2</v>
      </c>
      <c r="AD35" s="375">
        <f t="shared" si="22"/>
        <v>8.5535955512812636E-2</v>
      </c>
      <c r="AE35" s="375">
        <f t="shared" si="22"/>
        <v>7.6682854658865762E-2</v>
      </c>
      <c r="AF35" s="375">
        <f t="shared" si="22"/>
        <v>6.6630080649883738E-2</v>
      </c>
      <c r="AG35" s="375">
        <f t="shared" si="19"/>
        <v>6.6630080649883738E-2</v>
      </c>
      <c r="AH35" s="375">
        <f>AE35</f>
        <v>7.6682854658865762E-2</v>
      </c>
      <c r="AI35" s="365"/>
      <c r="AJ35" s="360"/>
      <c r="AK35" s="360"/>
    </row>
    <row r="36" spans="1:37" x14ac:dyDescent="0.6">
      <c r="A36" s="353" t="s">
        <v>153</v>
      </c>
      <c r="B36" s="520">
        <f t="shared" si="14"/>
        <v>3421750.6631299737</v>
      </c>
      <c r="C36" s="520">
        <f t="shared" si="14"/>
        <v>2854599.4065281898</v>
      </c>
      <c r="D36" s="520">
        <v>0</v>
      </c>
      <c r="E36" s="520">
        <f t="shared" si="15"/>
        <v>2854599.4065281898</v>
      </c>
      <c r="F36" s="520">
        <f t="shared" si="15"/>
        <v>2914537.4449339206</v>
      </c>
      <c r="G36" s="520">
        <f t="shared" si="15"/>
        <v>3040035.4295837022</v>
      </c>
      <c r="H36" s="520">
        <f>H27*1000000/H18</f>
        <v>0</v>
      </c>
      <c r="I36" s="520">
        <f t="shared" si="16"/>
        <v>3341395.3488372094</v>
      </c>
      <c r="J36" s="520">
        <f t="shared" si="16"/>
        <v>3224723.3880198398</v>
      </c>
      <c r="K36" s="520">
        <f t="shared" si="16"/>
        <v>3171406.3108687182</v>
      </c>
      <c r="L36" s="520">
        <f t="shared" si="16"/>
        <v>4843750</v>
      </c>
      <c r="M36" s="520">
        <f t="shared" si="16"/>
        <v>8115814.2269253377</v>
      </c>
      <c r="N36" s="520">
        <f t="shared" si="16"/>
        <v>10091670.097433787</v>
      </c>
      <c r="O36" s="520">
        <f t="shared" si="20"/>
        <v>12370145.458605537</v>
      </c>
      <c r="P36" s="520">
        <f t="shared" si="21"/>
        <v>13540294.353338495</v>
      </c>
      <c r="S36" s="353" t="s">
        <v>153</v>
      </c>
      <c r="T36" s="375">
        <f>B36/B33</f>
        <v>0.14918667632330687</v>
      </c>
      <c r="U36" s="375">
        <f t="shared" ref="U36:AF36" si="23">C36/C33</f>
        <v>0.11213074604508466</v>
      </c>
      <c r="V36" s="375"/>
      <c r="W36" s="375">
        <f t="shared" si="23"/>
        <v>0.11213074604508466</v>
      </c>
      <c r="X36" s="375">
        <f t="shared" si="23"/>
        <v>0.11385266706669472</v>
      </c>
      <c r="Y36" s="375">
        <f t="shared" si="23"/>
        <v>0.11907225540158091</v>
      </c>
      <c r="Z36" s="375"/>
      <c r="AA36" s="375">
        <f t="shared" si="23"/>
        <v>0.12324490869324248</v>
      </c>
      <c r="AB36" s="375">
        <f t="shared" si="23"/>
        <v>0.1187068358495398</v>
      </c>
      <c r="AC36" s="375">
        <f t="shared" si="23"/>
        <v>0.11718831826538517</v>
      </c>
      <c r="AD36" s="375">
        <f t="shared" si="23"/>
        <v>0.19456771648503221</v>
      </c>
      <c r="AE36" s="375">
        <f t="shared" si="23"/>
        <v>0.30943545105819675</v>
      </c>
      <c r="AF36" s="375">
        <f t="shared" si="23"/>
        <v>0.33432825563798751</v>
      </c>
      <c r="AG36" s="375">
        <f t="shared" si="19"/>
        <v>0.33432825563798751</v>
      </c>
      <c r="AH36" s="375">
        <f>AG36</f>
        <v>0.33432825563798751</v>
      </c>
      <c r="AI36" s="365"/>
      <c r="AJ36" s="360"/>
      <c r="AK36" s="360"/>
    </row>
    <row r="37" spans="1:37" x14ac:dyDescent="0.6">
      <c r="S37" s="360"/>
      <c r="T37" s="360"/>
      <c r="U37" s="371"/>
      <c r="V37" s="371"/>
      <c r="W37" s="360"/>
      <c r="X37" s="371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</row>
    <row r="38" spans="1:37" x14ac:dyDescent="0.6">
      <c r="S38" s="360"/>
      <c r="T38" s="360"/>
      <c r="U38" s="371"/>
      <c r="V38" s="371"/>
      <c r="W38" s="360"/>
      <c r="X38" s="371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</row>
    <row r="39" spans="1:37" ht="23.25" thickBot="1" x14ac:dyDescent="0.65">
      <c r="S39" s="360"/>
      <c r="T39" s="360"/>
      <c r="U39" s="371"/>
      <c r="V39" s="371"/>
      <c r="W39" s="360"/>
      <c r="X39" s="371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</row>
    <row r="40" spans="1:37" x14ac:dyDescent="0.6">
      <c r="A40" s="437" t="s">
        <v>111</v>
      </c>
      <c r="B40" s="350" t="s">
        <v>169</v>
      </c>
      <c r="C40" s="350" t="s">
        <v>167</v>
      </c>
      <c r="D40" s="350" t="s">
        <v>166</v>
      </c>
      <c r="E40" s="350" t="s">
        <v>165</v>
      </c>
      <c r="F40" s="350" t="s">
        <v>164</v>
      </c>
      <c r="G40" s="350" t="s">
        <v>163</v>
      </c>
      <c r="H40" s="350" t="s">
        <v>162</v>
      </c>
      <c r="I40" s="350" t="s">
        <v>146</v>
      </c>
      <c r="J40" s="350" t="s">
        <v>161</v>
      </c>
      <c r="K40" s="351" t="s">
        <v>161</v>
      </c>
      <c r="S40" s="360"/>
      <c r="T40" s="360"/>
      <c r="U40" s="371"/>
      <c r="V40" s="371"/>
      <c r="W40" s="360"/>
      <c r="X40" s="371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</row>
    <row r="41" spans="1:37" x14ac:dyDescent="0.6">
      <c r="A41" s="427" t="s">
        <v>58</v>
      </c>
      <c r="B41" s="353" t="s">
        <v>40</v>
      </c>
      <c r="C41" s="353" t="s">
        <v>95</v>
      </c>
      <c r="D41" s="353" t="s">
        <v>94</v>
      </c>
      <c r="E41" s="353" t="s">
        <v>39</v>
      </c>
      <c r="F41" s="353" t="s">
        <v>54</v>
      </c>
      <c r="G41" s="352" t="s">
        <v>148</v>
      </c>
      <c r="H41" s="353" t="s">
        <v>149</v>
      </c>
      <c r="I41" s="353" t="s">
        <v>146</v>
      </c>
      <c r="J41" s="353" t="s">
        <v>150</v>
      </c>
      <c r="K41" s="354" t="s">
        <v>159</v>
      </c>
      <c r="S41" s="360"/>
      <c r="T41" s="360"/>
      <c r="U41" s="360"/>
      <c r="V41" s="371"/>
      <c r="W41" s="360"/>
      <c r="X41" s="371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</row>
    <row r="42" spans="1:37" x14ac:dyDescent="0.6">
      <c r="A42" s="523" t="s">
        <v>82</v>
      </c>
      <c r="B42" s="524">
        <v>494186</v>
      </c>
      <c r="C42" s="524">
        <v>615867</v>
      </c>
      <c r="D42" s="524">
        <v>615868</v>
      </c>
      <c r="E42" s="524">
        <v>829394</v>
      </c>
      <c r="F42" s="524">
        <v>81567</v>
      </c>
      <c r="G42" s="524">
        <v>534291</v>
      </c>
      <c r="H42" s="524">
        <v>534291</v>
      </c>
      <c r="I42" s="524"/>
      <c r="J42" s="524">
        <f>I69</f>
        <v>534291</v>
      </c>
      <c r="K42" s="387">
        <f>J69</f>
        <v>1302417.7563088199</v>
      </c>
      <c r="N42" s="388"/>
      <c r="S42" s="360"/>
      <c r="T42" s="360"/>
      <c r="U42" s="371"/>
      <c r="V42" s="371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</row>
    <row r="43" spans="1:37" x14ac:dyDescent="0.6">
      <c r="A43" s="523" t="s">
        <v>81</v>
      </c>
      <c r="B43" s="524">
        <v>39833</v>
      </c>
      <c r="C43" s="524">
        <v>29591</v>
      </c>
      <c r="D43" s="524">
        <v>29615</v>
      </c>
      <c r="E43" s="524">
        <v>44796</v>
      </c>
      <c r="F43" s="524">
        <v>7160</v>
      </c>
      <c r="G43" s="524">
        <v>27293</v>
      </c>
      <c r="H43" s="524">
        <v>32569</v>
      </c>
      <c r="I43" s="524"/>
      <c r="J43" s="524">
        <f t="shared" ref="J43" si="24">H43</f>
        <v>32569</v>
      </c>
      <c r="K43" s="387">
        <f>J43*1.2</f>
        <v>39082.799999999996</v>
      </c>
      <c r="N43" s="388"/>
      <c r="S43" s="360"/>
      <c r="T43" s="360"/>
      <c r="U43" s="371"/>
      <c r="V43" s="371"/>
      <c r="W43" s="360"/>
      <c r="X43" s="371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360"/>
      <c r="AJ43" s="360"/>
      <c r="AK43" s="360"/>
    </row>
    <row r="44" spans="1:37" x14ac:dyDescent="0.6">
      <c r="A44" s="523" t="s">
        <v>80</v>
      </c>
      <c r="B44" s="524">
        <v>99127</v>
      </c>
      <c r="C44" s="524">
        <v>72002</v>
      </c>
      <c r="D44" s="524">
        <v>89949</v>
      </c>
      <c r="E44" s="524">
        <v>136785</v>
      </c>
      <c r="F44" s="524">
        <v>25414</v>
      </c>
      <c r="G44" s="524">
        <v>88987</v>
      </c>
      <c r="H44" s="524">
        <v>106191</v>
      </c>
      <c r="I44" s="524"/>
      <c r="J44" s="524">
        <f>I89</f>
        <v>122188</v>
      </c>
      <c r="K44" s="387">
        <f>K89</f>
        <v>158844.4</v>
      </c>
      <c r="N44" s="388"/>
      <c r="S44" s="360"/>
      <c r="T44" s="360"/>
      <c r="U44" s="371"/>
      <c r="V44" s="371"/>
      <c r="W44" s="522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360"/>
      <c r="AJ44" s="360"/>
      <c r="AK44" s="360"/>
    </row>
    <row r="45" spans="1:37" x14ac:dyDescent="0.6">
      <c r="A45" s="523" t="s">
        <v>42</v>
      </c>
      <c r="B45" s="524">
        <f t="shared" ref="B45" si="25">SUM(B42:B44)</f>
        <v>633146</v>
      </c>
      <c r="C45" s="524">
        <f>SUM(C42:C44)</f>
        <v>717460</v>
      </c>
      <c r="D45" s="524">
        <f>SUM(D42:D44)</f>
        <v>735432</v>
      </c>
      <c r="E45" s="524">
        <f t="shared" ref="E45:I45" si="26">SUM(E42:E44)</f>
        <v>1010975</v>
      </c>
      <c r="F45" s="524">
        <f t="shared" si="26"/>
        <v>114141</v>
      </c>
      <c r="G45" s="524">
        <f t="shared" si="26"/>
        <v>650571</v>
      </c>
      <c r="H45" s="524">
        <f t="shared" si="26"/>
        <v>673051</v>
      </c>
      <c r="I45" s="524">
        <f t="shared" si="26"/>
        <v>0</v>
      </c>
      <c r="J45" s="524">
        <f>SUM(J42:J44)</f>
        <v>689048</v>
      </c>
      <c r="K45" s="387">
        <f>SUM(K42:K44)</f>
        <v>1500344.9563088198</v>
      </c>
      <c r="N45" s="388"/>
      <c r="S45" s="360"/>
      <c r="T45" s="360"/>
      <c r="U45" s="371"/>
      <c r="V45" s="371"/>
      <c r="W45" s="360"/>
      <c r="X45" s="371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360"/>
      <c r="AJ45" s="360"/>
      <c r="AK45" s="360"/>
    </row>
    <row r="46" spans="1:37" x14ac:dyDescent="0.6">
      <c r="A46" s="523" t="s">
        <v>79</v>
      </c>
      <c r="B46" s="524">
        <v>0</v>
      </c>
      <c r="C46" s="524">
        <v>0</v>
      </c>
      <c r="D46" s="524">
        <v>0</v>
      </c>
      <c r="E46" s="524">
        <v>0</v>
      </c>
      <c r="F46" s="524">
        <v>0</v>
      </c>
      <c r="G46" s="524">
        <v>0</v>
      </c>
      <c r="H46" s="524">
        <v>0</v>
      </c>
      <c r="I46" s="524">
        <v>0</v>
      </c>
      <c r="J46" s="524">
        <v>0</v>
      </c>
      <c r="K46" s="387">
        <v>0</v>
      </c>
      <c r="N46" s="389"/>
      <c r="S46" s="360"/>
      <c r="T46" s="360"/>
      <c r="U46" s="371"/>
      <c r="V46" s="371"/>
      <c r="W46" s="360"/>
      <c r="X46" s="371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</row>
    <row r="47" spans="1:37" x14ac:dyDescent="0.6">
      <c r="A47" s="523" t="s">
        <v>78</v>
      </c>
      <c r="B47" s="524">
        <f>B45</f>
        <v>633146</v>
      </c>
      <c r="C47" s="524">
        <f t="shared" ref="C47:K47" si="27">C45</f>
        <v>717460</v>
      </c>
      <c r="D47" s="524">
        <f t="shared" si="27"/>
        <v>735432</v>
      </c>
      <c r="E47" s="524">
        <f t="shared" si="27"/>
        <v>1010975</v>
      </c>
      <c r="F47" s="524">
        <f t="shared" si="27"/>
        <v>114141</v>
      </c>
      <c r="G47" s="524">
        <f t="shared" si="27"/>
        <v>650571</v>
      </c>
      <c r="H47" s="524">
        <f t="shared" si="27"/>
        <v>673051</v>
      </c>
      <c r="I47" s="524">
        <f t="shared" si="27"/>
        <v>0</v>
      </c>
      <c r="J47" s="524">
        <f t="shared" si="27"/>
        <v>689048</v>
      </c>
      <c r="K47" s="524">
        <f t="shared" si="27"/>
        <v>1500344.9563088198</v>
      </c>
      <c r="N47" s="388"/>
      <c r="S47" s="360"/>
      <c r="T47" s="360"/>
      <c r="U47" s="371"/>
      <c r="V47" s="371"/>
      <c r="W47" s="360"/>
      <c r="X47" s="360"/>
      <c r="Y47" s="360"/>
      <c r="Z47" s="360"/>
      <c r="AA47" s="360"/>
      <c r="AB47" s="360"/>
      <c r="AC47" s="360"/>
    </row>
    <row r="48" spans="1:37" x14ac:dyDescent="0.6">
      <c r="A48" s="523" t="s">
        <v>77</v>
      </c>
      <c r="B48" s="524">
        <v>0</v>
      </c>
      <c r="C48" s="524">
        <v>0</v>
      </c>
      <c r="D48" s="524">
        <v>0</v>
      </c>
      <c r="E48" s="524">
        <v>0</v>
      </c>
      <c r="F48" s="524">
        <v>0</v>
      </c>
      <c r="G48" s="524">
        <v>0</v>
      </c>
      <c r="H48" s="524">
        <v>0</v>
      </c>
      <c r="I48" s="524">
        <v>0</v>
      </c>
      <c r="J48" s="524">
        <v>0</v>
      </c>
      <c r="K48" s="387">
        <v>0</v>
      </c>
      <c r="N48" s="389"/>
      <c r="S48" s="360"/>
      <c r="T48" s="360"/>
      <c r="U48" s="371"/>
      <c r="V48" s="371"/>
      <c r="W48" s="360"/>
      <c r="X48" s="371"/>
      <c r="Y48" s="360"/>
      <c r="Z48" s="360"/>
      <c r="AA48" s="360"/>
      <c r="AB48" s="360"/>
      <c r="AC48" s="360"/>
    </row>
    <row r="49" spans="1:26" x14ac:dyDescent="0.6">
      <c r="A49" s="523" t="s">
        <v>76</v>
      </c>
      <c r="B49" s="524">
        <v>9202</v>
      </c>
      <c r="C49" s="524">
        <v>0</v>
      </c>
      <c r="D49" s="524">
        <v>0</v>
      </c>
      <c r="E49" s="524">
        <v>0</v>
      </c>
      <c r="F49" s="524">
        <v>0</v>
      </c>
      <c r="G49" s="524">
        <v>0</v>
      </c>
      <c r="H49" s="524">
        <v>0</v>
      </c>
      <c r="I49" s="524">
        <v>0</v>
      </c>
      <c r="J49" s="524">
        <v>0</v>
      </c>
      <c r="K49" s="387">
        <v>0</v>
      </c>
      <c r="N49" s="389"/>
    </row>
    <row r="50" spans="1:26" x14ac:dyDescent="0.6">
      <c r="A50" s="523" t="s">
        <v>75</v>
      </c>
      <c r="B50" s="524">
        <v>0</v>
      </c>
      <c r="C50" s="524">
        <v>0</v>
      </c>
      <c r="D50" s="524">
        <v>0</v>
      </c>
      <c r="E50" s="524">
        <v>0</v>
      </c>
      <c r="F50" s="524">
        <v>0</v>
      </c>
      <c r="G50" s="524">
        <v>0</v>
      </c>
      <c r="H50" s="524">
        <v>0</v>
      </c>
      <c r="I50" s="524">
        <v>0</v>
      </c>
      <c r="J50" s="524">
        <v>0</v>
      </c>
      <c r="K50" s="387">
        <v>0</v>
      </c>
      <c r="N50" s="389"/>
    </row>
    <row r="51" spans="1:26" x14ac:dyDescent="0.6">
      <c r="A51" s="523" t="s">
        <v>74</v>
      </c>
      <c r="B51" s="524">
        <f t="shared" ref="B51" si="28">SUM(B47:B50)</f>
        <v>642348</v>
      </c>
      <c r="C51" s="524">
        <f>SUM(C47:C50)</f>
        <v>717460</v>
      </c>
      <c r="D51" s="524">
        <f>SUM(D47:D50)</f>
        <v>735432</v>
      </c>
      <c r="E51" s="524">
        <f t="shared" ref="E51:J51" si="29">SUM(E47:E50)</f>
        <v>1010975</v>
      </c>
      <c r="F51" s="524">
        <f t="shared" si="29"/>
        <v>114141</v>
      </c>
      <c r="G51" s="524">
        <f t="shared" si="29"/>
        <v>650571</v>
      </c>
      <c r="H51" s="524">
        <f t="shared" si="29"/>
        <v>673051</v>
      </c>
      <c r="I51" s="524">
        <f t="shared" si="29"/>
        <v>0</v>
      </c>
      <c r="J51" s="524">
        <f t="shared" si="29"/>
        <v>689048</v>
      </c>
      <c r="K51" s="387">
        <f>SUM(K47:K50)</f>
        <v>1500344.9563088198</v>
      </c>
      <c r="N51" s="388"/>
    </row>
    <row r="52" spans="1:26" x14ac:dyDescent="0.6">
      <c r="A52" s="523" t="s">
        <v>73</v>
      </c>
      <c r="B52" s="524">
        <v>15035</v>
      </c>
      <c r="C52" s="524">
        <v>22360</v>
      </c>
      <c r="D52" s="524">
        <v>1181</v>
      </c>
      <c r="E52" s="524">
        <v>11181</v>
      </c>
      <c r="F52" s="524">
        <v>218685</v>
      </c>
      <c r="G52" s="524">
        <v>218685</v>
      </c>
      <c r="H52" s="524">
        <v>218685</v>
      </c>
      <c r="I52" s="524"/>
      <c r="J52" s="524">
        <f>H52</f>
        <v>218685</v>
      </c>
      <c r="K52" s="387">
        <f>J52</f>
        <v>218685</v>
      </c>
      <c r="N52" s="388"/>
    </row>
    <row r="53" spans="1:26" x14ac:dyDescent="0.6">
      <c r="A53" s="523" t="s">
        <v>72</v>
      </c>
      <c r="B53" s="524">
        <v>-11181</v>
      </c>
      <c r="C53" s="524">
        <v>-558912</v>
      </c>
      <c r="D53" s="524">
        <v>-357067</v>
      </c>
      <c r="E53" s="524">
        <v>-218685</v>
      </c>
      <c r="F53" s="524">
        <v>-128333</v>
      </c>
      <c r="G53" s="524">
        <v>-510739</v>
      </c>
      <c r="H53" s="524">
        <v>-178039</v>
      </c>
      <c r="I53" s="524"/>
      <c r="J53" s="524">
        <f>H53</f>
        <v>-178039</v>
      </c>
      <c r="K53" s="387">
        <f>J53</f>
        <v>-178039</v>
      </c>
      <c r="N53" s="388"/>
    </row>
    <row r="54" spans="1:26" x14ac:dyDescent="0.6">
      <c r="A54" s="523" t="s">
        <v>71</v>
      </c>
      <c r="B54" s="524">
        <f t="shared" ref="B54" si="30">SUM(B51:B53)</f>
        <v>646202</v>
      </c>
      <c r="C54" s="524">
        <f>SUM(C51:C53)</f>
        <v>180908</v>
      </c>
      <c r="D54" s="524">
        <f>SUM(D51:D53)</f>
        <v>379546</v>
      </c>
      <c r="E54" s="524">
        <f t="shared" ref="E54:J54" si="31">SUM(E51:E53)</f>
        <v>803471</v>
      </c>
      <c r="F54" s="524">
        <f t="shared" si="31"/>
        <v>204493</v>
      </c>
      <c r="G54" s="524">
        <f t="shared" si="31"/>
        <v>358517</v>
      </c>
      <c r="H54" s="524">
        <f t="shared" si="31"/>
        <v>713697</v>
      </c>
      <c r="I54" s="524">
        <f t="shared" si="31"/>
        <v>0</v>
      </c>
      <c r="J54" s="524">
        <f t="shared" si="31"/>
        <v>729694</v>
      </c>
      <c r="K54" s="387">
        <f>SUM(K51:K53)</f>
        <v>1540990.9563088198</v>
      </c>
      <c r="N54" s="388"/>
    </row>
    <row r="55" spans="1:26" x14ac:dyDescent="0.6">
      <c r="A55" s="523" t="s">
        <v>70</v>
      </c>
      <c r="B55" s="524">
        <v>0</v>
      </c>
      <c r="C55" s="524">
        <v>0</v>
      </c>
      <c r="D55" s="524">
        <v>0</v>
      </c>
      <c r="E55" s="524">
        <v>0</v>
      </c>
      <c r="F55" s="524">
        <v>0</v>
      </c>
      <c r="G55" s="524">
        <v>0</v>
      </c>
      <c r="H55" s="524">
        <v>0</v>
      </c>
      <c r="I55" s="524">
        <v>0</v>
      </c>
      <c r="J55" s="524">
        <v>0</v>
      </c>
      <c r="K55" s="387">
        <v>0</v>
      </c>
      <c r="N55" s="389"/>
    </row>
    <row r="56" spans="1:26" ht="23.25" thickBot="1" x14ac:dyDescent="0.65">
      <c r="A56" s="525" t="s">
        <v>69</v>
      </c>
      <c r="B56" s="526">
        <f>B54</f>
        <v>646202</v>
      </c>
      <c r="C56" s="526">
        <f t="shared" ref="C56:K56" si="32">C54</f>
        <v>180908</v>
      </c>
      <c r="D56" s="526">
        <f t="shared" si="32"/>
        <v>379546</v>
      </c>
      <c r="E56" s="526">
        <f t="shared" si="32"/>
        <v>803471</v>
      </c>
      <c r="F56" s="526">
        <f t="shared" si="32"/>
        <v>204493</v>
      </c>
      <c r="G56" s="526">
        <f t="shared" si="32"/>
        <v>358517</v>
      </c>
      <c r="H56" s="526">
        <f t="shared" si="32"/>
        <v>713697</v>
      </c>
      <c r="I56" s="526">
        <f t="shared" si="32"/>
        <v>0</v>
      </c>
      <c r="J56" s="526">
        <f t="shared" si="32"/>
        <v>729694</v>
      </c>
      <c r="K56" s="526">
        <f t="shared" si="32"/>
        <v>1540990.9563088198</v>
      </c>
      <c r="N56" s="388"/>
    </row>
    <row r="59" spans="1:26" ht="23.25" thickBot="1" x14ac:dyDescent="0.65"/>
    <row r="60" spans="1:26" x14ac:dyDescent="0.6">
      <c r="A60" s="437" t="s">
        <v>114</v>
      </c>
      <c r="B60" s="350" t="s">
        <v>169</v>
      </c>
      <c r="C60" s="350" t="s">
        <v>166</v>
      </c>
      <c r="D60" s="350" t="s">
        <v>165</v>
      </c>
      <c r="E60" s="350" t="s">
        <v>164</v>
      </c>
      <c r="F60" s="350" t="s">
        <v>163</v>
      </c>
      <c r="G60" s="350" t="s">
        <v>162</v>
      </c>
      <c r="H60" s="350" t="s">
        <v>146</v>
      </c>
      <c r="I60" s="350" t="s">
        <v>161</v>
      </c>
      <c r="J60" s="351" t="s">
        <v>161</v>
      </c>
    </row>
    <row r="61" spans="1:26" x14ac:dyDescent="0.6">
      <c r="A61" s="427"/>
      <c r="B61" s="353" t="s">
        <v>40</v>
      </c>
      <c r="C61" s="353" t="s">
        <v>94</v>
      </c>
      <c r="D61" s="353" t="s">
        <v>39</v>
      </c>
      <c r="E61" s="353" t="s">
        <v>54</v>
      </c>
      <c r="F61" s="352" t="s">
        <v>148</v>
      </c>
      <c r="G61" s="353" t="s">
        <v>149</v>
      </c>
      <c r="H61" s="353" t="s">
        <v>146</v>
      </c>
      <c r="I61" s="353" t="s">
        <v>150</v>
      </c>
      <c r="J61" s="354" t="s">
        <v>159</v>
      </c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  <c r="Z61" s="360"/>
    </row>
    <row r="62" spans="1:26" x14ac:dyDescent="0.6">
      <c r="A62" s="427" t="s">
        <v>2580</v>
      </c>
      <c r="B62" s="528">
        <v>157373</v>
      </c>
      <c r="C62" s="520">
        <v>184975</v>
      </c>
      <c r="D62" s="520">
        <v>197922</v>
      </c>
      <c r="E62" s="520">
        <v>26050</v>
      </c>
      <c r="F62" s="520">
        <v>173757</v>
      </c>
      <c r="G62" s="520">
        <v>173757</v>
      </c>
      <c r="H62" s="520"/>
      <c r="I62" s="520">
        <f>B133</f>
        <v>173757</v>
      </c>
      <c r="J62" s="529">
        <f>B141</f>
        <v>217069.62605146997</v>
      </c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  <c r="Z62" s="360"/>
    </row>
    <row r="63" spans="1:26" ht="25.5" x14ac:dyDescent="0.7">
      <c r="A63" s="300" t="s">
        <v>67</v>
      </c>
      <c r="B63" s="530">
        <f>G6</f>
        <v>22548</v>
      </c>
      <c r="C63" s="530">
        <f>J6</f>
        <v>27613</v>
      </c>
      <c r="D63" s="530">
        <f>K6</f>
        <v>38578</v>
      </c>
      <c r="E63" s="530">
        <f>L6</f>
        <v>3827</v>
      </c>
      <c r="F63" s="530">
        <f>M6</f>
        <v>24112</v>
      </c>
      <c r="G63" s="530">
        <f>N6</f>
        <v>24014</v>
      </c>
      <c r="H63" s="367"/>
      <c r="I63" s="367"/>
      <c r="J63" s="376"/>
      <c r="M63" s="360"/>
      <c r="N63" s="360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0"/>
      <c r="Z63" s="360"/>
    </row>
    <row r="64" spans="1:26" ht="26.25" thickBot="1" x14ac:dyDescent="0.75">
      <c r="A64" s="227" t="s">
        <v>66</v>
      </c>
      <c r="B64" s="531">
        <f>B62/B63</f>
        <v>6.9794660280290932</v>
      </c>
      <c r="C64" s="531">
        <f t="shared" ref="C64:G64" si="33">C62/C63</f>
        <v>6.6988375040741683</v>
      </c>
      <c r="D64" s="531">
        <f t="shared" si="33"/>
        <v>5.1304370366530145</v>
      </c>
      <c r="E64" s="531">
        <f t="shared" si="33"/>
        <v>6.8068983538019339</v>
      </c>
      <c r="F64" s="531">
        <f t="shared" si="33"/>
        <v>7.2062458526874584</v>
      </c>
      <c r="G64" s="531">
        <f t="shared" si="33"/>
        <v>7.2356542017156658</v>
      </c>
      <c r="H64" s="379"/>
      <c r="I64" s="532">
        <f>G64</f>
        <v>7.2356542017156658</v>
      </c>
      <c r="J64" s="381"/>
      <c r="M64" s="360"/>
      <c r="N64" s="360"/>
      <c r="O64" s="360"/>
      <c r="P64" s="360"/>
      <c r="Q64" s="360"/>
      <c r="R64" s="360"/>
      <c r="S64" s="360"/>
      <c r="T64" s="360"/>
      <c r="U64" s="360"/>
      <c r="V64" s="360"/>
      <c r="W64" s="360"/>
      <c r="X64" s="360"/>
      <c r="Y64" s="360"/>
      <c r="Z64" s="360"/>
    </row>
    <row r="66" spans="1:26" ht="23.25" thickBot="1" x14ac:dyDescent="0.65"/>
    <row r="67" spans="1:26" x14ac:dyDescent="0.6">
      <c r="A67" s="437" t="s">
        <v>116</v>
      </c>
      <c r="B67" s="350" t="s">
        <v>169</v>
      </c>
      <c r="C67" s="350" t="s">
        <v>166</v>
      </c>
      <c r="D67" s="350" t="s">
        <v>165</v>
      </c>
      <c r="E67" s="350" t="s">
        <v>164</v>
      </c>
      <c r="F67" s="350" t="s">
        <v>163</v>
      </c>
      <c r="G67" s="350" t="s">
        <v>162</v>
      </c>
      <c r="H67" s="350" t="s">
        <v>146</v>
      </c>
      <c r="I67" s="350" t="s">
        <v>161</v>
      </c>
      <c r="J67" s="351" t="s">
        <v>161</v>
      </c>
      <c r="M67" s="360"/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  <c r="Z67" s="360"/>
    </row>
    <row r="68" spans="1:26" x14ac:dyDescent="0.6">
      <c r="A68" s="427"/>
      <c r="B68" s="353" t="s">
        <v>40</v>
      </c>
      <c r="C68" s="353" t="s">
        <v>94</v>
      </c>
      <c r="D68" s="353" t="s">
        <v>39</v>
      </c>
      <c r="E68" s="353" t="s">
        <v>54</v>
      </c>
      <c r="F68" s="352" t="s">
        <v>148</v>
      </c>
      <c r="G68" s="353" t="s">
        <v>149</v>
      </c>
      <c r="H68" s="353" t="s">
        <v>146</v>
      </c>
      <c r="I68" s="353" t="s">
        <v>150</v>
      </c>
      <c r="J68" s="354" t="s">
        <v>159</v>
      </c>
      <c r="M68" s="360"/>
      <c r="N68" s="360"/>
      <c r="O68" s="360"/>
      <c r="P68" s="360"/>
      <c r="Q68" s="360"/>
      <c r="R68" s="360"/>
      <c r="S68" s="360"/>
      <c r="T68" s="360"/>
      <c r="U68" s="360"/>
      <c r="V68" s="360"/>
      <c r="W68" s="360"/>
      <c r="X68" s="360"/>
      <c r="Y68" s="360"/>
      <c r="Z68" s="360"/>
    </row>
    <row r="69" spans="1:26" ht="23.25" thickBot="1" x14ac:dyDescent="0.65">
      <c r="A69" s="417"/>
      <c r="B69" s="533">
        <v>494000</v>
      </c>
      <c r="C69" s="534">
        <v>615387</v>
      </c>
      <c r="D69" s="534">
        <v>652280</v>
      </c>
      <c r="E69" s="534">
        <v>81567</v>
      </c>
      <c r="F69" s="534">
        <v>534291</v>
      </c>
      <c r="G69" s="534">
        <v>534291</v>
      </c>
      <c r="H69" s="534"/>
      <c r="I69" s="534">
        <f>I62*I74/1000000</f>
        <v>534291</v>
      </c>
      <c r="J69" s="535">
        <f>J62*J74/1000000</f>
        <v>1302417.7563088199</v>
      </c>
      <c r="M69" s="360"/>
      <c r="N69" s="360"/>
      <c r="O69" s="366"/>
      <c r="P69" s="360"/>
      <c r="Q69" s="366"/>
      <c r="R69" s="365"/>
      <c r="S69" s="364"/>
      <c r="T69" s="365"/>
      <c r="U69" s="365"/>
      <c r="V69" s="366"/>
      <c r="W69" s="365"/>
      <c r="X69" s="366"/>
      <c r="Y69" s="360"/>
      <c r="Z69" s="366"/>
    </row>
    <row r="70" spans="1:26" x14ac:dyDescent="0.6">
      <c r="M70" s="360"/>
      <c r="N70" s="360"/>
      <c r="O70" s="360"/>
      <c r="P70" s="360"/>
      <c r="Q70" s="360"/>
      <c r="R70" s="360"/>
      <c r="S70" s="360"/>
      <c r="T70" s="360"/>
      <c r="U70" s="360"/>
      <c r="V70" s="360"/>
      <c r="W70" s="360"/>
      <c r="X70" s="360"/>
      <c r="Y70" s="360"/>
      <c r="Z70" s="360"/>
    </row>
    <row r="71" spans="1:26" ht="23.25" thickBot="1" x14ac:dyDescent="0.65">
      <c r="M71" s="360"/>
      <c r="N71" s="360"/>
      <c r="O71" s="366"/>
      <c r="P71" s="366"/>
      <c r="Q71" s="366"/>
      <c r="R71" s="365"/>
      <c r="S71" s="364"/>
      <c r="T71" s="365"/>
      <c r="U71" s="365"/>
      <c r="V71" s="366"/>
      <c r="W71" s="365"/>
      <c r="X71" s="366"/>
      <c r="Y71" s="366"/>
      <c r="Z71" s="366"/>
    </row>
    <row r="72" spans="1:26" x14ac:dyDescent="0.6">
      <c r="A72" s="437" t="s">
        <v>117</v>
      </c>
      <c r="B72" s="350" t="s">
        <v>169</v>
      </c>
      <c r="C72" s="350" t="s">
        <v>166</v>
      </c>
      <c r="D72" s="350" t="s">
        <v>165</v>
      </c>
      <c r="E72" s="350" t="s">
        <v>164</v>
      </c>
      <c r="F72" s="350" t="s">
        <v>163</v>
      </c>
      <c r="G72" s="350" t="s">
        <v>162</v>
      </c>
      <c r="H72" s="350" t="s">
        <v>146</v>
      </c>
      <c r="I72" s="350" t="s">
        <v>161</v>
      </c>
      <c r="J72" s="351" t="s">
        <v>161</v>
      </c>
      <c r="M72" s="360"/>
      <c r="N72" s="360"/>
      <c r="O72" s="360"/>
      <c r="P72" s="360"/>
      <c r="Q72" s="360"/>
      <c r="R72" s="360"/>
      <c r="S72" s="360"/>
      <c r="T72" s="360"/>
      <c r="U72" s="360"/>
      <c r="V72" s="360"/>
      <c r="W72" s="360"/>
      <c r="X72" s="360"/>
      <c r="Y72" s="360"/>
      <c r="Z72" s="360"/>
    </row>
    <row r="73" spans="1:26" x14ac:dyDescent="0.6">
      <c r="A73" s="427"/>
      <c r="B73" s="353" t="s">
        <v>40</v>
      </c>
      <c r="C73" s="353" t="s">
        <v>94</v>
      </c>
      <c r="D73" s="353" t="s">
        <v>39</v>
      </c>
      <c r="E73" s="353" t="s">
        <v>54</v>
      </c>
      <c r="F73" s="352" t="s">
        <v>148</v>
      </c>
      <c r="G73" s="353" t="s">
        <v>149</v>
      </c>
      <c r="H73" s="353" t="s">
        <v>146</v>
      </c>
      <c r="I73" s="353" t="s">
        <v>150</v>
      </c>
      <c r="J73" s="354" t="s">
        <v>159</v>
      </c>
      <c r="M73" s="360"/>
      <c r="N73" s="360"/>
      <c r="O73" s="360"/>
      <c r="P73" s="360"/>
      <c r="Q73" s="360"/>
      <c r="R73" s="360"/>
      <c r="S73" s="360"/>
      <c r="T73" s="360"/>
      <c r="U73" s="360"/>
      <c r="V73" s="360"/>
      <c r="W73" s="360"/>
      <c r="X73" s="360"/>
      <c r="Y73" s="360"/>
      <c r="Z73" s="360"/>
    </row>
    <row r="74" spans="1:26" ht="23.25" thickBot="1" x14ac:dyDescent="0.65">
      <c r="A74" s="417"/>
      <c r="B74" s="534">
        <f t="shared" ref="B74:G74" si="34">B69*1000000/B62</f>
        <v>3139039.0981934639</v>
      </c>
      <c r="C74" s="534">
        <f t="shared" si="34"/>
        <v>3326865.7926746858</v>
      </c>
      <c r="D74" s="534">
        <f t="shared" si="34"/>
        <v>3295641.7174442457</v>
      </c>
      <c r="E74" s="534">
        <f t="shared" si="34"/>
        <v>3131170.8253358924</v>
      </c>
      <c r="F74" s="534">
        <f t="shared" si="34"/>
        <v>3074932.2329460108</v>
      </c>
      <c r="G74" s="534">
        <f t="shared" si="34"/>
        <v>3074932.2329460108</v>
      </c>
      <c r="H74" s="534"/>
      <c r="I74" s="534">
        <f>B134</f>
        <v>3074932.2329460108</v>
      </c>
      <c r="J74" s="536">
        <f>B142</f>
        <v>6000000</v>
      </c>
      <c r="M74" s="360"/>
      <c r="N74" s="360"/>
      <c r="O74" s="366"/>
      <c r="P74" s="366"/>
      <c r="Q74" s="366"/>
      <c r="R74" s="366"/>
      <c r="S74" s="366"/>
      <c r="T74" s="366"/>
      <c r="U74" s="366"/>
      <c r="V74" s="366"/>
      <c r="W74" s="366"/>
      <c r="X74" s="366"/>
      <c r="Y74" s="366"/>
      <c r="Z74" s="366"/>
    </row>
    <row r="75" spans="1:26" x14ac:dyDescent="0.6">
      <c r="M75" s="360"/>
      <c r="N75" s="360"/>
      <c r="O75" s="360"/>
      <c r="P75" s="360"/>
      <c r="Q75" s="366"/>
      <c r="R75" s="360"/>
      <c r="S75" s="360"/>
      <c r="T75" s="365"/>
      <c r="U75" s="360"/>
      <c r="V75" s="360"/>
      <c r="W75" s="365"/>
      <c r="X75" s="360"/>
      <c r="Y75" s="360"/>
      <c r="Z75" s="360"/>
    </row>
    <row r="76" spans="1:26" ht="23.25" thickBot="1" x14ac:dyDescent="0.65"/>
    <row r="77" spans="1:26" x14ac:dyDescent="0.6">
      <c r="A77" s="437" t="s">
        <v>180</v>
      </c>
      <c r="B77" s="350" t="s">
        <v>169</v>
      </c>
      <c r="C77" s="350" t="s">
        <v>166</v>
      </c>
      <c r="D77" s="350" t="s">
        <v>165</v>
      </c>
      <c r="E77" s="350" t="s">
        <v>164</v>
      </c>
      <c r="F77" s="350" t="s">
        <v>163</v>
      </c>
      <c r="G77" s="350" t="s">
        <v>162</v>
      </c>
      <c r="H77" s="350" t="s">
        <v>146</v>
      </c>
      <c r="I77" s="350" t="s">
        <v>161</v>
      </c>
      <c r="J77" s="350"/>
      <c r="K77" s="351" t="s">
        <v>161</v>
      </c>
    </row>
    <row r="78" spans="1:26" x14ac:dyDescent="0.6">
      <c r="A78" s="427"/>
      <c r="B78" s="353" t="s">
        <v>40</v>
      </c>
      <c r="C78" s="353" t="s">
        <v>94</v>
      </c>
      <c r="D78" s="353" t="s">
        <v>39</v>
      </c>
      <c r="E78" s="353" t="s">
        <v>54</v>
      </c>
      <c r="F78" s="352" t="s">
        <v>148</v>
      </c>
      <c r="G78" s="353" t="s">
        <v>149</v>
      </c>
      <c r="H78" s="353" t="s">
        <v>146</v>
      </c>
      <c r="I78" s="353" t="s">
        <v>150</v>
      </c>
      <c r="J78" s="353" t="s">
        <v>181</v>
      </c>
      <c r="K78" s="354" t="s">
        <v>159</v>
      </c>
      <c r="L78" s="388"/>
      <c r="N78" s="388"/>
      <c r="O78" s="389"/>
      <c r="Q78" s="388"/>
      <c r="S78" s="389"/>
    </row>
    <row r="79" spans="1:26" x14ac:dyDescent="0.6">
      <c r="A79" s="523" t="s">
        <v>52</v>
      </c>
      <c r="B79" s="367">
        <v>32643</v>
      </c>
      <c r="C79" s="367">
        <v>33327</v>
      </c>
      <c r="D79" s="528">
        <v>53231</v>
      </c>
      <c r="E79" s="528">
        <v>11581</v>
      </c>
      <c r="F79" s="528">
        <v>32515</v>
      </c>
      <c r="G79" s="528">
        <v>41325</v>
      </c>
      <c r="H79" s="528">
        <f>J79</f>
        <v>10331</v>
      </c>
      <c r="I79" s="528">
        <f>J79+G79</f>
        <v>51656</v>
      </c>
      <c r="J79" s="528">
        <v>10331</v>
      </c>
      <c r="K79" s="376">
        <f>I79*1.3</f>
        <v>67152.800000000003</v>
      </c>
      <c r="L79" s="388"/>
      <c r="N79" s="388"/>
      <c r="O79" s="389"/>
      <c r="Q79" s="389"/>
      <c r="S79" s="389"/>
    </row>
    <row r="80" spans="1:26" x14ac:dyDescent="0.6">
      <c r="A80" s="523" t="s">
        <v>51</v>
      </c>
      <c r="B80" s="367">
        <v>9673</v>
      </c>
      <c r="C80" s="367">
        <v>6613</v>
      </c>
      <c r="D80" s="528">
        <v>9201</v>
      </c>
      <c r="E80" s="528">
        <v>2466</v>
      </c>
      <c r="F80" s="528">
        <v>4863</v>
      </c>
      <c r="G80" s="528">
        <v>7143</v>
      </c>
      <c r="H80" s="528">
        <f t="shared" ref="H80:H88" si="35">J80</f>
        <v>2381</v>
      </c>
      <c r="I80" s="528">
        <f t="shared" ref="I80:I88" si="36">J80+G80</f>
        <v>9524</v>
      </c>
      <c r="J80" s="528">
        <v>2381</v>
      </c>
      <c r="K80" s="376">
        <f t="shared" ref="K80:K88" si="37">I80*1.3</f>
        <v>12381.2</v>
      </c>
      <c r="L80" s="388"/>
      <c r="N80" s="388"/>
      <c r="O80" s="389"/>
      <c r="Q80" s="389"/>
      <c r="S80" s="389"/>
    </row>
    <row r="81" spans="1:19" x14ac:dyDescent="0.6">
      <c r="A81" s="523" t="s">
        <v>50</v>
      </c>
      <c r="B81" s="367">
        <v>24268</v>
      </c>
      <c r="C81" s="367">
        <v>26497</v>
      </c>
      <c r="D81" s="528">
        <v>40249</v>
      </c>
      <c r="E81" s="528">
        <v>3232</v>
      </c>
      <c r="F81" s="528">
        <v>23755</v>
      </c>
      <c r="G81" s="528">
        <v>31247</v>
      </c>
      <c r="H81" s="528">
        <f t="shared" si="35"/>
        <v>1000</v>
      </c>
      <c r="I81" s="528">
        <f t="shared" si="36"/>
        <v>32247</v>
      </c>
      <c r="J81" s="528">
        <v>1000</v>
      </c>
      <c r="K81" s="376">
        <f t="shared" si="37"/>
        <v>41921.1</v>
      </c>
      <c r="L81" s="388"/>
      <c r="N81" s="389"/>
      <c r="O81" s="389"/>
      <c r="Q81" s="389"/>
      <c r="S81" s="389"/>
    </row>
    <row r="82" spans="1:19" x14ac:dyDescent="0.6">
      <c r="A82" s="523" t="s">
        <v>49</v>
      </c>
      <c r="B82" s="367">
        <v>6721</v>
      </c>
      <c r="C82" s="367">
        <v>9842</v>
      </c>
      <c r="D82" s="528">
        <v>13398</v>
      </c>
      <c r="E82" s="528">
        <v>2401</v>
      </c>
      <c r="F82" s="528">
        <v>21028</v>
      </c>
      <c r="G82" s="528">
        <v>10401</v>
      </c>
      <c r="H82" s="528">
        <f t="shared" si="35"/>
        <v>0</v>
      </c>
      <c r="I82" s="528">
        <f t="shared" si="36"/>
        <v>10401</v>
      </c>
      <c r="J82" s="537">
        <v>0</v>
      </c>
      <c r="K82" s="376">
        <f t="shared" si="37"/>
        <v>13521.300000000001</v>
      </c>
      <c r="L82" s="389"/>
      <c r="N82" s="389"/>
      <c r="O82" s="389"/>
      <c r="Q82" s="389"/>
      <c r="S82" s="389"/>
    </row>
    <row r="83" spans="1:19" x14ac:dyDescent="0.6">
      <c r="A83" s="523" t="s">
        <v>48</v>
      </c>
      <c r="B83" s="367">
        <v>0</v>
      </c>
      <c r="C83" s="367">
        <v>0</v>
      </c>
      <c r="D83" s="537">
        <v>0</v>
      </c>
      <c r="E83" s="537">
        <v>0</v>
      </c>
      <c r="F83" s="537">
        <v>0</v>
      </c>
      <c r="G83" s="537">
        <v>0</v>
      </c>
      <c r="H83" s="528">
        <f t="shared" si="35"/>
        <v>0</v>
      </c>
      <c r="I83" s="528">
        <f t="shared" si="36"/>
        <v>0</v>
      </c>
      <c r="J83" s="537">
        <v>0</v>
      </c>
      <c r="K83" s="376">
        <f t="shared" si="37"/>
        <v>0</v>
      </c>
      <c r="L83" s="389"/>
      <c r="N83" s="389"/>
      <c r="O83" s="389"/>
      <c r="Q83" s="389"/>
      <c r="S83" s="389"/>
    </row>
    <row r="84" spans="1:19" x14ac:dyDescent="0.6">
      <c r="A84" s="523" t="s">
        <v>47</v>
      </c>
      <c r="B84" s="367">
        <v>0</v>
      </c>
      <c r="C84" s="367">
        <v>0</v>
      </c>
      <c r="D84" s="537">
        <v>0</v>
      </c>
      <c r="E84" s="537">
        <v>0</v>
      </c>
      <c r="F84" s="537">
        <v>0</v>
      </c>
      <c r="G84" s="537">
        <v>0</v>
      </c>
      <c r="H84" s="528">
        <f t="shared" si="35"/>
        <v>0</v>
      </c>
      <c r="I84" s="528">
        <f t="shared" si="36"/>
        <v>0</v>
      </c>
      <c r="J84" s="537">
        <v>0</v>
      </c>
      <c r="K84" s="376">
        <f t="shared" si="37"/>
        <v>0</v>
      </c>
      <c r="L84" s="389"/>
      <c r="N84" s="389"/>
      <c r="O84" s="389"/>
      <c r="Q84" s="389"/>
      <c r="S84" s="389"/>
    </row>
    <row r="85" spans="1:19" x14ac:dyDescent="0.6">
      <c r="A85" s="523" t="s">
        <v>118</v>
      </c>
      <c r="B85" s="367">
        <v>5640</v>
      </c>
      <c r="C85" s="367">
        <v>5640</v>
      </c>
      <c r="D85" s="537">
        <v>0</v>
      </c>
      <c r="E85" s="537">
        <v>0</v>
      </c>
      <c r="F85" s="537">
        <v>0</v>
      </c>
      <c r="G85" s="537">
        <v>0</v>
      </c>
      <c r="H85" s="528">
        <f t="shared" si="35"/>
        <v>0</v>
      </c>
      <c r="I85" s="528">
        <f t="shared" si="36"/>
        <v>0</v>
      </c>
      <c r="J85" s="537">
        <v>0</v>
      </c>
      <c r="K85" s="376">
        <f t="shared" si="37"/>
        <v>0</v>
      </c>
      <c r="L85" s="389"/>
      <c r="N85" s="389"/>
      <c r="O85" s="389"/>
      <c r="Q85" s="389"/>
      <c r="S85" s="389"/>
    </row>
    <row r="86" spans="1:19" x14ac:dyDescent="0.6">
      <c r="A86" s="523" t="s">
        <v>45</v>
      </c>
      <c r="B86" s="367">
        <v>0</v>
      </c>
      <c r="C86" s="367">
        <v>0</v>
      </c>
      <c r="D86" s="537">
        <v>0</v>
      </c>
      <c r="E86" s="537">
        <v>0</v>
      </c>
      <c r="F86" s="537">
        <v>0</v>
      </c>
      <c r="G86" s="537">
        <v>0</v>
      </c>
      <c r="H86" s="528">
        <f t="shared" si="35"/>
        <v>0</v>
      </c>
      <c r="I86" s="528">
        <f t="shared" si="36"/>
        <v>0</v>
      </c>
      <c r="J86" s="537">
        <v>0</v>
      </c>
      <c r="K86" s="376">
        <f t="shared" si="37"/>
        <v>0</v>
      </c>
      <c r="L86" s="389"/>
      <c r="N86" s="389"/>
      <c r="O86" s="389"/>
      <c r="Q86" s="389"/>
      <c r="S86" s="389"/>
    </row>
    <row r="87" spans="1:19" x14ac:dyDescent="0.6">
      <c r="A87" s="523" t="s">
        <v>44</v>
      </c>
      <c r="B87" s="367">
        <v>0</v>
      </c>
      <c r="C87" s="367">
        <v>0</v>
      </c>
      <c r="D87" s="537">
        <v>0</v>
      </c>
      <c r="E87" s="537">
        <v>0</v>
      </c>
      <c r="F87" s="537">
        <v>0</v>
      </c>
      <c r="G87" s="537">
        <v>0</v>
      </c>
      <c r="H87" s="528">
        <f t="shared" si="35"/>
        <v>0</v>
      </c>
      <c r="I87" s="528">
        <f t="shared" si="36"/>
        <v>0</v>
      </c>
      <c r="J87" s="537">
        <v>0</v>
      </c>
      <c r="K87" s="376">
        <f t="shared" si="37"/>
        <v>0</v>
      </c>
      <c r="L87" s="388"/>
      <c r="N87" s="388"/>
      <c r="O87" s="389"/>
      <c r="Q87" s="388"/>
      <c r="S87" s="389"/>
    </row>
    <row r="88" spans="1:19" x14ac:dyDescent="0.6">
      <c r="A88" s="523" t="s">
        <v>43</v>
      </c>
      <c r="B88" s="367">
        <f>3234+16949</f>
        <v>20183</v>
      </c>
      <c r="C88" s="367">
        <f>3234+16949</f>
        <v>20183</v>
      </c>
      <c r="D88" s="528">
        <v>20706</v>
      </c>
      <c r="E88" s="528">
        <v>5734</v>
      </c>
      <c r="F88" s="528">
        <v>6826</v>
      </c>
      <c r="G88" s="528">
        <v>16075</v>
      </c>
      <c r="H88" s="528">
        <f t="shared" si="35"/>
        <v>2285</v>
      </c>
      <c r="I88" s="528">
        <f t="shared" si="36"/>
        <v>18360</v>
      </c>
      <c r="J88" s="528">
        <v>2285</v>
      </c>
      <c r="K88" s="376">
        <f t="shared" si="37"/>
        <v>23868</v>
      </c>
      <c r="L88" s="388"/>
      <c r="N88" s="388"/>
      <c r="O88" s="389"/>
      <c r="Q88" s="388"/>
      <c r="S88" s="389"/>
    </row>
    <row r="89" spans="1:19" ht="23.25" thickBot="1" x14ac:dyDescent="0.65">
      <c r="A89" s="525" t="s">
        <v>42</v>
      </c>
      <c r="B89" s="379">
        <f>SUM(B79:B88)</f>
        <v>99128</v>
      </c>
      <c r="C89" s="379">
        <f>SUM(C79:C88)</f>
        <v>102102</v>
      </c>
      <c r="D89" s="379">
        <f t="shared" ref="D89:I89" si="38">SUM(D79:D88)</f>
        <v>136785</v>
      </c>
      <c r="E89" s="379">
        <f t="shared" si="38"/>
        <v>25414</v>
      </c>
      <c r="F89" s="379">
        <f t="shared" si="38"/>
        <v>88987</v>
      </c>
      <c r="G89" s="379">
        <f t="shared" si="38"/>
        <v>106191</v>
      </c>
      <c r="H89" s="379">
        <f t="shared" si="38"/>
        <v>15997</v>
      </c>
      <c r="I89" s="379">
        <f t="shared" si="38"/>
        <v>122188</v>
      </c>
      <c r="J89" s="533">
        <v>15997</v>
      </c>
      <c r="K89" s="381">
        <f>SUM(K79:K88)</f>
        <v>158844.4</v>
      </c>
    </row>
    <row r="90" spans="1:19" ht="23.25" thickBot="1" x14ac:dyDescent="0.65"/>
    <row r="91" spans="1:19" x14ac:dyDescent="0.6">
      <c r="A91" s="437" t="s">
        <v>56</v>
      </c>
      <c r="B91" s="350" t="s">
        <v>169</v>
      </c>
      <c r="C91" s="350" t="s">
        <v>166</v>
      </c>
      <c r="D91" s="350" t="s">
        <v>165</v>
      </c>
      <c r="E91" s="350" t="s">
        <v>164</v>
      </c>
      <c r="F91" s="350" t="s">
        <v>163</v>
      </c>
      <c r="G91" s="350" t="s">
        <v>162</v>
      </c>
      <c r="H91" s="350" t="s">
        <v>146</v>
      </c>
      <c r="I91" s="350" t="s">
        <v>161</v>
      </c>
      <c r="J91" s="350"/>
      <c r="K91" s="351" t="s">
        <v>161</v>
      </c>
    </row>
    <row r="92" spans="1:19" x14ac:dyDescent="0.6">
      <c r="A92" s="427"/>
      <c r="B92" s="353" t="s">
        <v>40</v>
      </c>
      <c r="C92" s="353" t="s">
        <v>94</v>
      </c>
      <c r="D92" s="353" t="s">
        <v>39</v>
      </c>
      <c r="E92" s="353" t="s">
        <v>54</v>
      </c>
      <c r="F92" s="352" t="s">
        <v>148</v>
      </c>
      <c r="G92" s="353" t="s">
        <v>149</v>
      </c>
      <c r="H92" s="353" t="s">
        <v>146</v>
      </c>
      <c r="I92" s="353" t="s">
        <v>150</v>
      </c>
      <c r="J92" s="353" t="s">
        <v>181</v>
      </c>
      <c r="K92" s="354" t="s">
        <v>159</v>
      </c>
    </row>
    <row r="93" spans="1:19" x14ac:dyDescent="0.6">
      <c r="A93" s="523" t="s">
        <v>52</v>
      </c>
      <c r="B93" s="367">
        <v>5902</v>
      </c>
      <c r="C93" s="367">
        <v>5610</v>
      </c>
      <c r="D93" s="528">
        <v>6408</v>
      </c>
      <c r="E93" s="528">
        <v>1743</v>
      </c>
      <c r="F93" s="528">
        <v>2150</v>
      </c>
      <c r="G93" s="528">
        <v>4108</v>
      </c>
      <c r="H93" s="528">
        <f>J93</f>
        <v>1643</v>
      </c>
      <c r="I93" s="528">
        <f>J93+G93</f>
        <v>5751</v>
      </c>
      <c r="J93" s="528">
        <v>1643</v>
      </c>
      <c r="K93" s="538">
        <f>I93*1.3</f>
        <v>7476.3</v>
      </c>
    </row>
    <row r="94" spans="1:19" x14ac:dyDescent="0.6">
      <c r="A94" s="523" t="s">
        <v>51</v>
      </c>
      <c r="B94" s="367">
        <v>395</v>
      </c>
      <c r="C94" s="367">
        <v>397</v>
      </c>
      <c r="D94" s="537">
        <v>398</v>
      </c>
      <c r="E94" s="537">
        <v>69</v>
      </c>
      <c r="F94" s="537">
        <v>189</v>
      </c>
      <c r="G94" s="537">
        <v>255</v>
      </c>
      <c r="H94" s="528">
        <f t="shared" ref="H94:H102" si="39">J94</f>
        <v>85</v>
      </c>
      <c r="I94" s="528">
        <f t="shared" ref="I94:I102" si="40">J94+G94</f>
        <v>340</v>
      </c>
      <c r="J94" s="537">
        <v>85</v>
      </c>
      <c r="K94" s="538">
        <f t="shared" ref="K94:K102" si="41">I94*1.3</f>
        <v>442</v>
      </c>
    </row>
    <row r="95" spans="1:19" x14ac:dyDescent="0.6">
      <c r="A95" s="523" t="s">
        <v>50</v>
      </c>
      <c r="B95" s="367">
        <v>13</v>
      </c>
      <c r="C95" s="367">
        <v>74</v>
      </c>
      <c r="D95" s="537">
        <v>14</v>
      </c>
      <c r="E95" s="537">
        <v>19</v>
      </c>
      <c r="F95" s="537">
        <v>7</v>
      </c>
      <c r="G95" s="537">
        <v>9</v>
      </c>
      <c r="H95" s="528">
        <f t="shared" si="39"/>
        <v>3</v>
      </c>
      <c r="I95" s="528">
        <f t="shared" si="40"/>
        <v>12</v>
      </c>
      <c r="J95" s="537">
        <v>3</v>
      </c>
      <c r="K95" s="538">
        <f t="shared" si="41"/>
        <v>15.600000000000001</v>
      </c>
    </row>
    <row r="96" spans="1:19" x14ac:dyDescent="0.6">
      <c r="A96" s="523" t="s">
        <v>49</v>
      </c>
      <c r="B96" s="367">
        <v>0</v>
      </c>
      <c r="C96" s="367">
        <v>0</v>
      </c>
      <c r="D96" s="537">
        <v>0</v>
      </c>
      <c r="E96" s="537">
        <v>0</v>
      </c>
      <c r="F96" s="537">
        <v>0</v>
      </c>
      <c r="G96" s="537">
        <v>0</v>
      </c>
      <c r="H96" s="528">
        <f t="shared" si="39"/>
        <v>0</v>
      </c>
      <c r="I96" s="528">
        <f t="shared" si="40"/>
        <v>0</v>
      </c>
      <c r="J96" s="537">
        <v>0</v>
      </c>
      <c r="K96" s="538">
        <f t="shared" si="41"/>
        <v>0</v>
      </c>
    </row>
    <row r="97" spans="1:24" x14ac:dyDescent="0.6">
      <c r="A97" s="523" t="s">
        <v>48</v>
      </c>
      <c r="B97" s="367">
        <v>0</v>
      </c>
      <c r="C97" s="367">
        <v>0</v>
      </c>
      <c r="D97" s="537">
        <v>0</v>
      </c>
      <c r="E97" s="537">
        <v>0</v>
      </c>
      <c r="F97" s="537">
        <v>0</v>
      </c>
      <c r="G97" s="537">
        <v>103</v>
      </c>
      <c r="H97" s="528">
        <f t="shared" si="39"/>
        <v>0</v>
      </c>
      <c r="I97" s="528">
        <f t="shared" si="40"/>
        <v>103</v>
      </c>
      <c r="J97" s="537">
        <v>0</v>
      </c>
      <c r="K97" s="538">
        <f t="shared" si="41"/>
        <v>133.9</v>
      </c>
    </row>
    <row r="98" spans="1:24" x14ac:dyDescent="0.6">
      <c r="A98" s="523" t="s">
        <v>47</v>
      </c>
      <c r="B98" s="367">
        <v>0</v>
      </c>
      <c r="C98" s="367">
        <v>0</v>
      </c>
      <c r="D98" s="537">
        <v>0</v>
      </c>
      <c r="E98" s="537">
        <v>0</v>
      </c>
      <c r="F98" s="537">
        <v>0</v>
      </c>
      <c r="G98" s="537">
        <v>0</v>
      </c>
      <c r="H98" s="528">
        <f t="shared" si="39"/>
        <v>0</v>
      </c>
      <c r="I98" s="528">
        <f t="shared" si="40"/>
        <v>0</v>
      </c>
      <c r="J98" s="537">
        <v>0</v>
      </c>
      <c r="K98" s="538">
        <f t="shared" si="41"/>
        <v>0</v>
      </c>
    </row>
    <row r="99" spans="1:24" x14ac:dyDescent="0.6">
      <c r="A99" s="523" t="s">
        <v>118</v>
      </c>
      <c r="B99" s="367">
        <v>1608</v>
      </c>
      <c r="C99" s="367">
        <v>1656</v>
      </c>
      <c r="D99" s="537">
        <v>0</v>
      </c>
      <c r="E99" s="537">
        <v>0</v>
      </c>
      <c r="F99" s="537">
        <v>0</v>
      </c>
      <c r="G99" s="537">
        <v>0</v>
      </c>
      <c r="H99" s="528">
        <f t="shared" si="39"/>
        <v>0</v>
      </c>
      <c r="I99" s="528">
        <f t="shared" si="40"/>
        <v>0</v>
      </c>
      <c r="J99" s="537">
        <v>0</v>
      </c>
      <c r="K99" s="538">
        <f t="shared" si="41"/>
        <v>0</v>
      </c>
    </row>
    <row r="100" spans="1:24" x14ac:dyDescent="0.6">
      <c r="A100" s="523" t="s">
        <v>45</v>
      </c>
      <c r="B100" s="367">
        <v>0</v>
      </c>
      <c r="C100" s="367">
        <v>0</v>
      </c>
      <c r="D100" s="537">
        <v>0</v>
      </c>
      <c r="E100" s="537">
        <v>0</v>
      </c>
      <c r="F100" s="537">
        <v>0</v>
      </c>
      <c r="G100" s="537">
        <v>0</v>
      </c>
      <c r="H100" s="528">
        <f t="shared" si="39"/>
        <v>0</v>
      </c>
      <c r="I100" s="528">
        <f t="shared" si="40"/>
        <v>0</v>
      </c>
      <c r="J100" s="537">
        <v>0</v>
      </c>
      <c r="K100" s="538">
        <f t="shared" si="41"/>
        <v>0</v>
      </c>
    </row>
    <row r="101" spans="1:24" x14ac:dyDescent="0.6">
      <c r="A101" s="523" t="s">
        <v>44</v>
      </c>
      <c r="B101" s="367">
        <v>0</v>
      </c>
      <c r="C101" s="367">
        <v>0</v>
      </c>
      <c r="D101" s="537">
        <v>0</v>
      </c>
      <c r="E101" s="537">
        <v>0</v>
      </c>
      <c r="F101" s="537">
        <v>0</v>
      </c>
      <c r="G101" s="537">
        <v>0</v>
      </c>
      <c r="H101" s="528">
        <f t="shared" si="39"/>
        <v>0</v>
      </c>
      <c r="I101" s="528">
        <f t="shared" si="40"/>
        <v>0</v>
      </c>
      <c r="J101" s="537">
        <v>0</v>
      </c>
      <c r="K101" s="538">
        <f t="shared" si="41"/>
        <v>0</v>
      </c>
    </row>
    <row r="102" spans="1:24" x14ac:dyDescent="0.6">
      <c r="A102" s="523" t="s">
        <v>43</v>
      </c>
      <c r="B102" s="367">
        <f>413+318+227+350+384</f>
        <v>1692</v>
      </c>
      <c r="C102" s="367">
        <f>979+171+385+317+114</f>
        <v>1966</v>
      </c>
      <c r="D102" s="528">
        <v>4150</v>
      </c>
      <c r="E102" s="537">
        <v>865</v>
      </c>
      <c r="F102" s="528">
        <v>1827</v>
      </c>
      <c r="G102" s="528">
        <v>2557</v>
      </c>
      <c r="H102" s="528">
        <f t="shared" si="39"/>
        <v>809</v>
      </c>
      <c r="I102" s="528">
        <f t="shared" si="40"/>
        <v>3366</v>
      </c>
      <c r="J102" s="537">
        <v>809</v>
      </c>
      <c r="K102" s="538">
        <f t="shared" si="41"/>
        <v>4375.8</v>
      </c>
    </row>
    <row r="103" spans="1:24" ht="23.25" thickBot="1" x14ac:dyDescent="0.65">
      <c r="A103" s="525" t="s">
        <v>42</v>
      </c>
      <c r="B103" s="379">
        <f>SUM(B93:B102)</f>
        <v>9610</v>
      </c>
      <c r="C103" s="379">
        <f>SUM(C93:C102)</f>
        <v>9703</v>
      </c>
      <c r="D103" s="533">
        <v>10970</v>
      </c>
      <c r="E103" s="533">
        <v>2696</v>
      </c>
      <c r="F103" s="533">
        <v>4173</v>
      </c>
      <c r="G103" s="533">
        <v>7032</v>
      </c>
      <c r="H103" s="533">
        <f>SUM(H93:H102)</f>
        <v>2540</v>
      </c>
      <c r="I103" s="533">
        <f t="shared" ref="I103:J103" si="42">SUM(I93:I102)</f>
        <v>9572</v>
      </c>
      <c r="J103" s="533">
        <f t="shared" si="42"/>
        <v>2540</v>
      </c>
      <c r="K103" s="539">
        <f>SUM(K93:K102)</f>
        <v>12443.6</v>
      </c>
    </row>
    <row r="108" spans="1:24" x14ac:dyDescent="0.6">
      <c r="A108" s="450" t="s">
        <v>190</v>
      </c>
      <c r="B108" s="451" t="s">
        <v>176</v>
      </c>
      <c r="C108" s="451" t="s">
        <v>175</v>
      </c>
      <c r="D108" s="451" t="s">
        <v>174</v>
      </c>
      <c r="E108" s="451" t="s">
        <v>173</v>
      </c>
      <c r="F108" s="451" t="s">
        <v>172</v>
      </c>
      <c r="G108" s="451" t="s">
        <v>171</v>
      </c>
      <c r="H108" s="451" t="s">
        <v>170</v>
      </c>
      <c r="I108" s="451" t="s">
        <v>169</v>
      </c>
      <c r="J108" s="451" t="s">
        <v>168</v>
      </c>
      <c r="K108" s="451" t="s">
        <v>167</v>
      </c>
      <c r="L108" s="451" t="s">
        <v>166</v>
      </c>
      <c r="M108" s="451" t="s">
        <v>165</v>
      </c>
      <c r="N108" s="451" t="s">
        <v>164</v>
      </c>
      <c r="O108" s="451" t="s">
        <v>163</v>
      </c>
      <c r="P108" s="451" t="s">
        <v>162</v>
      </c>
      <c r="Q108" s="451" t="s">
        <v>146</v>
      </c>
      <c r="R108" s="451" t="s">
        <v>161</v>
      </c>
    </row>
    <row r="109" spans="1:24" x14ac:dyDescent="0.6">
      <c r="A109" s="450"/>
      <c r="B109" s="451" t="s">
        <v>106</v>
      </c>
      <c r="C109" s="451" t="s">
        <v>97</v>
      </c>
      <c r="D109" s="451" t="s">
        <v>96</v>
      </c>
      <c r="E109" s="451" t="s">
        <v>62</v>
      </c>
      <c r="F109" s="451" t="s">
        <v>107</v>
      </c>
      <c r="G109" s="451" t="s">
        <v>108</v>
      </c>
      <c r="H109" s="451" t="s">
        <v>109</v>
      </c>
      <c r="I109" s="451" t="s">
        <v>40</v>
      </c>
      <c r="J109" s="451" t="s">
        <v>55</v>
      </c>
      <c r="K109" s="451" t="s">
        <v>95</v>
      </c>
      <c r="L109" s="451" t="s">
        <v>94</v>
      </c>
      <c r="M109" s="451" t="s">
        <v>39</v>
      </c>
      <c r="N109" s="451" t="s">
        <v>54</v>
      </c>
      <c r="O109" s="451" t="s">
        <v>148</v>
      </c>
      <c r="P109" s="451" t="s">
        <v>149</v>
      </c>
      <c r="Q109" s="451" t="s">
        <v>160</v>
      </c>
      <c r="R109" s="451" t="s">
        <v>159</v>
      </c>
    </row>
    <row r="110" spans="1:24" x14ac:dyDescent="0.6">
      <c r="A110" s="353" t="s">
        <v>37</v>
      </c>
      <c r="B110" s="524">
        <v>417814</v>
      </c>
      <c r="C110" s="524">
        <v>455771</v>
      </c>
      <c r="D110" s="524">
        <v>794580</v>
      </c>
      <c r="E110" s="524">
        <v>764393</v>
      </c>
      <c r="F110" s="524">
        <v>37568</v>
      </c>
      <c r="G110" s="524">
        <v>174047</v>
      </c>
      <c r="H110" s="524">
        <v>491567</v>
      </c>
      <c r="I110" s="524">
        <v>730644</v>
      </c>
      <c r="J110" s="524">
        <v>3133</v>
      </c>
      <c r="K110" s="524">
        <v>218633</v>
      </c>
      <c r="L110" s="524">
        <v>487000</v>
      </c>
      <c r="M110" s="524">
        <v>947193</v>
      </c>
      <c r="N110" s="524">
        <v>250122</v>
      </c>
      <c r="O110" s="524">
        <v>453708</v>
      </c>
      <c r="P110" s="524">
        <v>1009280</v>
      </c>
      <c r="Q110" s="524">
        <f>O28</f>
        <v>1236478.8690062542</v>
      </c>
      <c r="R110" s="524">
        <f>P28</f>
        <v>1530145.9864793078</v>
      </c>
    </row>
    <row r="111" spans="1:24" x14ac:dyDescent="0.6">
      <c r="A111" s="353" t="s">
        <v>36</v>
      </c>
      <c r="B111" s="524">
        <v>-307704</v>
      </c>
      <c r="C111" s="524">
        <v>-354053</v>
      </c>
      <c r="D111" s="524">
        <v>-702471</v>
      </c>
      <c r="E111" s="524">
        <v>-701252</v>
      </c>
      <c r="F111" s="524">
        <v>-28364</v>
      </c>
      <c r="G111" s="524">
        <v>-148487</v>
      </c>
      <c r="H111" s="524">
        <v>-420692</v>
      </c>
      <c r="I111" s="524">
        <v>-646202</v>
      </c>
      <c r="J111" s="524">
        <v>-2788</v>
      </c>
      <c r="K111" s="524">
        <v>-169729</v>
      </c>
      <c r="L111" s="524">
        <v>-389546</v>
      </c>
      <c r="M111" s="524">
        <v>-803471</v>
      </c>
      <c r="N111" s="524">
        <v>-204493</v>
      </c>
      <c r="O111" s="524">
        <v>-358517</v>
      </c>
      <c r="P111" s="524">
        <v>-713697</v>
      </c>
      <c r="Q111" s="524">
        <f>-J56</f>
        <v>-729694</v>
      </c>
      <c r="R111" s="524">
        <f>-K56</f>
        <v>-1540990.9563088198</v>
      </c>
    </row>
    <row r="112" spans="1:24" x14ac:dyDescent="0.6">
      <c r="A112" s="353" t="s">
        <v>35</v>
      </c>
      <c r="B112" s="524">
        <v>110110</v>
      </c>
      <c r="C112" s="524">
        <v>101718</v>
      </c>
      <c r="D112" s="524">
        <v>92109</v>
      </c>
      <c r="E112" s="524">
        <v>63141</v>
      </c>
      <c r="F112" s="524">
        <v>9204</v>
      </c>
      <c r="G112" s="524">
        <v>25560</v>
      </c>
      <c r="H112" s="524">
        <v>70875</v>
      </c>
      <c r="I112" s="524">
        <v>84442</v>
      </c>
      <c r="J112" s="524">
        <v>345</v>
      </c>
      <c r="K112" s="524">
        <v>48904</v>
      </c>
      <c r="L112" s="524">
        <v>97454</v>
      </c>
      <c r="M112" s="524">
        <v>143722</v>
      </c>
      <c r="N112" s="524">
        <v>45629</v>
      </c>
      <c r="O112" s="524">
        <v>95191</v>
      </c>
      <c r="P112" s="524">
        <v>295583</v>
      </c>
      <c r="Q112" s="524">
        <f>SUM(Q110:Q111)</f>
        <v>506784.86900625424</v>
      </c>
      <c r="R112" s="524">
        <f>SUM(R110:R111)</f>
        <v>-10844.969829512062</v>
      </c>
      <c r="X112" s="388"/>
    </row>
    <row r="113" spans="1:26" x14ac:dyDescent="0.6">
      <c r="A113" s="353" t="s">
        <v>34</v>
      </c>
      <c r="B113" s="524">
        <v>-8369</v>
      </c>
      <c r="C113" s="524">
        <v>-13117</v>
      </c>
      <c r="D113" s="524">
        <v>-9849</v>
      </c>
      <c r="E113" s="524">
        <v>-10553</v>
      </c>
      <c r="F113" s="524">
        <v>-2099</v>
      </c>
      <c r="G113" s="524">
        <v>-5076</v>
      </c>
      <c r="H113" s="524">
        <v>-6953</v>
      </c>
      <c r="I113" s="524">
        <v>-9769</v>
      </c>
      <c r="J113" s="524">
        <v>-3422</v>
      </c>
      <c r="K113" s="524">
        <v>-6629</v>
      </c>
      <c r="L113" s="524">
        <v>-9703</v>
      </c>
      <c r="M113" s="524">
        <v>-10970</v>
      </c>
      <c r="N113" s="524">
        <v>-2696</v>
      </c>
      <c r="O113" s="524">
        <v>-4173</v>
      </c>
      <c r="P113" s="524">
        <v>-7032</v>
      </c>
      <c r="Q113" s="524">
        <f>-I103</f>
        <v>-9572</v>
      </c>
      <c r="R113" s="524">
        <f>-K103</f>
        <v>-12443.6</v>
      </c>
      <c r="X113" s="388"/>
    </row>
    <row r="114" spans="1:26" x14ac:dyDescent="0.6">
      <c r="A114" s="353" t="s">
        <v>33</v>
      </c>
      <c r="B114" s="524">
        <v>1352</v>
      </c>
      <c r="C114" s="524">
        <v>6496</v>
      </c>
      <c r="D114" s="524">
        <v>5581</v>
      </c>
      <c r="E114" s="524">
        <v>15368</v>
      </c>
      <c r="F114" s="524">
        <v>0</v>
      </c>
      <c r="G114" s="524">
        <v>1543</v>
      </c>
      <c r="H114" s="524">
        <v>1543</v>
      </c>
      <c r="I114" s="524">
        <v>7527</v>
      </c>
      <c r="J114" s="524">
        <v>0</v>
      </c>
      <c r="K114" s="524">
        <v>1694</v>
      </c>
      <c r="L114" s="524">
        <v>1694</v>
      </c>
      <c r="M114" s="524">
        <v>8441</v>
      </c>
      <c r="N114" s="524">
        <v>0</v>
      </c>
      <c r="O114" s="524">
        <v>1120</v>
      </c>
      <c r="P114" s="524">
        <v>2918</v>
      </c>
      <c r="Q114" s="524">
        <f>M114</f>
        <v>8441</v>
      </c>
      <c r="R114" s="524">
        <f>Q114</f>
        <v>8441</v>
      </c>
      <c r="X114" s="388"/>
    </row>
    <row r="115" spans="1:26" x14ac:dyDescent="0.6">
      <c r="A115" s="353" t="s">
        <v>32</v>
      </c>
      <c r="B115" s="524">
        <v>-7017</v>
      </c>
      <c r="C115" s="524">
        <v>-6621</v>
      </c>
      <c r="D115" s="524">
        <v>0</v>
      </c>
      <c r="E115" s="524">
        <v>0</v>
      </c>
      <c r="F115" s="524">
        <v>0</v>
      </c>
      <c r="G115" s="524">
        <v>0</v>
      </c>
      <c r="H115" s="524">
        <v>0</v>
      </c>
      <c r="I115" s="524">
        <v>0</v>
      </c>
      <c r="J115" s="524">
        <v>0</v>
      </c>
      <c r="K115" s="524">
        <v>0</v>
      </c>
      <c r="L115" s="524">
        <v>0</v>
      </c>
      <c r="M115" s="524">
        <v>0</v>
      </c>
      <c r="N115" s="524">
        <v>0</v>
      </c>
      <c r="O115" s="524">
        <v>0</v>
      </c>
      <c r="P115" s="524">
        <v>-465</v>
      </c>
      <c r="Q115" s="524">
        <f>P115</f>
        <v>-465</v>
      </c>
      <c r="R115" s="524">
        <f>Q115</f>
        <v>-465</v>
      </c>
      <c r="X115" s="388"/>
    </row>
    <row r="116" spans="1:26" x14ac:dyDescent="0.6">
      <c r="A116" s="353" t="s">
        <v>31</v>
      </c>
      <c r="B116" s="524">
        <v>103093</v>
      </c>
      <c r="C116" s="524">
        <v>95097</v>
      </c>
      <c r="D116" s="524">
        <v>87841</v>
      </c>
      <c r="E116" s="524">
        <v>67956</v>
      </c>
      <c r="F116" s="524">
        <v>7105</v>
      </c>
      <c r="G116" s="524">
        <v>22027</v>
      </c>
      <c r="H116" s="524">
        <v>65465</v>
      </c>
      <c r="I116" s="524">
        <v>82200</v>
      </c>
      <c r="J116" s="524">
        <v>-3077</v>
      </c>
      <c r="K116" s="524">
        <v>43969</v>
      </c>
      <c r="L116" s="524">
        <v>89445</v>
      </c>
      <c r="M116" s="524">
        <v>141193</v>
      </c>
      <c r="N116" s="524">
        <v>42933</v>
      </c>
      <c r="O116" s="524">
        <v>92138</v>
      </c>
      <c r="P116" s="524">
        <v>291004</v>
      </c>
      <c r="Q116" s="524">
        <f>SUM(Q112:Q115)</f>
        <v>505188.86900625424</v>
      </c>
      <c r="R116" s="524">
        <f>SUM(R112:R115)</f>
        <v>-15312.56982951206</v>
      </c>
      <c r="X116" s="388"/>
    </row>
    <row r="117" spans="1:26" x14ac:dyDescent="0.6">
      <c r="A117" s="353" t="s">
        <v>30</v>
      </c>
      <c r="B117" s="524">
        <v>-7638</v>
      </c>
      <c r="C117" s="524">
        <v>-24828</v>
      </c>
      <c r="D117" s="524">
        <v>-41105</v>
      </c>
      <c r="E117" s="524">
        <v>-9857</v>
      </c>
      <c r="F117" s="524">
        <v>0</v>
      </c>
      <c r="G117" s="524">
        <v>-2</v>
      </c>
      <c r="H117" s="524">
        <v>-298</v>
      </c>
      <c r="I117" s="524">
        <v>-349</v>
      </c>
      <c r="J117" s="524">
        <v>0</v>
      </c>
      <c r="K117" s="524">
        <v>-4435</v>
      </c>
      <c r="L117" s="524">
        <v>-10266</v>
      </c>
      <c r="M117" s="524">
        <v>-15443</v>
      </c>
      <c r="N117" s="524">
        <v>-1399</v>
      </c>
      <c r="O117" s="524">
        <v>-1758</v>
      </c>
      <c r="P117" s="524">
        <v>-2405</v>
      </c>
      <c r="Q117" s="524">
        <f>P117</f>
        <v>-2405</v>
      </c>
      <c r="R117" s="524">
        <f>M117</f>
        <v>-15443</v>
      </c>
      <c r="X117" s="389"/>
    </row>
    <row r="118" spans="1:26" x14ac:dyDescent="0.6">
      <c r="A118" s="353" t="s">
        <v>29</v>
      </c>
      <c r="B118" s="524">
        <v>5728</v>
      </c>
      <c r="C118" s="524">
        <v>6140</v>
      </c>
      <c r="D118" s="524">
        <v>263</v>
      </c>
      <c r="E118" s="524">
        <v>0</v>
      </c>
      <c r="F118" s="524">
        <v>0</v>
      </c>
      <c r="G118" s="524">
        <v>0</v>
      </c>
      <c r="H118" s="524">
        <v>5020</v>
      </c>
      <c r="I118" s="524">
        <v>6873</v>
      </c>
      <c r="J118" s="524">
        <v>3721</v>
      </c>
      <c r="K118" s="524">
        <v>6430</v>
      </c>
      <c r="L118" s="524">
        <v>6852</v>
      </c>
      <c r="M118" s="524">
        <v>7044</v>
      </c>
      <c r="N118" s="524">
        <v>2339</v>
      </c>
      <c r="O118" s="524">
        <v>11328</v>
      </c>
      <c r="P118" s="524">
        <v>20540</v>
      </c>
      <c r="Q118" s="524">
        <f>P118</f>
        <v>20540</v>
      </c>
      <c r="R118" s="524">
        <f>Q118</f>
        <v>20540</v>
      </c>
      <c r="X118" s="388"/>
    </row>
    <row r="119" spans="1:26" x14ac:dyDescent="0.6">
      <c r="A119" s="353" t="s">
        <v>28</v>
      </c>
      <c r="B119" s="524"/>
      <c r="C119" s="524"/>
      <c r="D119" s="524">
        <v>3580</v>
      </c>
      <c r="E119" s="524">
        <v>17037</v>
      </c>
      <c r="F119" s="524">
        <v>3405</v>
      </c>
      <c r="G119" s="524">
        <v>7233</v>
      </c>
      <c r="H119" s="524">
        <v>3049</v>
      </c>
      <c r="I119" s="524">
        <v>18932</v>
      </c>
      <c r="J119" s="524">
        <v>612</v>
      </c>
      <c r="K119" s="524">
        <v>222</v>
      </c>
      <c r="L119" s="524">
        <v>962</v>
      </c>
      <c r="M119" s="524">
        <v>2093</v>
      </c>
      <c r="N119" s="524">
        <v>1481</v>
      </c>
      <c r="O119" s="524">
        <v>1349</v>
      </c>
      <c r="P119" s="524">
        <v>-6491</v>
      </c>
      <c r="Q119" s="524">
        <f>P119</f>
        <v>-6491</v>
      </c>
      <c r="R119" s="524">
        <f>Q119*1.3</f>
        <v>-8438.3000000000011</v>
      </c>
      <c r="X119" s="388"/>
    </row>
    <row r="120" spans="1:26" x14ac:dyDescent="0.6">
      <c r="A120" s="353" t="s">
        <v>27</v>
      </c>
      <c r="B120" s="524">
        <v>101183</v>
      </c>
      <c r="C120" s="524">
        <v>76409</v>
      </c>
      <c r="D120" s="524">
        <v>50579</v>
      </c>
      <c r="E120" s="524">
        <v>75136</v>
      </c>
      <c r="F120" s="524">
        <v>10510</v>
      </c>
      <c r="G120" s="524">
        <v>29258</v>
      </c>
      <c r="H120" s="524">
        <v>73236</v>
      </c>
      <c r="I120" s="524">
        <v>107656</v>
      </c>
      <c r="J120" s="524">
        <v>1256</v>
      </c>
      <c r="K120" s="524">
        <v>46186</v>
      </c>
      <c r="L120" s="524">
        <v>86993</v>
      </c>
      <c r="M120" s="524">
        <v>134887</v>
      </c>
      <c r="N120" s="524">
        <v>45354</v>
      </c>
      <c r="O120" s="524">
        <v>103057</v>
      </c>
      <c r="P120" s="524">
        <v>302648</v>
      </c>
      <c r="Q120" s="524">
        <f>SUM(Q116:Q119)</f>
        <v>516832.86900625424</v>
      </c>
      <c r="R120" s="524">
        <f>SUM(R116:R119)</f>
        <v>-18653.869829512063</v>
      </c>
      <c r="X120" s="389"/>
    </row>
    <row r="121" spans="1:26" x14ac:dyDescent="0.6">
      <c r="A121" s="353" t="s">
        <v>26</v>
      </c>
      <c r="B121" s="524">
        <v>-20192</v>
      </c>
      <c r="C121" s="524">
        <v>-15103</v>
      </c>
      <c r="D121" s="524">
        <v>-10063</v>
      </c>
      <c r="E121" s="524">
        <v>-14707</v>
      </c>
      <c r="F121" s="524">
        <v>-1640</v>
      </c>
      <c r="G121" s="524">
        <v>-4932</v>
      </c>
      <c r="H121" s="524">
        <v>-13643</v>
      </c>
      <c r="I121" s="524">
        <v>-20156</v>
      </c>
      <c r="J121" s="524">
        <v>0</v>
      </c>
      <c r="K121" s="524">
        <v>-7951</v>
      </c>
      <c r="L121" s="524">
        <v>-17889</v>
      </c>
      <c r="M121" s="524">
        <v>-23012</v>
      </c>
      <c r="N121" s="524">
        <v>-8164</v>
      </c>
      <c r="O121" s="524">
        <v>-18346</v>
      </c>
      <c r="P121" s="524">
        <v>-56421</v>
      </c>
      <c r="Q121" s="524">
        <f>P121</f>
        <v>-56421</v>
      </c>
      <c r="R121" s="524">
        <f>-R120*0.19</f>
        <v>3544.2352676072919</v>
      </c>
      <c r="S121" s="390"/>
      <c r="T121" s="390"/>
      <c r="U121" s="390"/>
      <c r="V121" s="390"/>
      <c r="W121" s="390"/>
      <c r="X121" s="388"/>
    </row>
    <row r="122" spans="1:26" x14ac:dyDescent="0.6">
      <c r="A122" s="353" t="s">
        <v>25</v>
      </c>
      <c r="B122" s="524">
        <v>80991</v>
      </c>
      <c r="C122" s="524">
        <v>61306</v>
      </c>
      <c r="D122" s="524">
        <v>40516</v>
      </c>
      <c r="E122" s="524">
        <v>60429</v>
      </c>
      <c r="F122" s="524">
        <v>8870</v>
      </c>
      <c r="G122" s="524">
        <v>24326</v>
      </c>
      <c r="H122" s="524">
        <v>59593</v>
      </c>
      <c r="I122" s="524">
        <v>87500</v>
      </c>
      <c r="J122" s="524">
        <v>1256</v>
      </c>
      <c r="K122" s="524">
        <v>38235</v>
      </c>
      <c r="L122" s="524">
        <v>69104</v>
      </c>
      <c r="M122" s="524">
        <v>111875</v>
      </c>
      <c r="N122" s="524">
        <v>37190</v>
      </c>
      <c r="O122" s="524">
        <v>84711</v>
      </c>
      <c r="P122" s="524">
        <v>246227</v>
      </c>
      <c r="Q122" s="524">
        <f>SUM(Q120:Q121)</f>
        <v>460411.86900625424</v>
      </c>
      <c r="R122" s="524">
        <f>SUM(R120:R121)</f>
        <v>-15109.634561904772</v>
      </c>
      <c r="X122" s="388"/>
    </row>
    <row r="123" spans="1:26" x14ac:dyDescent="0.6">
      <c r="A123" s="353" t="s">
        <v>24</v>
      </c>
      <c r="B123" s="524">
        <v>0</v>
      </c>
      <c r="C123" s="524">
        <v>0</v>
      </c>
      <c r="D123" s="524">
        <v>0</v>
      </c>
      <c r="E123" s="524">
        <v>0</v>
      </c>
      <c r="F123" s="524">
        <v>0</v>
      </c>
      <c r="G123" s="524">
        <v>0</v>
      </c>
      <c r="H123" s="524">
        <v>0</v>
      </c>
      <c r="I123" s="524">
        <v>0</v>
      </c>
      <c r="J123" s="524">
        <v>0</v>
      </c>
      <c r="K123" s="524">
        <v>0</v>
      </c>
      <c r="L123" s="524">
        <v>0</v>
      </c>
      <c r="M123" s="524">
        <v>0</v>
      </c>
      <c r="N123" s="524">
        <v>0</v>
      </c>
      <c r="O123" s="524">
        <v>0</v>
      </c>
      <c r="P123" s="524">
        <v>0</v>
      </c>
      <c r="Q123" s="524">
        <v>0</v>
      </c>
      <c r="R123" s="524">
        <v>0</v>
      </c>
      <c r="X123" s="388"/>
    </row>
    <row r="124" spans="1:26" x14ac:dyDescent="0.6">
      <c r="A124" s="353" t="s">
        <v>23</v>
      </c>
      <c r="B124" s="524">
        <v>80991</v>
      </c>
      <c r="C124" s="524">
        <v>61306</v>
      </c>
      <c r="D124" s="524">
        <v>40516</v>
      </c>
      <c r="E124" s="524">
        <v>60429</v>
      </c>
      <c r="F124" s="524">
        <v>8870</v>
      </c>
      <c r="G124" s="524">
        <v>24326</v>
      </c>
      <c r="H124" s="524">
        <v>59593</v>
      </c>
      <c r="I124" s="524">
        <v>87500</v>
      </c>
      <c r="J124" s="524">
        <v>1256</v>
      </c>
      <c r="K124" s="524">
        <v>38235</v>
      </c>
      <c r="L124" s="524">
        <v>69104</v>
      </c>
      <c r="M124" s="524">
        <v>111875</v>
      </c>
      <c r="N124" s="524">
        <v>37190</v>
      </c>
      <c r="O124" s="524">
        <v>84711</v>
      </c>
      <c r="P124" s="524">
        <v>246227</v>
      </c>
      <c r="Q124" s="524">
        <f>SUM(Q122:Q123)</f>
        <v>460411.86900625424</v>
      </c>
      <c r="R124" s="524">
        <f>SUM(R122:R123)</f>
        <v>-15109.634561904772</v>
      </c>
      <c r="X124" s="388"/>
    </row>
    <row r="125" spans="1:26" x14ac:dyDescent="0.6">
      <c r="A125" s="353" t="s">
        <v>22</v>
      </c>
      <c r="B125" s="524">
        <v>675</v>
      </c>
      <c r="C125" s="524">
        <v>511</v>
      </c>
      <c r="D125" s="524">
        <v>338</v>
      </c>
      <c r="E125" s="524">
        <v>504</v>
      </c>
      <c r="F125" s="524">
        <v>74</v>
      </c>
      <c r="G125" s="524">
        <v>203</v>
      </c>
      <c r="H125" s="524">
        <v>298</v>
      </c>
      <c r="I125" s="524">
        <v>438</v>
      </c>
      <c r="J125" s="524">
        <v>6</v>
      </c>
      <c r="K125" s="524">
        <v>191</v>
      </c>
      <c r="L125" s="524">
        <v>346</v>
      </c>
      <c r="M125" s="524">
        <v>559</v>
      </c>
      <c r="N125" s="524">
        <v>186</v>
      </c>
      <c r="O125" s="524">
        <v>424</v>
      </c>
      <c r="P125" s="524">
        <v>1231</v>
      </c>
      <c r="Q125" s="524">
        <f>Q124*1000/Q126</f>
        <v>2302.0593450312713</v>
      </c>
      <c r="R125" s="524">
        <f>R124*1000/R126</f>
        <v>-75.548172809523862</v>
      </c>
      <c r="X125" s="389"/>
    </row>
    <row r="126" spans="1:26" x14ac:dyDescent="0.6">
      <c r="A126" s="353" t="s">
        <v>21</v>
      </c>
      <c r="B126" s="524">
        <v>120000</v>
      </c>
      <c r="C126" s="524">
        <v>120000</v>
      </c>
      <c r="D126" s="524">
        <v>120000</v>
      </c>
      <c r="E126" s="524">
        <v>120000</v>
      </c>
      <c r="F126" s="524">
        <v>120000</v>
      </c>
      <c r="G126" s="524">
        <v>120000</v>
      </c>
      <c r="H126" s="524">
        <v>200000</v>
      </c>
      <c r="I126" s="524">
        <v>200000</v>
      </c>
      <c r="J126" s="524">
        <v>200000</v>
      </c>
      <c r="K126" s="524">
        <v>200000</v>
      </c>
      <c r="L126" s="524">
        <v>200000</v>
      </c>
      <c r="M126" s="524">
        <v>200000</v>
      </c>
      <c r="N126" s="524">
        <v>200000</v>
      </c>
      <c r="O126" s="524">
        <v>200000</v>
      </c>
      <c r="P126" s="524">
        <v>200000</v>
      </c>
      <c r="Q126" s="524">
        <v>200000</v>
      </c>
      <c r="R126" s="524">
        <v>200000</v>
      </c>
      <c r="X126" s="388"/>
    </row>
    <row r="127" spans="1:26" ht="23.25" thickBot="1" x14ac:dyDescent="0.65">
      <c r="X127" s="389"/>
    </row>
    <row r="128" spans="1:26" ht="23.25" thickTop="1" x14ac:dyDescent="0.6">
      <c r="L128" s="656" t="s">
        <v>150</v>
      </c>
      <c r="M128" s="650" t="s">
        <v>2587</v>
      </c>
      <c r="N128" s="651"/>
      <c r="O128" s="651"/>
      <c r="P128" s="651"/>
      <c r="Q128" s="651"/>
      <c r="R128" s="651"/>
      <c r="S128" s="651"/>
      <c r="T128" s="651"/>
      <c r="U128" s="651"/>
      <c r="V128" s="651"/>
      <c r="W128" s="651"/>
      <c r="X128" s="651"/>
      <c r="Y128" s="651"/>
      <c r="Z128" s="652"/>
    </row>
    <row r="129" spans="1:26" ht="26.25" thickBot="1" x14ac:dyDescent="0.65">
      <c r="A129" s="38" t="s">
        <v>150</v>
      </c>
      <c r="B129" s="38"/>
      <c r="C129" s="38" t="s">
        <v>19</v>
      </c>
      <c r="D129" s="39" t="s">
        <v>2578</v>
      </c>
      <c r="E129" s="39" t="s">
        <v>214</v>
      </c>
      <c r="F129" s="39" t="s">
        <v>17</v>
      </c>
      <c r="G129" s="39" t="s">
        <v>2506</v>
      </c>
      <c r="H129" s="39" t="s">
        <v>2508</v>
      </c>
      <c r="I129" s="39" t="s">
        <v>2507</v>
      </c>
      <c r="L129" s="657"/>
      <c r="M129" s="653"/>
      <c r="N129" s="654"/>
      <c r="O129" s="654"/>
      <c r="P129" s="654"/>
      <c r="Q129" s="654"/>
      <c r="R129" s="654"/>
      <c r="S129" s="654"/>
      <c r="T129" s="654"/>
      <c r="U129" s="654"/>
      <c r="V129" s="654"/>
      <c r="W129" s="654"/>
      <c r="X129" s="654"/>
      <c r="Y129" s="654"/>
      <c r="Z129" s="655"/>
    </row>
    <row r="130" spans="1:26" ht="27" thickTop="1" thickBot="1" x14ac:dyDescent="0.65">
      <c r="A130" s="40" t="s">
        <v>2557</v>
      </c>
      <c r="B130" s="41">
        <f>E130</f>
        <v>24014</v>
      </c>
      <c r="C130" s="42">
        <f>AVERAGE(K6,G6,C6,B6)</f>
        <v>26842.25</v>
      </c>
      <c r="D130" s="43"/>
      <c r="E130" s="43">
        <f>N6</f>
        <v>24014</v>
      </c>
      <c r="F130" s="43"/>
      <c r="G130" s="44"/>
      <c r="H130" s="44">
        <f>MAX(N6,K6,G6,C6,B6)</f>
        <v>38578</v>
      </c>
      <c r="I130" s="44">
        <f>MIN(N6,K6,G6,C6,B6)</f>
        <v>22548</v>
      </c>
      <c r="L130" s="614" t="s">
        <v>102</v>
      </c>
      <c r="M130" s="568">
        <f>B135</f>
        <v>2302.0593450312713</v>
      </c>
      <c r="N130" s="569">
        <v>28000000</v>
      </c>
      <c r="O130" s="570">
        <v>29000000</v>
      </c>
      <c r="P130" s="569">
        <v>30000000</v>
      </c>
      <c r="Q130" s="570">
        <v>31000000</v>
      </c>
      <c r="R130" s="569">
        <v>32000000</v>
      </c>
      <c r="S130" s="570">
        <v>33000000</v>
      </c>
      <c r="T130" s="569">
        <v>34000000</v>
      </c>
      <c r="U130" s="570">
        <v>35000000</v>
      </c>
      <c r="V130" s="569">
        <v>36000000</v>
      </c>
      <c r="W130" s="570">
        <v>37000000</v>
      </c>
      <c r="X130" s="569">
        <v>38000000</v>
      </c>
      <c r="Y130" s="570">
        <v>39000000</v>
      </c>
      <c r="Z130" s="571">
        <v>40000000</v>
      </c>
    </row>
    <row r="131" spans="1:26" ht="27" thickTop="1" thickBot="1" x14ac:dyDescent="0.65">
      <c r="A131" s="45" t="s">
        <v>2559</v>
      </c>
      <c r="B131" s="46">
        <f>F131</f>
        <v>37000000</v>
      </c>
      <c r="C131" s="460"/>
      <c r="D131" s="48"/>
      <c r="E131" s="49">
        <f>N33</f>
        <v>30184915.355647065</v>
      </c>
      <c r="F131" s="49">
        <v>37000000</v>
      </c>
      <c r="G131" s="50"/>
      <c r="H131" s="49"/>
      <c r="I131" s="49"/>
      <c r="L131" s="615"/>
      <c r="M131" s="572">
        <v>22000</v>
      </c>
      <c r="N131" s="397">
        <f t="dataTable" ref="N131:Z140" dt2D="1" dtr="1" r1="B131" r2="B130"/>
        <v>629.90159647780115</v>
      </c>
      <c r="O131" s="397">
        <v>782.97972836785596</v>
      </c>
      <c r="P131" s="397">
        <v>936.05786025791201</v>
      </c>
      <c r="Q131" s="397">
        <v>1089.1359921479661</v>
      </c>
      <c r="R131" s="397">
        <v>1242.2141240380215</v>
      </c>
      <c r="S131" s="397">
        <v>1395.2922559280769</v>
      </c>
      <c r="T131" s="397">
        <v>1548.3703878181323</v>
      </c>
      <c r="U131" s="397">
        <v>1701.4485197081858</v>
      </c>
      <c r="V131" s="397">
        <v>1854.5266515982419</v>
      </c>
      <c r="W131" s="397">
        <v>2007.6047834882966</v>
      </c>
      <c r="X131" s="397">
        <v>2160.6829153783528</v>
      </c>
      <c r="Y131" s="397">
        <v>2313.7610472684073</v>
      </c>
      <c r="Z131" s="573">
        <v>2466.8391791584622</v>
      </c>
    </row>
    <row r="132" spans="1:26" ht="26.25" thickBot="1" x14ac:dyDescent="0.65">
      <c r="A132" s="51" t="s">
        <v>2561</v>
      </c>
      <c r="B132" s="347">
        <f>E132</f>
        <v>7.2356542017156658</v>
      </c>
      <c r="C132" s="299"/>
      <c r="D132" s="53"/>
      <c r="E132" s="54">
        <f>G64</f>
        <v>7.2356542017156658</v>
      </c>
      <c r="F132" s="55"/>
      <c r="G132" s="55"/>
      <c r="H132" s="54"/>
      <c r="I132" s="54"/>
      <c r="L132" s="615"/>
      <c r="M132" s="572">
        <v>24000</v>
      </c>
      <c r="N132" s="397">
        <v>797.06355979396437</v>
      </c>
      <c r="O132" s="397">
        <v>964.05788549220767</v>
      </c>
      <c r="P132" s="397">
        <v>1131.0522111904493</v>
      </c>
      <c r="Q132" s="397">
        <v>1298.046536888691</v>
      </c>
      <c r="R132" s="397">
        <v>1465.0408625869331</v>
      </c>
      <c r="S132" s="397">
        <v>1632.0351882851746</v>
      </c>
      <c r="T132" s="397">
        <v>1799.0295139834175</v>
      </c>
      <c r="U132" s="397">
        <v>1966.0238396816578</v>
      </c>
      <c r="V132" s="397">
        <v>2133.0181653798995</v>
      </c>
      <c r="W132" s="397">
        <v>2300.0124910781424</v>
      </c>
      <c r="X132" s="397">
        <v>2467.0068167763839</v>
      </c>
      <c r="Y132" s="397">
        <v>2634.0011424746267</v>
      </c>
      <c r="Z132" s="573">
        <v>2800.9954681728677</v>
      </c>
    </row>
    <row r="133" spans="1:26" ht="27" thickTop="1" thickBot="1" x14ac:dyDescent="0.65">
      <c r="A133" s="56" t="s">
        <v>2563</v>
      </c>
      <c r="B133" s="57">
        <f>B132*B130</f>
        <v>173757</v>
      </c>
      <c r="C133" s="58"/>
      <c r="D133" s="59"/>
      <c r="E133" s="60"/>
      <c r="F133" s="60"/>
      <c r="G133" s="60"/>
      <c r="H133" s="60"/>
      <c r="I133" s="60"/>
      <c r="L133" s="615"/>
      <c r="M133" s="572">
        <v>26000</v>
      </c>
      <c r="N133" s="397">
        <v>964.22552311012919</v>
      </c>
      <c r="O133" s="397">
        <v>1145.136042616557</v>
      </c>
      <c r="P133" s="397">
        <v>1326.0465621229855</v>
      </c>
      <c r="Q133" s="397">
        <v>1506.9570816294151</v>
      </c>
      <c r="R133" s="397">
        <v>1687.8676011358446</v>
      </c>
      <c r="S133" s="397">
        <v>1868.7781206422731</v>
      </c>
      <c r="T133" s="397">
        <v>2049.6886401487013</v>
      </c>
      <c r="U133" s="397">
        <v>2230.5991596551298</v>
      </c>
      <c r="V133" s="397">
        <v>2411.5096791615592</v>
      </c>
      <c r="W133" s="397">
        <v>2592.4201986679886</v>
      </c>
      <c r="X133" s="397">
        <v>2773.3307181744171</v>
      </c>
      <c r="Y133" s="397">
        <v>2954.2412376808456</v>
      </c>
      <c r="Z133" s="573">
        <v>3135.1517571872741</v>
      </c>
    </row>
    <row r="134" spans="1:26" ht="27" thickTop="1" thickBot="1" x14ac:dyDescent="0.65">
      <c r="A134" s="61" t="s">
        <v>2565</v>
      </c>
      <c r="B134" s="57">
        <f>E134</f>
        <v>3074932.2329460108</v>
      </c>
      <c r="C134" s="62"/>
      <c r="D134" s="63"/>
      <c r="E134" s="64">
        <f>G74</f>
        <v>3074932.2329460108</v>
      </c>
      <c r="F134" s="64"/>
      <c r="G134" s="65"/>
      <c r="H134" s="65"/>
      <c r="I134" s="65"/>
      <c r="L134" s="615"/>
      <c r="M134" s="572">
        <v>28000</v>
      </c>
      <c r="N134" s="397">
        <v>1131.3874864262925</v>
      </c>
      <c r="O134" s="397">
        <v>1326.2141997409076</v>
      </c>
      <c r="P134" s="397">
        <v>1521.0409130555227</v>
      </c>
      <c r="Q134" s="397">
        <v>1715.8676263701379</v>
      </c>
      <c r="R134" s="397">
        <v>1910.6943396847544</v>
      </c>
      <c r="S134" s="397">
        <v>2105.5210529993697</v>
      </c>
      <c r="T134" s="397">
        <v>2300.3477663139861</v>
      </c>
      <c r="U134" s="397">
        <v>2495.1744796286011</v>
      </c>
      <c r="V134" s="397">
        <v>2690.0011929432176</v>
      </c>
      <c r="W134" s="397">
        <v>2884.8279062578326</v>
      </c>
      <c r="X134" s="397">
        <v>3079.6546195724486</v>
      </c>
      <c r="Y134" s="397">
        <v>3274.4813328870632</v>
      </c>
      <c r="Z134" s="573">
        <v>3469.3080462016787</v>
      </c>
    </row>
    <row r="135" spans="1:26" ht="27" thickTop="1" thickBot="1" x14ac:dyDescent="0.75">
      <c r="A135" s="66" t="s">
        <v>2567</v>
      </c>
      <c r="B135" s="67">
        <f>Q125</f>
        <v>2302.0593450312713</v>
      </c>
      <c r="C135" s="100"/>
      <c r="D135" s="100"/>
      <c r="E135" s="100"/>
      <c r="F135" s="100"/>
      <c r="G135" s="100"/>
      <c r="H135" s="68"/>
      <c r="I135" s="68"/>
      <c r="L135" s="615"/>
      <c r="M135" s="572">
        <v>30000</v>
      </c>
      <c r="N135" s="397">
        <v>1298.5494497424568</v>
      </c>
      <c r="O135" s="397">
        <v>1507.2923568652589</v>
      </c>
      <c r="P135" s="397">
        <v>1716.0352639880607</v>
      </c>
      <c r="Q135" s="397">
        <v>1924.7781711108639</v>
      </c>
      <c r="R135" s="397">
        <v>2133.5210782336658</v>
      </c>
      <c r="S135" s="397">
        <v>2342.2639853564679</v>
      </c>
      <c r="T135" s="397">
        <v>2551.0068924792708</v>
      </c>
      <c r="U135" s="397">
        <v>2759.7497996020716</v>
      </c>
      <c r="V135" s="397">
        <v>2968.492706724875</v>
      </c>
      <c r="W135" s="397">
        <v>3177.2356138476771</v>
      </c>
      <c r="X135" s="397">
        <v>3385.9785209704805</v>
      </c>
      <c r="Y135" s="397">
        <v>3594.7214280932822</v>
      </c>
      <c r="Z135" s="573">
        <v>3803.4643352160842</v>
      </c>
    </row>
    <row r="136" spans="1:26" ht="23.25" thickTop="1" x14ac:dyDescent="0.6">
      <c r="L136" s="615"/>
      <c r="M136" s="572">
        <v>32000</v>
      </c>
      <c r="N136" s="397">
        <v>1465.711413058621</v>
      </c>
      <c r="O136" s="397">
        <v>1688.3705139896099</v>
      </c>
      <c r="P136" s="397">
        <v>1911.0296149205997</v>
      </c>
      <c r="Q136" s="397">
        <v>2133.6887158515888</v>
      </c>
      <c r="R136" s="397">
        <v>2356.3478167825774</v>
      </c>
      <c r="S136" s="397">
        <v>2579.0069177135661</v>
      </c>
      <c r="T136" s="397">
        <v>2801.6660186445565</v>
      </c>
      <c r="U136" s="397">
        <v>3024.3251195755452</v>
      </c>
      <c r="V136" s="397">
        <v>3246.9842205065352</v>
      </c>
      <c r="W136" s="397">
        <v>3469.6433214375238</v>
      </c>
      <c r="X136" s="397">
        <v>3692.3024223685129</v>
      </c>
      <c r="Y136" s="397">
        <v>3914.9615232995029</v>
      </c>
      <c r="Z136" s="573">
        <v>4137.6206242304925</v>
      </c>
    </row>
    <row r="137" spans="1:26" ht="26.25" thickBot="1" x14ac:dyDescent="0.65">
      <c r="A137" s="38" t="s">
        <v>159</v>
      </c>
      <c r="B137" s="38"/>
      <c r="C137" s="38" t="s">
        <v>19</v>
      </c>
      <c r="D137" s="39" t="s">
        <v>2579</v>
      </c>
      <c r="E137" s="39" t="s">
        <v>214</v>
      </c>
      <c r="F137" s="39" t="s">
        <v>17</v>
      </c>
      <c r="G137" s="39" t="s">
        <v>2506</v>
      </c>
      <c r="H137" s="39" t="s">
        <v>2508</v>
      </c>
      <c r="I137" s="39" t="s">
        <v>2507</v>
      </c>
      <c r="L137" s="615"/>
      <c r="M137" s="572">
        <v>34000</v>
      </c>
      <c r="N137" s="397">
        <v>1632.8733763747839</v>
      </c>
      <c r="O137" s="397">
        <v>1869.4486711139593</v>
      </c>
      <c r="P137" s="397">
        <v>2106.0239658531364</v>
      </c>
      <c r="Q137" s="397">
        <v>2342.5992605923116</v>
      </c>
      <c r="R137" s="397">
        <v>2579.1745553314881</v>
      </c>
      <c r="S137" s="397">
        <v>2815.7498500706638</v>
      </c>
      <c r="T137" s="397">
        <v>3052.3251448098408</v>
      </c>
      <c r="U137" s="397">
        <v>3288.9004395490151</v>
      </c>
      <c r="V137" s="397">
        <v>3525.4757342881931</v>
      </c>
      <c r="W137" s="397">
        <v>3762.0510290273673</v>
      </c>
      <c r="X137" s="397">
        <v>3998.6263237665444</v>
      </c>
      <c r="Y137" s="397">
        <v>4235.2016185057209</v>
      </c>
      <c r="Z137" s="573">
        <v>4471.7769132448966</v>
      </c>
    </row>
    <row r="138" spans="1:26" ht="27" thickTop="1" thickBot="1" x14ac:dyDescent="0.65">
      <c r="A138" s="40" t="s">
        <v>2558</v>
      </c>
      <c r="B138" s="41">
        <f>30000</f>
        <v>30000</v>
      </c>
      <c r="C138" s="42">
        <f>C130</f>
        <v>26842.25</v>
      </c>
      <c r="D138" s="43"/>
      <c r="E138" s="43"/>
      <c r="F138" s="43">
        <v>30000</v>
      </c>
      <c r="G138" s="44"/>
      <c r="H138" s="44">
        <f>H130</f>
        <v>38578</v>
      </c>
      <c r="I138" s="44">
        <f>I130</f>
        <v>22548</v>
      </c>
      <c r="L138" s="615"/>
      <c r="M138" s="572">
        <v>36000</v>
      </c>
      <c r="N138" s="397">
        <v>1800.0353396909488</v>
      </c>
      <c r="O138" s="397">
        <v>2050.5268282383113</v>
      </c>
      <c r="P138" s="397">
        <v>2301.0183167856749</v>
      </c>
      <c r="Q138" s="397">
        <v>2551.509805333038</v>
      </c>
      <c r="R138" s="397">
        <v>2802.0012938804007</v>
      </c>
      <c r="S138" s="397">
        <v>3052.4927824277629</v>
      </c>
      <c r="T138" s="397">
        <v>3302.9842709751265</v>
      </c>
      <c r="U138" s="397">
        <v>3553.4757595224887</v>
      </c>
      <c r="V138" s="397">
        <v>3803.9672480698514</v>
      </c>
      <c r="W138" s="397">
        <v>4054.4587366172145</v>
      </c>
      <c r="X138" s="397">
        <v>4304.9502251645772</v>
      </c>
      <c r="Y138" s="397">
        <v>4555.4417137119399</v>
      </c>
      <c r="Z138" s="573">
        <v>4805.9332022593035</v>
      </c>
    </row>
    <row r="139" spans="1:26" ht="27" thickTop="1" thickBot="1" x14ac:dyDescent="0.65">
      <c r="A139" s="45" t="s">
        <v>2560</v>
      </c>
      <c r="B139" s="41">
        <f>پنل!B1</f>
        <v>40500000</v>
      </c>
      <c r="C139" s="47"/>
      <c r="D139" s="48"/>
      <c r="E139" s="49">
        <f>E131</f>
        <v>30184915.355647065</v>
      </c>
      <c r="F139" s="49">
        <v>40500000</v>
      </c>
      <c r="G139" s="50"/>
      <c r="H139" s="49"/>
      <c r="I139" s="49"/>
      <c r="L139" s="615"/>
      <c r="M139" s="572">
        <v>38000</v>
      </c>
      <c r="N139" s="397">
        <v>1967.1973030071135</v>
      </c>
      <c r="O139" s="397">
        <v>2231.6049853626614</v>
      </c>
      <c r="P139" s="397">
        <v>2496.0126677182107</v>
      </c>
      <c r="Q139" s="397">
        <v>2760.4203500737613</v>
      </c>
      <c r="R139" s="397">
        <v>3024.82803242931</v>
      </c>
      <c r="S139" s="397">
        <v>3289.2357147848593</v>
      </c>
      <c r="T139" s="397">
        <v>3553.6433971404099</v>
      </c>
      <c r="U139" s="397">
        <v>3818.0510794959582</v>
      </c>
      <c r="V139" s="397">
        <v>4082.4587618515079</v>
      </c>
      <c r="W139" s="397">
        <v>4346.8664442070594</v>
      </c>
      <c r="X139" s="397">
        <v>4611.2741265626091</v>
      </c>
      <c r="Y139" s="397">
        <v>4875.6818089181579</v>
      </c>
      <c r="Z139" s="573">
        <v>5140.0894912737085</v>
      </c>
    </row>
    <row r="140" spans="1:26" ht="27" thickTop="1" thickBot="1" x14ac:dyDescent="0.65">
      <c r="A140" s="51" t="s">
        <v>2562</v>
      </c>
      <c r="B140" s="511">
        <f>E140</f>
        <v>7.2356542017156658</v>
      </c>
      <c r="C140" s="299"/>
      <c r="D140" s="53"/>
      <c r="E140" s="54">
        <f>E132</f>
        <v>7.2356542017156658</v>
      </c>
      <c r="F140" s="55"/>
      <c r="G140" s="55"/>
      <c r="H140" s="54"/>
      <c r="I140" s="54"/>
      <c r="L140" s="616"/>
      <c r="M140" s="574">
        <v>40000</v>
      </c>
      <c r="N140" s="575">
        <v>2134.3592663232748</v>
      </c>
      <c r="O140" s="575">
        <v>2412.6831424870134</v>
      </c>
      <c r="P140" s="575">
        <v>2691.0070186507492</v>
      </c>
      <c r="Q140" s="575">
        <v>2969.3308948144863</v>
      </c>
      <c r="R140" s="575">
        <v>3247.6547709782226</v>
      </c>
      <c r="S140" s="575">
        <v>3525.9786471419598</v>
      </c>
      <c r="T140" s="575">
        <v>3804.3025233056956</v>
      </c>
      <c r="U140" s="575">
        <v>4082.6263994694327</v>
      </c>
      <c r="V140" s="575">
        <v>4360.9502756331685</v>
      </c>
      <c r="W140" s="575">
        <v>4639.2741517969052</v>
      </c>
      <c r="X140" s="575">
        <v>4917.598027960642</v>
      </c>
      <c r="Y140" s="575">
        <v>5195.9219041243759</v>
      </c>
      <c r="Z140" s="576">
        <v>5474.2457802881136</v>
      </c>
    </row>
    <row r="141" spans="1:26" ht="27" thickTop="1" thickBot="1" x14ac:dyDescent="0.65">
      <c r="A141" s="56" t="s">
        <v>2564</v>
      </c>
      <c r="B141" s="57">
        <f>B138*B140</f>
        <v>217069.62605146997</v>
      </c>
      <c r="C141" s="58"/>
      <c r="D141" s="59"/>
      <c r="E141" s="60"/>
      <c r="F141" s="60"/>
      <c r="G141" s="60"/>
      <c r="H141" s="60"/>
      <c r="I141" s="60"/>
    </row>
    <row r="142" spans="1:26" ht="27" thickTop="1" thickBot="1" x14ac:dyDescent="0.65">
      <c r="A142" s="61" t="s">
        <v>2566</v>
      </c>
      <c r="B142" s="57">
        <f>پنل!B2</f>
        <v>6000000</v>
      </c>
      <c r="C142" s="62"/>
      <c r="D142" s="63"/>
      <c r="E142" s="64">
        <f>E134</f>
        <v>3074932.2329460108</v>
      </c>
      <c r="F142" s="64"/>
      <c r="G142" s="65"/>
      <c r="H142" s="65"/>
      <c r="I142" s="65"/>
    </row>
    <row r="143" spans="1:26" ht="27" thickTop="1" thickBot="1" x14ac:dyDescent="0.75">
      <c r="A143" s="66" t="s">
        <v>2568</v>
      </c>
      <c r="B143" s="67">
        <f>R125</f>
        <v>-75.548172809523862</v>
      </c>
      <c r="C143" s="100"/>
      <c r="D143" s="100"/>
      <c r="E143" s="100"/>
      <c r="F143" s="100"/>
      <c r="G143" s="100"/>
      <c r="H143" s="68"/>
      <c r="I143" s="68"/>
      <c r="L143" s="656" t="s">
        <v>2588</v>
      </c>
      <c r="M143" s="650" t="s">
        <v>2587</v>
      </c>
      <c r="N143" s="651"/>
      <c r="O143" s="651"/>
      <c r="P143" s="651"/>
      <c r="Q143" s="651"/>
      <c r="R143" s="651"/>
      <c r="S143" s="651"/>
      <c r="T143" s="651"/>
      <c r="U143" s="651"/>
      <c r="V143" s="651"/>
      <c r="W143" s="651"/>
      <c r="X143" s="651"/>
      <c r="Y143" s="651"/>
      <c r="Z143" s="652"/>
    </row>
    <row r="144" spans="1:26" ht="24" thickTop="1" thickBot="1" x14ac:dyDescent="0.65">
      <c r="L144" s="657"/>
      <c r="M144" s="653"/>
      <c r="N144" s="654"/>
      <c r="O144" s="654"/>
      <c r="P144" s="654"/>
      <c r="Q144" s="654"/>
      <c r="R144" s="654"/>
      <c r="S144" s="654"/>
      <c r="T144" s="654"/>
      <c r="U144" s="654"/>
      <c r="V144" s="654"/>
      <c r="W144" s="654"/>
      <c r="X144" s="654"/>
      <c r="Y144" s="654"/>
      <c r="Z144" s="655"/>
    </row>
    <row r="145" spans="1:26" ht="27" thickTop="1" thickBot="1" x14ac:dyDescent="0.75">
      <c r="F145" s="115"/>
      <c r="G145" s="87"/>
      <c r="H145" s="87"/>
      <c r="I145" s="87"/>
      <c r="L145" s="614" t="s">
        <v>102</v>
      </c>
      <c r="M145" s="568">
        <f>B143</f>
        <v>-75.548172809523862</v>
      </c>
      <c r="N145" s="569">
        <v>28000000</v>
      </c>
      <c r="O145" s="570">
        <v>29000000</v>
      </c>
      <c r="P145" s="569">
        <v>30000000</v>
      </c>
      <c r="Q145" s="570">
        <v>31000000</v>
      </c>
      <c r="R145" s="569">
        <v>32000000</v>
      </c>
      <c r="S145" s="570">
        <v>33000000</v>
      </c>
      <c r="T145" s="569">
        <v>34000000</v>
      </c>
      <c r="U145" s="570">
        <v>35000000</v>
      </c>
      <c r="V145" s="569">
        <v>36000000</v>
      </c>
      <c r="W145" s="570">
        <v>37000000</v>
      </c>
      <c r="X145" s="569">
        <v>38000000</v>
      </c>
      <c r="Y145" s="570">
        <v>39000000</v>
      </c>
      <c r="Z145" s="571">
        <v>40000000</v>
      </c>
    </row>
    <row r="146" spans="1:26" ht="30" thickTop="1" thickBot="1" x14ac:dyDescent="0.8">
      <c r="A146" s="634" t="s">
        <v>150</v>
      </c>
      <c r="B146" s="635"/>
      <c r="C146" s="87"/>
      <c r="D146" s="645" t="s">
        <v>159</v>
      </c>
      <c r="E146" s="646"/>
      <c r="F146" s="87"/>
      <c r="G146" s="87"/>
      <c r="H146" s="487" t="s">
        <v>1</v>
      </c>
      <c r="I146" s="488">
        <f>VLOOKUP(J1,'دیده بان بازار'!A:X,11,0)</f>
        <v>15495</v>
      </c>
      <c r="L146" s="615"/>
      <c r="M146" s="572">
        <v>22000</v>
      </c>
      <c r="N146" s="397">
        <f t="dataTable" ref="N146:Z155" dt2D="1" dtr="1" r1="B139" r2="B138"/>
        <v>-1724.1284823330159</v>
      </c>
      <c r="O146" s="397">
        <v>-1611.9177766578669</v>
      </c>
      <c r="P146" s="397">
        <v>-1499.7070709827169</v>
      </c>
      <c r="Q146" s="397">
        <v>-1387.4963653075686</v>
      </c>
      <c r="R146" s="397">
        <v>-1275.2856596324191</v>
      </c>
      <c r="S146" s="397">
        <v>-1163.0749539572703</v>
      </c>
      <c r="T146" s="397">
        <v>-1050.8642482821203</v>
      </c>
      <c r="U146" s="397">
        <v>-938.65354260697109</v>
      </c>
      <c r="V146" s="397">
        <v>-826.44283693182228</v>
      </c>
      <c r="W146" s="397">
        <v>-714.23213125667291</v>
      </c>
      <c r="X146" s="397">
        <v>-602.02142558152389</v>
      </c>
      <c r="Y146" s="397">
        <v>-489.81071990637469</v>
      </c>
      <c r="Z146" s="573">
        <v>-377.6000142312252</v>
      </c>
    </row>
    <row r="147" spans="1:26" ht="26.25" thickTop="1" x14ac:dyDescent="0.7">
      <c r="A147" s="475" t="s">
        <v>10</v>
      </c>
      <c r="B147" s="476">
        <v>0.72</v>
      </c>
      <c r="C147" s="87"/>
      <c r="D147" s="475" t="s">
        <v>10</v>
      </c>
      <c r="E147" s="476">
        <f>B147</f>
        <v>0.72</v>
      </c>
      <c r="F147" s="87"/>
      <c r="G147" s="87"/>
      <c r="H147" s="489">
        <v>6</v>
      </c>
      <c r="I147" s="509">
        <f>$I$146/H147</f>
        <v>2582.5</v>
      </c>
      <c r="L147" s="615"/>
      <c r="M147" s="572">
        <v>24000</v>
      </c>
      <c r="N147" s="397">
        <v>-1790.1540257269248</v>
      </c>
      <c r="O147" s="397">
        <v>-1667.7423468085808</v>
      </c>
      <c r="P147" s="397">
        <v>-1545.330667890237</v>
      </c>
      <c r="Q147" s="397">
        <v>-1422.9189889718916</v>
      </c>
      <c r="R147" s="397">
        <v>-1300.5073100535471</v>
      </c>
      <c r="S147" s="397">
        <v>-1178.0956311352024</v>
      </c>
      <c r="T147" s="397">
        <v>-1055.6839522168573</v>
      </c>
      <c r="U147" s="397">
        <v>-933.27227329851326</v>
      </c>
      <c r="V147" s="397">
        <v>-810.86059438016787</v>
      </c>
      <c r="W147" s="397">
        <v>-688.44891546182362</v>
      </c>
      <c r="X147" s="397">
        <v>-566.03723654347834</v>
      </c>
      <c r="Y147" s="397">
        <v>-443.62555762513307</v>
      </c>
      <c r="Z147" s="573">
        <v>-321.21387870678967</v>
      </c>
    </row>
    <row r="148" spans="1:26" ht="26.25" thickBot="1" x14ac:dyDescent="0.75">
      <c r="A148" s="477" t="s">
        <v>2572</v>
      </c>
      <c r="B148" s="478">
        <f>B147*B135</f>
        <v>1657.4827284225153</v>
      </c>
      <c r="C148" s="87"/>
      <c r="D148" s="477" t="s">
        <v>2573</v>
      </c>
      <c r="E148" s="478">
        <f>E147*B143</f>
        <v>-54.394684422857182</v>
      </c>
      <c r="F148" s="305"/>
      <c r="G148" s="114"/>
      <c r="H148" s="489">
        <v>8</v>
      </c>
      <c r="I148" s="509">
        <f>$I$146/H148</f>
        <v>1936.875</v>
      </c>
      <c r="L148" s="615"/>
      <c r="M148" s="572">
        <v>26000</v>
      </c>
      <c r="N148" s="397">
        <v>-1856.179569120836</v>
      </c>
      <c r="O148" s="397">
        <v>-1723.5669169592968</v>
      </c>
      <c r="P148" s="397">
        <v>-1590.954264797756</v>
      </c>
      <c r="Q148" s="397">
        <v>-1458.3416126362163</v>
      </c>
      <c r="R148" s="397">
        <v>-1325.7289604746761</v>
      </c>
      <c r="S148" s="397">
        <v>-1193.1163083131366</v>
      </c>
      <c r="T148" s="397">
        <v>-1060.5036561515963</v>
      </c>
      <c r="U148" s="397">
        <v>-927.89100399005724</v>
      </c>
      <c r="V148" s="397">
        <v>-795.27835182851493</v>
      </c>
      <c r="W148" s="397">
        <v>-662.66569966697671</v>
      </c>
      <c r="X148" s="397">
        <v>-530.05304750543644</v>
      </c>
      <c r="Y148" s="397">
        <v>-397.44039534389714</v>
      </c>
      <c r="Z148" s="573">
        <v>-264.8277431823559</v>
      </c>
    </row>
    <row r="149" spans="1:26" ht="27" thickTop="1" thickBot="1" x14ac:dyDescent="0.75">
      <c r="C149" s="87"/>
      <c r="D149" s="87"/>
      <c r="E149" s="115"/>
      <c r="F149" s="87"/>
      <c r="G149" s="114"/>
      <c r="H149" s="490">
        <v>10</v>
      </c>
      <c r="I149" s="599">
        <f>$I$146/H149</f>
        <v>1549.5</v>
      </c>
      <c r="L149" s="615"/>
      <c r="M149" s="572">
        <v>28000</v>
      </c>
      <c r="N149" s="397">
        <v>-1922.2051125147477</v>
      </c>
      <c r="O149" s="397">
        <v>-1779.3914871100126</v>
      </c>
      <c r="P149" s="397">
        <v>-1636.5778617052772</v>
      </c>
      <c r="Q149" s="397">
        <v>-1493.7642363005411</v>
      </c>
      <c r="R149" s="397">
        <v>-1350.950610895806</v>
      </c>
      <c r="S149" s="397">
        <v>-1208.1369854910697</v>
      </c>
      <c r="T149" s="397">
        <v>-1065.3233600863352</v>
      </c>
      <c r="U149" s="397">
        <v>-922.50973468160021</v>
      </c>
      <c r="V149" s="397">
        <v>-779.69610927686404</v>
      </c>
      <c r="W149" s="397">
        <v>-636.8824838721298</v>
      </c>
      <c r="X149" s="397">
        <v>-494.06885846739272</v>
      </c>
      <c r="Y149" s="397">
        <v>-351.25523306265933</v>
      </c>
      <c r="Z149" s="573">
        <v>-208.44160765792319</v>
      </c>
    </row>
    <row r="150" spans="1:26" ht="26.25" thickTop="1" x14ac:dyDescent="0.7">
      <c r="A150" s="479" t="s">
        <v>2510</v>
      </c>
      <c r="B150" s="480" t="s">
        <v>2581</v>
      </c>
      <c r="C150" s="87"/>
      <c r="D150" s="479" t="s">
        <v>2510</v>
      </c>
      <c r="E150" s="480" t="str">
        <f>B150</f>
        <v>98/08/26</v>
      </c>
      <c r="F150" s="87"/>
      <c r="G150" s="305"/>
      <c r="H150" s="305"/>
      <c r="I150" s="305"/>
      <c r="L150" s="615"/>
      <c r="M150" s="572">
        <v>30000</v>
      </c>
      <c r="N150" s="397">
        <v>-1988.2306559086585</v>
      </c>
      <c r="O150" s="397">
        <v>-1835.216057260727</v>
      </c>
      <c r="P150" s="397">
        <v>-1682.2014586127952</v>
      </c>
      <c r="Q150" s="397">
        <v>-1529.1868599648658</v>
      </c>
      <c r="R150" s="397">
        <v>-1376.1722613169345</v>
      </c>
      <c r="S150" s="397">
        <v>-1223.1576626690035</v>
      </c>
      <c r="T150" s="397">
        <v>-1070.1430640210735</v>
      </c>
      <c r="U150" s="397">
        <v>-917.12846537314135</v>
      </c>
      <c r="V150" s="397">
        <v>-764.11386672521223</v>
      </c>
      <c r="W150" s="397">
        <v>-611.09926807728004</v>
      </c>
      <c r="X150" s="397">
        <v>-458.0846694293499</v>
      </c>
      <c r="Y150" s="397">
        <v>-305.07007078142061</v>
      </c>
      <c r="Z150" s="573">
        <v>-152.05547213348848</v>
      </c>
    </row>
    <row r="151" spans="1:26" ht="26.25" thickBot="1" x14ac:dyDescent="0.75">
      <c r="A151" s="481" t="s">
        <v>2511</v>
      </c>
      <c r="B151" s="482" t="s">
        <v>2577</v>
      </c>
      <c r="C151" s="87"/>
      <c r="D151" s="481" t="s">
        <v>2511</v>
      </c>
      <c r="E151" s="482" t="str">
        <f>B151</f>
        <v>99/04/01</v>
      </c>
      <c r="F151" s="305"/>
      <c r="G151" s="305"/>
      <c r="H151" s="305"/>
      <c r="I151" s="87"/>
      <c r="L151" s="615"/>
      <c r="M151" s="572">
        <v>32000</v>
      </c>
      <c r="N151" s="397">
        <v>-2054.2561993025693</v>
      </c>
      <c r="O151" s="397">
        <v>-1891.0406274114428</v>
      </c>
      <c r="P151" s="397">
        <v>-1727.8250555203169</v>
      </c>
      <c r="Q151" s="397">
        <v>-1564.6094836291907</v>
      </c>
      <c r="R151" s="397">
        <v>-1401.3939117380646</v>
      </c>
      <c r="S151" s="397">
        <v>-1238.1783398469383</v>
      </c>
      <c r="T151" s="397">
        <v>-1074.9627679558123</v>
      </c>
      <c r="U151" s="397">
        <v>-911.74719606468636</v>
      </c>
      <c r="V151" s="397">
        <v>-748.53162417356009</v>
      </c>
      <c r="W151" s="397">
        <v>-585.31605228243222</v>
      </c>
      <c r="X151" s="397">
        <v>-422.10048039130709</v>
      </c>
      <c r="Y151" s="397">
        <v>-258.88490850018093</v>
      </c>
      <c r="Z151" s="573">
        <v>-95.669336609055719</v>
      </c>
    </row>
    <row r="152" spans="1:26" ht="27" thickTop="1" thickBot="1" x14ac:dyDescent="0.75">
      <c r="A152" s="87"/>
      <c r="B152" s="87"/>
      <c r="C152" s="87"/>
      <c r="D152" s="87"/>
      <c r="E152" s="305"/>
      <c r="F152" s="87"/>
      <c r="G152" s="87"/>
      <c r="H152" s="87"/>
      <c r="I152" s="87"/>
      <c r="L152" s="615"/>
      <c r="M152" s="572">
        <v>34000</v>
      </c>
      <c r="N152" s="397">
        <v>-2120.2817426964798</v>
      </c>
      <c r="O152" s="397">
        <v>-1946.8651975621578</v>
      </c>
      <c r="P152" s="397">
        <v>-1773.4486524278364</v>
      </c>
      <c r="Q152" s="397">
        <v>-1600.0321072935144</v>
      </c>
      <c r="R152" s="397">
        <v>-1426.6155621591931</v>
      </c>
      <c r="S152" s="397">
        <v>-1253.1990170248703</v>
      </c>
      <c r="T152" s="397">
        <v>-1079.7824718905504</v>
      </c>
      <c r="U152" s="397">
        <v>-906.36592675622853</v>
      </c>
      <c r="V152" s="397">
        <v>-732.94938162190715</v>
      </c>
      <c r="W152" s="397">
        <v>-559.5328364875852</v>
      </c>
      <c r="X152" s="397">
        <v>-386.11629135326513</v>
      </c>
      <c r="Y152" s="397">
        <v>-212.69974621894218</v>
      </c>
      <c r="Z152" s="573">
        <v>-39.283201084621055</v>
      </c>
    </row>
    <row r="153" spans="1:26" ht="26.25" thickTop="1" x14ac:dyDescent="0.7">
      <c r="A153" s="483" t="s">
        <v>2544</v>
      </c>
      <c r="B153" s="486">
        <v>4</v>
      </c>
      <c r="C153" s="114"/>
      <c r="D153" s="483" t="s">
        <v>2547</v>
      </c>
      <c r="E153" s="484">
        <v>16</v>
      </c>
      <c r="F153" s="87"/>
      <c r="G153" s="87"/>
      <c r="H153" s="87"/>
      <c r="I153" s="87"/>
      <c r="L153" s="615"/>
      <c r="M153" s="572">
        <v>36000</v>
      </c>
      <c r="N153" s="397">
        <v>-2186.3072860903885</v>
      </c>
      <c r="O153" s="397">
        <v>-2002.6897677128723</v>
      </c>
      <c r="P153" s="397">
        <v>-1819.0722493353551</v>
      </c>
      <c r="Q153" s="397">
        <v>-1635.4547309578386</v>
      </c>
      <c r="R153" s="397">
        <v>-1451.8372125803214</v>
      </c>
      <c r="S153" s="397">
        <v>-1268.2196942028054</v>
      </c>
      <c r="T153" s="397">
        <v>-1084.6021758252873</v>
      </c>
      <c r="U153" s="397">
        <v>-900.98465744776945</v>
      </c>
      <c r="V153" s="397">
        <v>-717.36713907025251</v>
      </c>
      <c r="W153" s="397">
        <v>-533.74962069273647</v>
      </c>
      <c r="X153" s="397">
        <v>-350.13210231521947</v>
      </c>
      <c r="Y153" s="397">
        <v>-166.51458393770156</v>
      </c>
      <c r="Z153" s="573">
        <v>17.102934439814536</v>
      </c>
    </row>
    <row r="154" spans="1:26" ht="26.25" thickBot="1" x14ac:dyDescent="0.75">
      <c r="A154" s="477" t="s">
        <v>2545</v>
      </c>
      <c r="B154" s="485">
        <v>10</v>
      </c>
      <c r="C154" s="114"/>
      <c r="D154" s="477" t="s">
        <v>2546</v>
      </c>
      <c r="E154" s="485">
        <v>22</v>
      </c>
      <c r="F154" s="87"/>
      <c r="G154" s="87"/>
      <c r="H154" s="87"/>
      <c r="I154" s="87"/>
      <c r="L154" s="615"/>
      <c r="M154" s="572">
        <v>38000</v>
      </c>
      <c r="N154" s="397">
        <v>-2252.3328294842995</v>
      </c>
      <c r="O154" s="397">
        <v>-2058.5143378635862</v>
      </c>
      <c r="P154" s="397">
        <v>-1864.695846242874</v>
      </c>
      <c r="Q154" s="397">
        <v>-1670.8773546221623</v>
      </c>
      <c r="R154" s="397">
        <v>-1477.058863001449</v>
      </c>
      <c r="S154" s="397">
        <v>-1283.2403713807382</v>
      </c>
      <c r="T154" s="397">
        <v>-1089.4218797600242</v>
      </c>
      <c r="U154" s="397">
        <v>-895.60338813931151</v>
      </c>
      <c r="V154" s="397">
        <v>-701.78489651860059</v>
      </c>
      <c r="W154" s="397">
        <v>-507.96640489788768</v>
      </c>
      <c r="X154" s="397">
        <v>-314.14791327717575</v>
      </c>
      <c r="Y154" s="397">
        <v>-120.32942165646185</v>
      </c>
      <c r="Z154" s="573">
        <v>73.489069964249197</v>
      </c>
    </row>
    <row r="155" spans="1:26" ht="27" thickTop="1" thickBot="1" x14ac:dyDescent="0.75">
      <c r="C155" s="114"/>
      <c r="D155" s="115"/>
      <c r="E155" s="87"/>
      <c r="F155" s="87"/>
      <c r="G155" s="87"/>
      <c r="H155" s="87"/>
      <c r="I155" s="87"/>
      <c r="L155" s="616"/>
      <c r="M155" s="574">
        <v>40000</v>
      </c>
      <c r="N155" s="575">
        <v>-2318.358372878211</v>
      </c>
      <c r="O155" s="575">
        <v>-2114.338908014302</v>
      </c>
      <c r="P155" s="575">
        <v>-1910.3194431503948</v>
      </c>
      <c r="Q155" s="575">
        <v>-1706.299978286487</v>
      </c>
      <c r="R155" s="575">
        <v>-1502.2805134225791</v>
      </c>
      <c r="S155" s="575">
        <v>-1298.2610485586711</v>
      </c>
      <c r="T155" s="575">
        <v>-1094.2415836947641</v>
      </c>
      <c r="U155" s="575">
        <v>-890.22211883085652</v>
      </c>
      <c r="V155" s="575">
        <v>-686.20265396694856</v>
      </c>
      <c r="W155" s="575">
        <v>-482.18318910304077</v>
      </c>
      <c r="X155" s="575">
        <v>-278.16372423913288</v>
      </c>
      <c r="Y155" s="575">
        <v>-74.144259375224038</v>
      </c>
      <c r="Z155" s="576">
        <v>129.87520548868289</v>
      </c>
    </row>
    <row r="156" spans="1:26" ht="27" thickTop="1" thickBot="1" x14ac:dyDescent="0.75">
      <c r="A156" s="319">
        <v>0.2</v>
      </c>
      <c r="B156" s="320" t="s">
        <v>2519</v>
      </c>
      <c r="C156" s="114"/>
      <c r="D156" s="319">
        <v>0.2</v>
      </c>
      <c r="E156" s="320" t="s">
        <v>2519</v>
      </c>
      <c r="F156" s="87"/>
      <c r="G156" s="87"/>
      <c r="H156" s="87"/>
      <c r="I156" s="87"/>
    </row>
    <row r="157" spans="1:26" ht="26.25" thickTop="1" x14ac:dyDescent="0.7">
      <c r="A157" s="321" t="s">
        <v>8</v>
      </c>
      <c r="B157" s="322" t="s">
        <v>7</v>
      </c>
      <c r="D157" s="321" t="s">
        <v>8</v>
      </c>
      <c r="E157" s="322" t="s">
        <v>7</v>
      </c>
    </row>
    <row r="158" spans="1:26" ht="26.25" thickBot="1" x14ac:dyDescent="0.75">
      <c r="A158" s="324">
        <f>A156/12</f>
        <v>1.6666666666666666E-2</v>
      </c>
      <c r="B158" s="323">
        <v>5</v>
      </c>
      <c r="D158" s="324">
        <f>D156/12</f>
        <v>1.6666666666666666E-2</v>
      </c>
      <c r="E158" s="323">
        <v>5</v>
      </c>
    </row>
    <row r="159" spans="1:26" ht="26.25" thickTop="1" x14ac:dyDescent="0.7">
      <c r="A159" s="176" t="s">
        <v>2548</v>
      </c>
      <c r="B159" s="177">
        <f>B158*B135</f>
        <v>11510.296725156357</v>
      </c>
      <c r="D159" s="176" t="s">
        <v>2548</v>
      </c>
      <c r="E159" s="473">
        <f>B143*E158</f>
        <v>-377.74086404761931</v>
      </c>
    </row>
    <row r="160" spans="1:26" ht="25.5" x14ac:dyDescent="0.7">
      <c r="A160" s="176" t="s">
        <v>3</v>
      </c>
      <c r="B160" s="177">
        <f>B159/(1+A158)^B153</f>
        <v>10773.881164605777</v>
      </c>
      <c r="D160" s="176" t="s">
        <v>3</v>
      </c>
      <c r="E160" s="473">
        <f>E159/(1+D158)^E153</f>
        <v>-289.95901472532273</v>
      </c>
    </row>
    <row r="161" spans="1:5" ht="26.25" thickBot="1" x14ac:dyDescent="0.75">
      <c r="A161" s="178" t="s">
        <v>2</v>
      </c>
      <c r="B161" s="179">
        <f>B148/(1+A158)^B154</f>
        <v>1404.9574298022828</v>
      </c>
      <c r="D161" s="178" t="s">
        <v>2</v>
      </c>
      <c r="E161" s="474">
        <f>E148/(1+D158)^E154</f>
        <v>-37.811821557380057</v>
      </c>
    </row>
    <row r="162" spans="1:5" ht="27" thickTop="1" thickBot="1" x14ac:dyDescent="0.75">
      <c r="A162" s="180" t="s">
        <v>0</v>
      </c>
      <c r="B162" s="181">
        <f>B161+B160</f>
        <v>12178.83859440806</v>
      </c>
      <c r="D162" s="180" t="s">
        <v>0</v>
      </c>
      <c r="E162" s="181">
        <f>E161+E160</f>
        <v>-327.77083628270282</v>
      </c>
    </row>
    <row r="163" spans="1:5" ht="23.25" thickTop="1" x14ac:dyDescent="0.6"/>
  </sheetData>
  <mergeCells count="9">
    <mergeCell ref="A146:B146"/>
    <mergeCell ref="D146:E146"/>
    <mergeCell ref="F1:I1"/>
    <mergeCell ref="L130:L140"/>
    <mergeCell ref="M128:Z129"/>
    <mergeCell ref="L128:L129"/>
    <mergeCell ref="L143:L144"/>
    <mergeCell ref="M143:Z144"/>
    <mergeCell ref="L145:L155"/>
  </mergeCells>
  <conditionalFormatting sqref="N131:Z140">
    <cfRule type="colorScale" priority="3">
      <colorScale>
        <cfvo type="num" val="$I$149"/>
        <cfvo type="num" val="$I$148"/>
        <cfvo type="num" val="$I$147"/>
        <color rgb="FFF8696B"/>
        <color rgb="FFFFEB84"/>
        <color rgb="FF63BE7B"/>
      </colorScale>
    </cfRule>
  </conditionalFormatting>
  <conditionalFormatting sqref="N146:Z155">
    <cfRule type="colorScale" priority="1">
      <colorScale>
        <cfvo type="num" val="$I$149"/>
        <cfvo type="num" val="$I$148"/>
        <cfvo type="num" val="$I$147"/>
        <color rgb="FFF8696B"/>
        <color rgb="FFFFEB84"/>
        <color rgb="FF63BE7B"/>
      </colorScale>
    </cfRule>
    <cfRule type="colorScale" priority="2">
      <colorScale>
        <cfvo type="num" val="$I$149"/>
        <cfvo type="num" val="$I$148"/>
        <cfvo type="num" val="$I$147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AH35 B133 Q116 Q12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7"/>
  <sheetViews>
    <sheetView rightToLeft="1" topLeftCell="A67" zoomScale="40" zoomScaleNormal="40" workbookViewId="0">
      <pane xSplit="1" topLeftCell="B1" activePane="topRight" state="frozen"/>
      <selection pane="topRight" activeCell="B143" sqref="B143"/>
    </sheetView>
  </sheetViews>
  <sheetFormatPr defaultRowHeight="18" x14ac:dyDescent="0.45"/>
  <cols>
    <col min="1" max="1" width="60.7109375" style="2" bestFit="1" customWidth="1"/>
    <col min="2" max="3" width="17" style="2" bestFit="1" customWidth="1"/>
    <col min="4" max="4" width="20.140625" style="2" bestFit="1" customWidth="1"/>
    <col min="5" max="5" width="26" style="2" bestFit="1" customWidth="1"/>
    <col min="6" max="12" width="17" style="2" bestFit="1" customWidth="1"/>
    <col min="13" max="13" width="22.28515625" style="2" customWidth="1"/>
    <col min="14" max="17" width="17" style="2" customWidth="1"/>
    <col min="18" max="27" width="17" style="5" customWidth="1"/>
    <col min="28" max="28" width="12.140625" style="7" customWidth="1"/>
    <col min="29" max="29" width="12.7109375" style="5" customWidth="1"/>
    <col min="30" max="30" width="12.28515625" style="5" customWidth="1"/>
    <col min="31" max="31" width="9.28515625" style="5" bestFit="1" customWidth="1"/>
    <col min="32" max="32" width="9.5703125" style="5" bestFit="1" customWidth="1"/>
    <col min="33" max="33" width="14.42578125" style="5" customWidth="1"/>
    <col min="34" max="34" width="9.28515625" style="5" bestFit="1" customWidth="1"/>
    <col min="35" max="16384" width="9.140625" style="2"/>
  </cols>
  <sheetData>
    <row r="1" spans="1:34" ht="37.5" thickTop="1" thickBot="1" x14ac:dyDescent="1">
      <c r="G1" s="647" t="str">
        <f>VLOOKUP(K1,'دیده بان بازار'!A:Z,2,0)</f>
        <v>قند لرستان‌</v>
      </c>
      <c r="H1" s="648"/>
      <c r="I1" s="648"/>
      <c r="J1" s="649"/>
      <c r="K1" s="406" t="s">
        <v>2019</v>
      </c>
    </row>
    <row r="2" spans="1:34" ht="18.75" thickTop="1" x14ac:dyDescent="0.45">
      <c r="A2" s="412" t="s">
        <v>130</v>
      </c>
    </row>
    <row r="3" spans="1:34" x14ac:dyDescent="0.45">
      <c r="A3" s="412" t="s">
        <v>158</v>
      </c>
    </row>
    <row r="4" spans="1:34" x14ac:dyDescent="0.45">
      <c r="A4" s="21"/>
      <c r="B4" s="21" t="s">
        <v>174</v>
      </c>
      <c r="C4" s="21" t="s">
        <v>173</v>
      </c>
      <c r="D4" s="21" t="s">
        <v>172</v>
      </c>
      <c r="E4" s="21" t="s">
        <v>171</v>
      </c>
      <c r="F4" s="21" t="s">
        <v>170</v>
      </c>
      <c r="G4" s="21" t="s">
        <v>169</v>
      </c>
      <c r="H4" s="21" t="s">
        <v>168</v>
      </c>
      <c r="I4" s="21" t="s">
        <v>167</v>
      </c>
      <c r="J4" s="21" t="s">
        <v>166</v>
      </c>
      <c r="K4" s="21" t="s">
        <v>165</v>
      </c>
      <c r="L4" s="21" t="s">
        <v>164</v>
      </c>
      <c r="M4" s="21" t="s">
        <v>163</v>
      </c>
      <c r="N4" s="21" t="s">
        <v>162</v>
      </c>
      <c r="O4" s="21" t="s">
        <v>146</v>
      </c>
      <c r="P4" s="21" t="s">
        <v>161</v>
      </c>
      <c r="R4" s="21"/>
      <c r="S4" s="21" t="s">
        <v>174</v>
      </c>
      <c r="T4" s="21" t="s">
        <v>173</v>
      </c>
      <c r="U4" s="21" t="s">
        <v>172</v>
      </c>
      <c r="V4" s="21" t="s">
        <v>171</v>
      </c>
      <c r="W4" s="21" t="s">
        <v>170</v>
      </c>
      <c r="X4" s="21" t="s">
        <v>169</v>
      </c>
      <c r="Y4" s="21" t="s">
        <v>168</v>
      </c>
      <c r="Z4" s="21" t="s">
        <v>167</v>
      </c>
      <c r="AA4" s="21" t="s">
        <v>166</v>
      </c>
      <c r="AB4" s="21" t="s">
        <v>165</v>
      </c>
      <c r="AC4" s="21" t="s">
        <v>164</v>
      </c>
      <c r="AD4" s="21" t="s">
        <v>163</v>
      </c>
      <c r="AE4" s="21" t="s">
        <v>162</v>
      </c>
      <c r="AF4" s="21" t="s">
        <v>146</v>
      </c>
      <c r="AG4" s="21" t="s">
        <v>161</v>
      </c>
    </row>
    <row r="5" spans="1:34" x14ac:dyDescent="0.45">
      <c r="A5" s="14" t="s">
        <v>102</v>
      </c>
      <c r="B5" s="26" t="s">
        <v>96</v>
      </c>
      <c r="C5" s="27" t="s">
        <v>62</v>
      </c>
      <c r="D5" s="27" t="s">
        <v>107</v>
      </c>
      <c r="E5" s="27" t="s">
        <v>108</v>
      </c>
      <c r="F5" s="27" t="s">
        <v>109</v>
      </c>
      <c r="G5" s="27" t="s">
        <v>40</v>
      </c>
      <c r="H5" s="27" t="s">
        <v>55</v>
      </c>
      <c r="I5" s="27" t="s">
        <v>95</v>
      </c>
      <c r="J5" s="27" t="s">
        <v>94</v>
      </c>
      <c r="K5" s="27" t="s">
        <v>39</v>
      </c>
      <c r="L5" s="27" t="s">
        <v>54</v>
      </c>
      <c r="M5" s="26" t="s">
        <v>148</v>
      </c>
      <c r="N5" s="27" t="s">
        <v>149</v>
      </c>
      <c r="O5" s="27" t="s">
        <v>160</v>
      </c>
      <c r="P5" s="27" t="s">
        <v>159</v>
      </c>
      <c r="R5" s="14" t="s">
        <v>102</v>
      </c>
      <c r="S5" s="26" t="s">
        <v>96</v>
      </c>
      <c r="T5" s="27" t="s">
        <v>62</v>
      </c>
      <c r="U5" s="27" t="s">
        <v>107</v>
      </c>
      <c r="V5" s="27" t="s">
        <v>108</v>
      </c>
      <c r="W5" s="27" t="s">
        <v>109</v>
      </c>
      <c r="X5" s="27" t="s">
        <v>40</v>
      </c>
      <c r="Y5" s="27" t="s">
        <v>55</v>
      </c>
      <c r="Z5" s="27" t="s">
        <v>95</v>
      </c>
      <c r="AA5" s="27" t="s">
        <v>94</v>
      </c>
      <c r="AB5" s="27" t="s">
        <v>39</v>
      </c>
      <c r="AC5" s="27" t="s">
        <v>54</v>
      </c>
      <c r="AD5" s="26" t="s">
        <v>148</v>
      </c>
      <c r="AE5" s="27" t="s">
        <v>149</v>
      </c>
      <c r="AF5" s="27" t="s">
        <v>160</v>
      </c>
      <c r="AG5" s="27" t="s">
        <v>159</v>
      </c>
    </row>
    <row r="6" spans="1:34" x14ac:dyDescent="0.45">
      <c r="A6" s="4" t="s">
        <v>188</v>
      </c>
      <c r="B6" s="8">
        <v>22323</v>
      </c>
      <c r="C6" s="8">
        <v>20639</v>
      </c>
      <c r="D6" s="8">
        <v>8909</v>
      </c>
      <c r="E6" s="8">
        <v>23968</v>
      </c>
      <c r="F6" s="8">
        <v>23968</v>
      </c>
      <c r="G6" s="8">
        <v>23968</v>
      </c>
      <c r="H6" s="8">
        <v>5884</v>
      </c>
      <c r="I6" s="8">
        <v>16900</v>
      </c>
      <c r="J6" s="8">
        <v>29062</v>
      </c>
      <c r="K6" s="8">
        <v>29122</v>
      </c>
      <c r="L6" s="8">
        <v>5884</v>
      </c>
      <c r="M6" s="8">
        <v>16900</v>
      </c>
      <c r="N6" s="8">
        <v>16926</v>
      </c>
      <c r="O6" s="8">
        <f>B130</f>
        <v>16926</v>
      </c>
      <c r="P6" s="8">
        <f>B138</f>
        <v>25000</v>
      </c>
      <c r="R6" s="4" t="s">
        <v>188</v>
      </c>
      <c r="S6" s="500">
        <f>B6/B6</f>
        <v>1</v>
      </c>
      <c r="T6" s="500">
        <f t="shared" ref="T6:AE6" si="0">C6/C6</f>
        <v>1</v>
      </c>
      <c r="U6" s="500">
        <f t="shared" si="0"/>
        <v>1</v>
      </c>
      <c r="V6" s="500">
        <f t="shared" si="0"/>
        <v>1</v>
      </c>
      <c r="W6" s="500">
        <f t="shared" si="0"/>
        <v>1</v>
      </c>
      <c r="X6" s="500">
        <f t="shared" si="0"/>
        <v>1</v>
      </c>
      <c r="Y6" s="500">
        <f t="shared" si="0"/>
        <v>1</v>
      </c>
      <c r="Z6" s="500">
        <f t="shared" si="0"/>
        <v>1</v>
      </c>
      <c r="AA6" s="500">
        <f t="shared" si="0"/>
        <v>1</v>
      </c>
      <c r="AB6" s="500">
        <f t="shared" si="0"/>
        <v>1</v>
      </c>
      <c r="AC6" s="500">
        <f t="shared" si="0"/>
        <v>1</v>
      </c>
      <c r="AD6" s="500">
        <f t="shared" si="0"/>
        <v>1</v>
      </c>
      <c r="AE6" s="500">
        <f t="shared" si="0"/>
        <v>1</v>
      </c>
      <c r="AF6" s="500">
        <f>AE6</f>
        <v>1</v>
      </c>
      <c r="AG6" s="500"/>
    </row>
    <row r="7" spans="1:34" x14ac:dyDescent="0.45">
      <c r="A7" s="4" t="s">
        <v>151</v>
      </c>
      <c r="B7" s="8">
        <v>10137</v>
      </c>
      <c r="C7" s="8">
        <v>9558</v>
      </c>
      <c r="D7" s="8">
        <v>5754</v>
      </c>
      <c r="E7" s="8">
        <v>12235</v>
      </c>
      <c r="F7" s="8">
        <v>12235</v>
      </c>
      <c r="G7" s="8">
        <v>12789</v>
      </c>
      <c r="H7" s="8">
        <v>3252</v>
      </c>
      <c r="I7" s="8">
        <v>8977</v>
      </c>
      <c r="J7" s="8">
        <v>13745</v>
      </c>
      <c r="K7" s="8">
        <v>13094</v>
      </c>
      <c r="L7" s="8">
        <v>3252</v>
      </c>
      <c r="M7" s="8">
        <v>8977</v>
      </c>
      <c r="N7" s="8">
        <v>8977</v>
      </c>
      <c r="O7" s="8">
        <f>$O$6*AF7</f>
        <v>8977</v>
      </c>
      <c r="P7" s="8">
        <f>$P$6*AG7</f>
        <v>12153.945533059336</v>
      </c>
      <c r="R7" s="4" t="s">
        <v>151</v>
      </c>
      <c r="S7" s="500">
        <f>B7/B6</f>
        <v>0.45410563096358014</v>
      </c>
      <c r="T7" s="500">
        <f t="shared" ref="T7:AE7" si="1">C7/C6</f>
        <v>0.46310383255002663</v>
      </c>
      <c r="U7" s="500">
        <f t="shared" si="1"/>
        <v>0.64586373330340108</v>
      </c>
      <c r="V7" s="500">
        <f t="shared" si="1"/>
        <v>0.51047229639519354</v>
      </c>
      <c r="W7" s="500">
        <f t="shared" si="1"/>
        <v>0.51047229639519354</v>
      </c>
      <c r="X7" s="500">
        <f t="shared" si="1"/>
        <v>0.53358644859813087</v>
      </c>
      <c r="Y7" s="500">
        <f t="shared" si="1"/>
        <v>0.55268524813052344</v>
      </c>
      <c r="Z7" s="500">
        <f t="shared" si="1"/>
        <v>0.53118343195266271</v>
      </c>
      <c r="AA7" s="500">
        <f t="shared" si="1"/>
        <v>0.47295437340857477</v>
      </c>
      <c r="AB7" s="500">
        <f t="shared" si="1"/>
        <v>0.44962571251974454</v>
      </c>
      <c r="AC7" s="500">
        <f t="shared" si="1"/>
        <v>0.55268524813052344</v>
      </c>
      <c r="AD7" s="500">
        <f t="shared" si="1"/>
        <v>0.53118343195266271</v>
      </c>
      <c r="AE7" s="500">
        <f t="shared" si="1"/>
        <v>0.53036748198038519</v>
      </c>
      <c r="AF7" s="500">
        <f t="shared" ref="AF7:AF9" si="2">AE7</f>
        <v>0.53036748198038519</v>
      </c>
      <c r="AG7" s="500">
        <f>AVERAGE(AF7,AB7,X7,T7,S7)</f>
        <v>0.48615782132237345</v>
      </c>
    </row>
    <row r="8" spans="1:34" x14ac:dyDescent="0.45">
      <c r="A8" s="4" t="s">
        <v>152</v>
      </c>
      <c r="B8" s="8">
        <v>3366</v>
      </c>
      <c r="C8" s="8">
        <v>2726</v>
      </c>
      <c r="D8" s="8">
        <v>999</v>
      </c>
      <c r="E8" s="8">
        <v>3012</v>
      </c>
      <c r="F8" s="8">
        <v>3012</v>
      </c>
      <c r="G8" s="8">
        <v>3012</v>
      </c>
      <c r="H8" s="8">
        <v>443</v>
      </c>
      <c r="I8" s="8">
        <v>1236</v>
      </c>
      <c r="J8" s="8">
        <v>3821</v>
      </c>
      <c r="K8" s="8">
        <v>3821</v>
      </c>
      <c r="L8" s="8">
        <v>443</v>
      </c>
      <c r="M8" s="8">
        <v>1236</v>
      </c>
      <c r="N8" s="8">
        <v>1236</v>
      </c>
      <c r="O8" s="8">
        <f t="shared" ref="O8:O9" si="3">$O$6*AF8</f>
        <v>1236</v>
      </c>
      <c r="P8" s="8">
        <f t="shared" ref="P8:P9" si="4">$P$6*AG8</f>
        <v>3063.8209118540781</v>
      </c>
      <c r="R8" s="4" t="s">
        <v>152</v>
      </c>
      <c r="S8" s="500">
        <f>B8/B6</f>
        <v>0.15078618465260046</v>
      </c>
      <c r="T8" s="500">
        <f t="shared" ref="T8:AE8" si="5">C8/C6</f>
        <v>0.13208004263772469</v>
      </c>
      <c r="U8" s="500">
        <f t="shared" si="5"/>
        <v>0.11213379728364575</v>
      </c>
      <c r="V8" s="500">
        <f t="shared" si="5"/>
        <v>0.12566755674232311</v>
      </c>
      <c r="W8" s="500">
        <f t="shared" si="5"/>
        <v>0.12566755674232311</v>
      </c>
      <c r="X8" s="500">
        <f t="shared" si="5"/>
        <v>0.12566755674232311</v>
      </c>
      <c r="Y8" s="500">
        <f t="shared" si="5"/>
        <v>7.5288919102651258E-2</v>
      </c>
      <c r="Z8" s="500">
        <f t="shared" si="5"/>
        <v>7.3136094674556215E-2</v>
      </c>
      <c r="AA8" s="500">
        <f t="shared" si="5"/>
        <v>0.13147753079622876</v>
      </c>
      <c r="AB8" s="500">
        <f t="shared" si="5"/>
        <v>0.13120664789506215</v>
      </c>
      <c r="AC8" s="500">
        <f t="shared" si="5"/>
        <v>7.5288919102651258E-2</v>
      </c>
      <c r="AD8" s="500">
        <f t="shared" si="5"/>
        <v>7.3136094674556215E-2</v>
      </c>
      <c r="AE8" s="500">
        <f t="shared" si="5"/>
        <v>7.3023750443105287E-2</v>
      </c>
      <c r="AF8" s="500">
        <f t="shared" si="2"/>
        <v>7.3023750443105287E-2</v>
      </c>
      <c r="AG8" s="500">
        <f t="shared" ref="AG8:AG9" si="6">AVERAGE(AF8,AB8,X8,T8,S8)</f>
        <v>0.12255283647416312</v>
      </c>
      <c r="AH8" s="16"/>
    </row>
    <row r="9" spans="1:34" x14ac:dyDescent="0.45">
      <c r="A9" s="4" t="s">
        <v>153</v>
      </c>
      <c r="B9" s="8">
        <v>6240</v>
      </c>
      <c r="C9" s="8">
        <v>6454</v>
      </c>
      <c r="D9" s="8">
        <v>2555</v>
      </c>
      <c r="E9" s="8">
        <v>5287</v>
      </c>
      <c r="F9" s="8">
        <v>5287</v>
      </c>
      <c r="G9" s="8">
        <v>5884</v>
      </c>
      <c r="H9" s="8">
        <v>2174</v>
      </c>
      <c r="I9" s="8">
        <v>5479</v>
      </c>
      <c r="J9" s="8">
        <v>6334</v>
      </c>
      <c r="K9" s="8">
        <v>6738</v>
      </c>
      <c r="L9" s="8">
        <v>2174</v>
      </c>
      <c r="M9" s="8">
        <v>5479</v>
      </c>
      <c r="N9" s="8">
        <v>5479</v>
      </c>
      <c r="O9" s="8">
        <f t="shared" si="3"/>
        <v>5479</v>
      </c>
      <c r="P9" s="8">
        <f t="shared" si="4"/>
        <v>6964.0495613619141</v>
      </c>
      <c r="R9" s="4" t="s">
        <v>153</v>
      </c>
      <c r="S9" s="500">
        <f>B9/B6</f>
        <v>0.27953232092460689</v>
      </c>
      <c r="T9" s="500">
        <f t="shared" ref="T9:AE9" si="7">C9/C6</f>
        <v>0.31270894907699015</v>
      </c>
      <c r="U9" s="500">
        <f t="shared" si="7"/>
        <v>0.28678864070041532</v>
      </c>
      <c r="V9" s="500">
        <f t="shared" si="7"/>
        <v>0.22058578104138851</v>
      </c>
      <c r="W9" s="500">
        <f t="shared" si="7"/>
        <v>0.22058578104138851</v>
      </c>
      <c r="X9" s="500">
        <f t="shared" si="7"/>
        <v>0.24549399198931909</v>
      </c>
      <c r="Y9" s="500">
        <f t="shared" si="7"/>
        <v>0.36947654656696127</v>
      </c>
      <c r="Z9" s="500">
        <f t="shared" si="7"/>
        <v>0.32420118343195264</v>
      </c>
      <c r="AA9" s="500">
        <f t="shared" si="7"/>
        <v>0.21794783566168879</v>
      </c>
      <c r="AB9" s="500">
        <f t="shared" si="7"/>
        <v>0.23137147173957834</v>
      </c>
      <c r="AC9" s="500">
        <f t="shared" si="7"/>
        <v>0.36947654656696127</v>
      </c>
      <c r="AD9" s="500">
        <f t="shared" si="7"/>
        <v>0.32420118343195264</v>
      </c>
      <c r="AE9" s="500">
        <f t="shared" si="7"/>
        <v>0.32370317854188824</v>
      </c>
      <c r="AF9" s="500">
        <f t="shared" si="2"/>
        <v>0.32370317854188824</v>
      </c>
      <c r="AG9" s="500">
        <f t="shared" si="6"/>
        <v>0.27856198245447655</v>
      </c>
      <c r="AH9" s="16"/>
    </row>
    <row r="10" spans="1:34" x14ac:dyDescent="0.45">
      <c r="R10" s="2"/>
      <c r="S10" s="508"/>
      <c r="T10" s="508"/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2"/>
      <c r="AG10" s="2"/>
      <c r="AH10" s="16"/>
    </row>
    <row r="11" spans="1:34" x14ac:dyDescent="0.45"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6"/>
    </row>
    <row r="12" spans="1:34" x14ac:dyDescent="0.45">
      <c r="A12" s="21"/>
      <c r="B12" s="21" t="s">
        <v>174</v>
      </c>
      <c r="C12" s="21" t="s">
        <v>173</v>
      </c>
      <c r="D12" s="21" t="s">
        <v>172</v>
      </c>
      <c r="E12" s="21" t="s">
        <v>171</v>
      </c>
      <c r="F12" s="21" t="s">
        <v>170</v>
      </c>
      <c r="G12" s="21" t="s">
        <v>169</v>
      </c>
      <c r="H12" s="21" t="s">
        <v>168</v>
      </c>
      <c r="I12" s="21" t="s">
        <v>167</v>
      </c>
      <c r="J12" s="21" t="s">
        <v>166</v>
      </c>
      <c r="K12" s="21" t="s">
        <v>165</v>
      </c>
      <c r="L12" s="21" t="s">
        <v>164</v>
      </c>
      <c r="M12" s="21" t="s">
        <v>163</v>
      </c>
      <c r="N12" s="21" t="s">
        <v>162</v>
      </c>
      <c r="O12" s="21" t="s">
        <v>146</v>
      </c>
      <c r="P12" s="21" t="s">
        <v>161</v>
      </c>
      <c r="R12" s="21"/>
      <c r="S12" s="21" t="s">
        <v>174</v>
      </c>
      <c r="T12" s="21" t="s">
        <v>173</v>
      </c>
      <c r="U12" s="21" t="s">
        <v>172</v>
      </c>
      <c r="V12" s="21" t="s">
        <v>171</v>
      </c>
      <c r="W12" s="21" t="s">
        <v>170</v>
      </c>
      <c r="X12" s="21" t="s">
        <v>169</v>
      </c>
      <c r="Y12" s="21" t="s">
        <v>168</v>
      </c>
      <c r="Z12" s="21" t="s">
        <v>167</v>
      </c>
      <c r="AA12" s="21" t="s">
        <v>166</v>
      </c>
      <c r="AB12" s="21" t="s">
        <v>165</v>
      </c>
      <c r="AC12" s="21" t="s">
        <v>164</v>
      </c>
      <c r="AD12" s="21" t="s">
        <v>163</v>
      </c>
      <c r="AE12" s="21" t="s">
        <v>162</v>
      </c>
      <c r="AF12" s="21" t="s">
        <v>146</v>
      </c>
      <c r="AG12" s="21" t="s">
        <v>161</v>
      </c>
    </row>
    <row r="13" spans="1:34" x14ac:dyDescent="0.45">
      <c r="A13" s="14" t="s">
        <v>105</v>
      </c>
      <c r="B13" s="26" t="s">
        <v>96</v>
      </c>
      <c r="C13" s="27" t="s">
        <v>62</v>
      </c>
      <c r="D13" s="27" t="s">
        <v>107</v>
      </c>
      <c r="E13" s="27" t="s">
        <v>108</v>
      </c>
      <c r="F13" s="27" t="s">
        <v>109</v>
      </c>
      <c r="G13" s="27" t="s">
        <v>40</v>
      </c>
      <c r="H13" s="27" t="s">
        <v>55</v>
      </c>
      <c r="I13" s="27" t="s">
        <v>95</v>
      </c>
      <c r="J13" s="27" t="s">
        <v>94</v>
      </c>
      <c r="K13" s="27" t="s">
        <v>39</v>
      </c>
      <c r="L13" s="27" t="s">
        <v>54</v>
      </c>
      <c r="M13" s="26" t="s">
        <v>148</v>
      </c>
      <c r="N13" s="27" t="s">
        <v>149</v>
      </c>
      <c r="O13" s="27" t="s">
        <v>160</v>
      </c>
      <c r="P13" s="27" t="s">
        <v>159</v>
      </c>
      <c r="R13" s="14" t="s">
        <v>105</v>
      </c>
      <c r="S13" s="26" t="s">
        <v>96</v>
      </c>
      <c r="T13" s="27" t="s">
        <v>62</v>
      </c>
      <c r="U13" s="27" t="s">
        <v>107</v>
      </c>
      <c r="V13" s="27" t="s">
        <v>108</v>
      </c>
      <c r="W13" s="27" t="s">
        <v>109</v>
      </c>
      <c r="X13" s="27" t="s">
        <v>40</v>
      </c>
      <c r="Y13" s="27" t="s">
        <v>55</v>
      </c>
      <c r="Z13" s="27" t="s">
        <v>95</v>
      </c>
      <c r="AA13" s="27" t="s">
        <v>94</v>
      </c>
      <c r="AB13" s="27" t="s">
        <v>39</v>
      </c>
      <c r="AC13" s="27" t="s">
        <v>54</v>
      </c>
      <c r="AD13" s="26" t="s">
        <v>148</v>
      </c>
      <c r="AE13" s="27" t="s">
        <v>149</v>
      </c>
      <c r="AF13" s="27" t="s">
        <v>160</v>
      </c>
      <c r="AG13" s="27" t="s">
        <v>159</v>
      </c>
      <c r="AH13" s="16"/>
    </row>
    <row r="14" spans="1:34" x14ac:dyDescent="0.45">
      <c r="A14" s="4" t="s">
        <v>188</v>
      </c>
      <c r="B14" s="8">
        <v>27260</v>
      </c>
      <c r="C14" s="8">
        <v>7639</v>
      </c>
      <c r="D14" s="8">
        <v>8909</v>
      </c>
      <c r="E14" s="8">
        <v>22068</v>
      </c>
      <c r="F14" s="8">
        <v>22352</v>
      </c>
      <c r="G14" s="8">
        <v>22586</v>
      </c>
      <c r="H14" s="8">
        <v>473</v>
      </c>
      <c r="I14" s="8">
        <v>1273</v>
      </c>
      <c r="J14" s="8">
        <v>10323</v>
      </c>
      <c r="K14" s="8">
        <v>30298</v>
      </c>
      <c r="L14" s="8">
        <v>5597</v>
      </c>
      <c r="M14" s="8">
        <v>16138</v>
      </c>
      <c r="N14" s="8">
        <v>17186</v>
      </c>
      <c r="O14" s="8">
        <f>O6*AF14</f>
        <v>17186</v>
      </c>
      <c r="P14" s="8">
        <f>P6*AG14</f>
        <v>22946.845815605971</v>
      </c>
      <c r="R14" s="4" t="s">
        <v>188</v>
      </c>
      <c r="S14" s="500">
        <f>B14/B6</f>
        <v>1.2211620301930743</v>
      </c>
      <c r="T14" s="500">
        <f t="shared" ref="T14:AE17" si="8">C14/C6</f>
        <v>0.37012452153689618</v>
      </c>
      <c r="U14" s="500">
        <f t="shared" si="8"/>
        <v>1</v>
      </c>
      <c r="V14" s="500">
        <f t="shared" si="8"/>
        <v>0.92072763684913217</v>
      </c>
      <c r="W14" s="500">
        <f t="shared" si="8"/>
        <v>0.93257676902536712</v>
      </c>
      <c r="X14" s="500">
        <f t="shared" si="8"/>
        <v>0.94233978638184246</v>
      </c>
      <c r="Y14" s="500">
        <f t="shared" si="8"/>
        <v>8.0387491502379338E-2</v>
      </c>
      <c r="Z14" s="500">
        <f t="shared" si="8"/>
        <v>7.5325443786982249E-2</v>
      </c>
      <c r="AA14" s="500">
        <f t="shared" si="8"/>
        <v>0.35520611107287869</v>
      </c>
      <c r="AB14" s="500">
        <f t="shared" si="8"/>
        <v>1.0403818419064625</v>
      </c>
      <c r="AC14" s="500">
        <f t="shared" si="8"/>
        <v>0.95122365737593473</v>
      </c>
      <c r="AD14" s="500">
        <f t="shared" si="8"/>
        <v>0.95491124260355031</v>
      </c>
      <c r="AE14" s="500">
        <f t="shared" si="8"/>
        <v>1.0153609831029187</v>
      </c>
      <c r="AF14" s="500">
        <f>AE14</f>
        <v>1.0153609831029187</v>
      </c>
      <c r="AG14" s="500">
        <f>AVERAGE(AF14,AB14,X14,T14,S14)</f>
        <v>0.91787383262423883</v>
      </c>
    </row>
    <row r="15" spans="1:34" x14ac:dyDescent="0.45">
      <c r="A15" s="4" t="s">
        <v>151</v>
      </c>
      <c r="B15" s="8">
        <v>5813</v>
      </c>
      <c r="C15" s="8">
        <v>2726</v>
      </c>
      <c r="D15" s="8">
        <v>5198</v>
      </c>
      <c r="E15" s="8">
        <v>9770</v>
      </c>
      <c r="F15" s="8">
        <v>13892</v>
      </c>
      <c r="G15" s="8">
        <v>15143</v>
      </c>
      <c r="H15" s="8">
        <v>322</v>
      </c>
      <c r="I15" s="8">
        <v>5751</v>
      </c>
      <c r="J15" s="8">
        <v>10509</v>
      </c>
      <c r="K15" s="8">
        <v>13094</v>
      </c>
      <c r="L15" s="8">
        <v>978</v>
      </c>
      <c r="M15" s="8">
        <v>5877</v>
      </c>
      <c r="N15" s="8">
        <v>6217</v>
      </c>
      <c r="O15" s="8">
        <f t="shared" ref="O15:O17" si="9">O7*AF15</f>
        <v>6217</v>
      </c>
      <c r="P15" s="8">
        <f t="shared" ref="P15:P17" si="10">P7*AG15</f>
        <v>9079.6341357133642</v>
      </c>
      <c r="R15" s="4" t="s">
        <v>151</v>
      </c>
      <c r="S15" s="500">
        <f t="shared" ref="S15:S17" si="11">B15/B7</f>
        <v>0.57344381967051394</v>
      </c>
      <c r="T15" s="500">
        <f t="shared" si="8"/>
        <v>0.28520611006486712</v>
      </c>
      <c r="U15" s="500">
        <f t="shared" si="8"/>
        <v>0.90337156760514425</v>
      </c>
      <c r="V15" s="500">
        <f t="shared" si="8"/>
        <v>0.79852881078872084</v>
      </c>
      <c r="W15" s="500">
        <f t="shared" si="8"/>
        <v>1.1354311401716388</v>
      </c>
      <c r="X15" s="500">
        <f t="shared" si="8"/>
        <v>1.1840644303698491</v>
      </c>
      <c r="Y15" s="500">
        <f t="shared" si="8"/>
        <v>9.9015990159901604E-2</v>
      </c>
      <c r="Z15" s="500">
        <f t="shared" si="8"/>
        <v>0.64063718391444802</v>
      </c>
      <c r="AA15" s="500">
        <f t="shared" si="8"/>
        <v>0.76456893415787563</v>
      </c>
      <c r="AB15" s="500">
        <f t="shared" si="8"/>
        <v>1</v>
      </c>
      <c r="AC15" s="500">
        <f t="shared" si="8"/>
        <v>0.30073800738007378</v>
      </c>
      <c r="AD15" s="500">
        <f t="shared" si="8"/>
        <v>0.65467305335858306</v>
      </c>
      <c r="AE15" s="500">
        <f t="shared" si="8"/>
        <v>0.6925476216998997</v>
      </c>
      <c r="AF15" s="500">
        <f t="shared" ref="AF15:AF17" si="12">AE15</f>
        <v>0.6925476216998997</v>
      </c>
      <c r="AG15" s="500">
        <f t="shared" ref="AG15" si="13">AVERAGE(AF15,AB15,X15,T15,S15)</f>
        <v>0.74705239636102605</v>
      </c>
    </row>
    <row r="16" spans="1:34" x14ac:dyDescent="0.45">
      <c r="A16" s="4" t="s">
        <v>152</v>
      </c>
      <c r="B16" s="8">
        <v>3366</v>
      </c>
      <c r="C16" s="8">
        <v>21796</v>
      </c>
      <c r="D16" s="8">
        <v>999</v>
      </c>
      <c r="E16" s="8">
        <v>3012</v>
      </c>
      <c r="F16" s="8">
        <v>3012</v>
      </c>
      <c r="G16" s="8">
        <v>3012</v>
      </c>
      <c r="H16" s="8">
        <v>1233</v>
      </c>
      <c r="I16" s="8">
        <v>3821</v>
      </c>
      <c r="J16" s="8">
        <v>3821</v>
      </c>
      <c r="K16" s="8">
        <v>3821</v>
      </c>
      <c r="L16" s="8">
        <v>443</v>
      </c>
      <c r="M16" s="8">
        <v>1236</v>
      </c>
      <c r="N16" s="8">
        <v>1236</v>
      </c>
      <c r="O16" s="8">
        <f t="shared" si="9"/>
        <v>1236</v>
      </c>
      <c r="P16" s="8">
        <f t="shared" si="10"/>
        <v>3063.8209118540781</v>
      </c>
      <c r="R16" s="4" t="s">
        <v>152</v>
      </c>
      <c r="S16" s="500">
        <f t="shared" si="11"/>
        <v>1</v>
      </c>
      <c r="T16" s="500">
        <f t="shared" si="8"/>
        <v>7.9955979457079973</v>
      </c>
      <c r="U16" s="500">
        <f t="shared" si="8"/>
        <v>1</v>
      </c>
      <c r="V16" s="500">
        <f t="shared" si="8"/>
        <v>1</v>
      </c>
      <c r="W16" s="500">
        <f t="shared" si="8"/>
        <v>1</v>
      </c>
      <c r="X16" s="500">
        <f t="shared" si="8"/>
        <v>1</v>
      </c>
      <c r="Y16" s="500">
        <f t="shared" si="8"/>
        <v>2.7832957110609482</v>
      </c>
      <c r="Z16" s="500">
        <f t="shared" si="8"/>
        <v>3.0914239482200649</v>
      </c>
      <c r="AA16" s="500">
        <f t="shared" si="8"/>
        <v>1</v>
      </c>
      <c r="AB16" s="500">
        <f t="shared" si="8"/>
        <v>1</v>
      </c>
      <c r="AC16" s="500">
        <f t="shared" si="8"/>
        <v>1</v>
      </c>
      <c r="AD16" s="500">
        <f t="shared" si="8"/>
        <v>1</v>
      </c>
      <c r="AE16" s="500">
        <f t="shared" si="8"/>
        <v>1</v>
      </c>
      <c r="AF16" s="500">
        <f t="shared" si="12"/>
        <v>1</v>
      </c>
      <c r="AG16" s="500">
        <f>AVERAGE(AF16,AB16,X16,S16)</f>
        <v>1</v>
      </c>
      <c r="AH16" s="17"/>
    </row>
    <row r="17" spans="1:34" x14ac:dyDescent="0.45">
      <c r="A17" s="4" t="s">
        <v>153</v>
      </c>
      <c r="B17" s="8">
        <v>6581</v>
      </c>
      <c r="C17" s="8">
        <v>11527</v>
      </c>
      <c r="D17" s="8">
        <v>508</v>
      </c>
      <c r="E17" s="8">
        <v>2217</v>
      </c>
      <c r="F17" s="8">
        <v>4448</v>
      </c>
      <c r="G17" s="8">
        <v>5561</v>
      </c>
      <c r="H17" s="8">
        <v>27</v>
      </c>
      <c r="I17" s="8">
        <v>4143</v>
      </c>
      <c r="J17" s="8">
        <v>4277</v>
      </c>
      <c r="K17" s="8">
        <v>4681</v>
      </c>
      <c r="L17" s="8">
        <v>241</v>
      </c>
      <c r="M17" s="8">
        <v>562</v>
      </c>
      <c r="N17" s="8">
        <v>2025</v>
      </c>
      <c r="O17" s="8">
        <f t="shared" si="9"/>
        <v>2025</v>
      </c>
      <c r="P17" s="8">
        <f t="shared" si="10"/>
        <v>5334.5704828922107</v>
      </c>
      <c r="R17" s="4" t="s">
        <v>153</v>
      </c>
      <c r="S17" s="500">
        <f t="shared" si="11"/>
        <v>1.0546474358974358</v>
      </c>
      <c r="T17" s="500">
        <f t="shared" si="8"/>
        <v>1.7860241710567091</v>
      </c>
      <c r="U17" s="500">
        <f t="shared" si="8"/>
        <v>0.19882583170254403</v>
      </c>
      <c r="V17" s="500">
        <f t="shared" si="8"/>
        <v>0.41933043313788537</v>
      </c>
      <c r="W17" s="500">
        <f t="shared" si="8"/>
        <v>0.84130887081520711</v>
      </c>
      <c r="X17" s="500">
        <f t="shared" si="8"/>
        <v>0.94510537049626109</v>
      </c>
      <c r="Y17" s="500">
        <f t="shared" si="8"/>
        <v>1.2419503219871205E-2</v>
      </c>
      <c r="Z17" s="500">
        <f t="shared" si="8"/>
        <v>0.7561598831903632</v>
      </c>
      <c r="AA17" s="500">
        <f t="shared" si="8"/>
        <v>0.67524471108304385</v>
      </c>
      <c r="AB17" s="500">
        <f t="shared" si="8"/>
        <v>0.69471653309587411</v>
      </c>
      <c r="AC17" s="500">
        <f t="shared" si="8"/>
        <v>0.11085556577736891</v>
      </c>
      <c r="AD17" s="500">
        <f t="shared" si="8"/>
        <v>0.10257346231064063</v>
      </c>
      <c r="AE17" s="500">
        <f t="shared" si="8"/>
        <v>0.36959299142179231</v>
      </c>
      <c r="AF17" s="500">
        <f t="shared" si="12"/>
        <v>0.36959299142179231</v>
      </c>
      <c r="AG17" s="500">
        <f>AVERAGE(AF17,AB17,X17,S17)</f>
        <v>0.76601558272784076</v>
      </c>
    </row>
    <row r="18" spans="1:34" x14ac:dyDescent="0.45">
      <c r="T18" s="24"/>
      <c r="V18" s="31"/>
    </row>
    <row r="19" spans="1:34" x14ac:dyDescent="0.45">
      <c r="T19" s="24"/>
      <c r="U19" s="17"/>
      <c r="V19" s="17"/>
      <c r="W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x14ac:dyDescent="0.45">
      <c r="T20" s="24"/>
      <c r="U20" s="17"/>
      <c r="V20" s="17"/>
      <c r="W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x14ac:dyDescent="0.45">
      <c r="A21" s="21"/>
      <c r="B21" s="21" t="s">
        <v>174</v>
      </c>
      <c r="C21" s="21" t="s">
        <v>173</v>
      </c>
      <c r="D21" s="21" t="s">
        <v>172</v>
      </c>
      <c r="E21" s="21" t="s">
        <v>171</v>
      </c>
      <c r="F21" s="21" t="s">
        <v>170</v>
      </c>
      <c r="G21" s="21" t="s">
        <v>169</v>
      </c>
      <c r="H21" s="21" t="s">
        <v>168</v>
      </c>
      <c r="I21" s="21" t="s">
        <v>167</v>
      </c>
      <c r="J21" s="21" t="s">
        <v>166</v>
      </c>
      <c r="K21" s="21" t="s">
        <v>165</v>
      </c>
      <c r="L21" s="21" t="s">
        <v>164</v>
      </c>
      <c r="M21" s="21" t="s">
        <v>163</v>
      </c>
      <c r="N21" s="21" t="s">
        <v>162</v>
      </c>
      <c r="O21" s="21" t="s">
        <v>146</v>
      </c>
      <c r="P21" s="21" t="s">
        <v>161</v>
      </c>
      <c r="T21" s="24"/>
      <c r="U21" s="17"/>
      <c r="V21" s="17"/>
      <c r="W21" s="24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x14ac:dyDescent="0.45">
      <c r="A22" s="14" t="s">
        <v>99</v>
      </c>
      <c r="B22" s="26" t="s">
        <v>96</v>
      </c>
      <c r="C22" s="27" t="s">
        <v>62</v>
      </c>
      <c r="D22" s="27" t="s">
        <v>107</v>
      </c>
      <c r="E22" s="27" t="s">
        <v>108</v>
      </c>
      <c r="F22" s="27" t="s">
        <v>109</v>
      </c>
      <c r="G22" s="27" t="s">
        <v>40</v>
      </c>
      <c r="H22" s="27" t="s">
        <v>55</v>
      </c>
      <c r="I22" s="27" t="s">
        <v>95</v>
      </c>
      <c r="J22" s="27" t="s">
        <v>94</v>
      </c>
      <c r="K22" s="27" t="s">
        <v>39</v>
      </c>
      <c r="L22" s="27" t="s">
        <v>54</v>
      </c>
      <c r="M22" s="26" t="s">
        <v>148</v>
      </c>
      <c r="N22" s="27" t="s">
        <v>149</v>
      </c>
      <c r="O22" s="27" t="s">
        <v>160</v>
      </c>
      <c r="P22" s="27" t="s">
        <v>159</v>
      </c>
      <c r="T22" s="24"/>
      <c r="U22" s="17"/>
      <c r="V22" s="17"/>
      <c r="W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x14ac:dyDescent="0.45">
      <c r="A23" s="4" t="s">
        <v>188</v>
      </c>
      <c r="B23" s="4">
        <v>568649</v>
      </c>
      <c r="C23" s="4">
        <v>507533</v>
      </c>
      <c r="D23" s="4">
        <v>225272</v>
      </c>
      <c r="E23" s="4">
        <v>560023</v>
      </c>
      <c r="F23" s="4">
        <v>568512</v>
      </c>
      <c r="G23" s="4">
        <v>575651</v>
      </c>
      <c r="H23" s="4">
        <v>16713</v>
      </c>
      <c r="I23" s="4">
        <v>42741</v>
      </c>
      <c r="J23" s="4">
        <v>284117</v>
      </c>
      <c r="K23" s="4">
        <v>884275</v>
      </c>
      <c r="L23" s="4">
        <v>168763</v>
      </c>
      <c r="M23" s="4">
        <v>486464</v>
      </c>
      <c r="N23" s="4">
        <v>530384</v>
      </c>
      <c r="O23" s="8">
        <f>O32*O14/1000000</f>
        <v>530384</v>
      </c>
      <c r="P23" s="8">
        <f>P32*P14/1000000</f>
        <v>929347.25553204189</v>
      </c>
      <c r="T23" s="24"/>
      <c r="U23" s="24"/>
      <c r="W23" s="24"/>
    </row>
    <row r="24" spans="1:34" x14ac:dyDescent="0.45">
      <c r="A24" s="4" t="s">
        <v>151</v>
      </c>
      <c r="B24" s="4">
        <v>25462</v>
      </c>
      <c r="C24" s="4">
        <v>53298</v>
      </c>
      <c r="D24" s="4">
        <v>37501</v>
      </c>
      <c r="E24" s="4">
        <v>47350</v>
      </c>
      <c r="F24" s="4">
        <v>78447</v>
      </c>
      <c r="G24" s="4">
        <v>88617</v>
      </c>
      <c r="H24" s="4">
        <v>3037</v>
      </c>
      <c r="I24" s="4">
        <v>48006</v>
      </c>
      <c r="J24" s="4">
        <v>88944</v>
      </c>
      <c r="K24" s="4">
        <v>112693</v>
      </c>
      <c r="L24" s="4">
        <v>11799</v>
      </c>
      <c r="M24" s="4">
        <v>44774</v>
      </c>
      <c r="N24" s="4">
        <v>50740</v>
      </c>
      <c r="O24" s="8">
        <f>O33*O15/1000000*1.4</f>
        <v>71036</v>
      </c>
      <c r="P24" s="8">
        <f t="shared" ref="P24:P26" si="14">P33*P15/1000000</f>
        <v>95108.663201311501</v>
      </c>
      <c r="T24" s="24"/>
      <c r="U24" s="24"/>
      <c r="W24" s="24"/>
    </row>
    <row r="25" spans="1:34" x14ac:dyDescent="0.45">
      <c r="A25" s="4" t="s">
        <v>152</v>
      </c>
      <c r="B25" s="4">
        <v>4443</v>
      </c>
      <c r="C25" s="4">
        <v>2126</v>
      </c>
      <c r="D25" s="4">
        <v>791</v>
      </c>
      <c r="E25" s="4">
        <v>2653</v>
      </c>
      <c r="F25" s="4">
        <v>2653</v>
      </c>
      <c r="G25" s="4">
        <v>2653</v>
      </c>
      <c r="H25" s="4">
        <v>1162</v>
      </c>
      <c r="I25" s="4">
        <v>4661</v>
      </c>
      <c r="J25" s="4">
        <v>4661</v>
      </c>
      <c r="K25" s="4">
        <v>4661</v>
      </c>
      <c r="L25" s="4">
        <v>531</v>
      </c>
      <c r="M25" s="4">
        <v>2245</v>
      </c>
      <c r="N25" s="4">
        <v>2246</v>
      </c>
      <c r="O25" s="8">
        <f t="shared" ref="O25:O26" si="15">O34*O16/1000000*1.4</f>
        <v>3144.3999999999996</v>
      </c>
      <c r="P25" s="8">
        <f t="shared" si="14"/>
        <v>4962.9030386159975</v>
      </c>
      <c r="T25" s="24"/>
      <c r="U25" s="24"/>
      <c r="W25" s="24"/>
    </row>
    <row r="26" spans="1:34" x14ac:dyDescent="0.45">
      <c r="A26" s="4" t="s">
        <v>153</v>
      </c>
      <c r="B26" s="4">
        <v>28231</v>
      </c>
      <c r="C26" s="4">
        <v>190</v>
      </c>
      <c r="D26" s="4">
        <v>1694</v>
      </c>
      <c r="E26" s="4">
        <v>6527</v>
      </c>
      <c r="F26" s="4">
        <v>13401</v>
      </c>
      <c r="G26" s="4">
        <v>17050</v>
      </c>
      <c r="H26" s="4">
        <v>104</v>
      </c>
      <c r="I26" s="4">
        <v>14087</v>
      </c>
      <c r="J26" s="4">
        <v>14612</v>
      </c>
      <c r="K26" s="4">
        <v>16073</v>
      </c>
      <c r="L26" s="4">
        <v>893</v>
      </c>
      <c r="M26" s="4">
        <v>4959</v>
      </c>
      <c r="N26" s="4">
        <v>32962</v>
      </c>
      <c r="O26" s="8">
        <f t="shared" si="15"/>
        <v>46146.799999999988</v>
      </c>
      <c r="P26" s="8">
        <f t="shared" si="14"/>
        <v>113953.42986403816</v>
      </c>
      <c r="T26" s="24"/>
      <c r="U26" s="24"/>
      <c r="W26" s="24"/>
    </row>
    <row r="27" spans="1:34" x14ac:dyDescent="0.45">
      <c r="A27" s="2" t="s">
        <v>64</v>
      </c>
      <c r="B27" s="25">
        <f>SUM(B23:B26)</f>
        <v>626785</v>
      </c>
      <c r="C27" s="25">
        <f t="shared" ref="C27:P27" si="16">SUM(C23:C26)</f>
        <v>563147</v>
      </c>
      <c r="D27" s="25">
        <f t="shared" si="16"/>
        <v>265258</v>
      </c>
      <c r="E27" s="25">
        <f t="shared" si="16"/>
        <v>616553</v>
      </c>
      <c r="F27" s="25">
        <f t="shared" si="16"/>
        <v>663013</v>
      </c>
      <c r="G27" s="25">
        <f t="shared" si="16"/>
        <v>683971</v>
      </c>
      <c r="H27" s="25">
        <f t="shared" si="16"/>
        <v>21016</v>
      </c>
      <c r="I27" s="25">
        <f t="shared" si="16"/>
        <v>109495</v>
      </c>
      <c r="J27" s="25">
        <f t="shared" si="16"/>
        <v>392334</v>
      </c>
      <c r="K27" s="25">
        <f t="shared" si="16"/>
        <v>1017702</v>
      </c>
      <c r="L27" s="25">
        <f t="shared" si="16"/>
        <v>181986</v>
      </c>
      <c r="M27" s="25">
        <f t="shared" si="16"/>
        <v>538442</v>
      </c>
      <c r="N27" s="25">
        <f t="shared" si="16"/>
        <v>616332</v>
      </c>
      <c r="O27" s="25">
        <f t="shared" si="16"/>
        <v>650711.19999999995</v>
      </c>
      <c r="P27" s="25">
        <f t="shared" si="16"/>
        <v>1143372.2516360076</v>
      </c>
    </row>
    <row r="28" spans="1:34" x14ac:dyDescent="0.45">
      <c r="T28" s="17"/>
      <c r="U28" s="16"/>
      <c r="V28" s="16"/>
      <c r="W28" s="16"/>
      <c r="X28" s="23"/>
      <c r="Y28" s="16"/>
      <c r="Z28" s="17"/>
      <c r="AA28" s="23"/>
      <c r="AC28" s="16"/>
      <c r="AD28" s="23"/>
      <c r="AE28" s="16"/>
      <c r="AF28" s="17"/>
      <c r="AG28" s="23"/>
      <c r="AH28" s="17"/>
    </row>
    <row r="29" spans="1:34" x14ac:dyDescent="0.45">
      <c r="T29" s="17"/>
      <c r="U29" s="16"/>
      <c r="V29" s="17"/>
      <c r="W29" s="16"/>
      <c r="X29" s="23"/>
      <c r="Y29" s="16"/>
      <c r="Z29" s="16"/>
      <c r="AA29" s="23"/>
      <c r="AC29" s="16"/>
      <c r="AD29" s="23"/>
      <c r="AE29" s="16"/>
      <c r="AF29" s="16"/>
      <c r="AG29" s="23"/>
      <c r="AH29" s="16"/>
    </row>
    <row r="30" spans="1:34" x14ac:dyDescent="0.45">
      <c r="A30" s="21"/>
      <c r="B30" s="21" t="s">
        <v>174</v>
      </c>
      <c r="C30" s="21" t="s">
        <v>173</v>
      </c>
      <c r="D30" s="21" t="s">
        <v>172</v>
      </c>
      <c r="E30" s="21" t="s">
        <v>171</v>
      </c>
      <c r="F30" s="21" t="s">
        <v>170</v>
      </c>
      <c r="G30" s="21" t="s">
        <v>169</v>
      </c>
      <c r="H30" s="21" t="s">
        <v>168</v>
      </c>
      <c r="I30" s="21" t="s">
        <v>167</v>
      </c>
      <c r="J30" s="21" t="s">
        <v>166</v>
      </c>
      <c r="K30" s="21" t="s">
        <v>165</v>
      </c>
      <c r="L30" s="21" t="s">
        <v>164</v>
      </c>
      <c r="M30" s="21" t="s">
        <v>163</v>
      </c>
      <c r="N30" s="21" t="s">
        <v>162</v>
      </c>
      <c r="O30" s="21" t="s">
        <v>146</v>
      </c>
      <c r="P30" s="21" t="s">
        <v>161</v>
      </c>
      <c r="R30" s="21"/>
      <c r="S30" s="21" t="s">
        <v>174</v>
      </c>
      <c r="T30" s="21" t="s">
        <v>173</v>
      </c>
      <c r="U30" s="21" t="s">
        <v>172</v>
      </c>
      <c r="V30" s="21" t="s">
        <v>171</v>
      </c>
      <c r="W30" s="21" t="s">
        <v>170</v>
      </c>
      <c r="X30" s="21" t="s">
        <v>169</v>
      </c>
      <c r="Y30" s="21" t="s">
        <v>168</v>
      </c>
      <c r="Z30" s="21" t="s">
        <v>167</v>
      </c>
      <c r="AA30" s="21" t="s">
        <v>166</v>
      </c>
      <c r="AB30" s="21" t="s">
        <v>165</v>
      </c>
      <c r="AC30" s="21" t="s">
        <v>164</v>
      </c>
      <c r="AD30" s="21" t="s">
        <v>163</v>
      </c>
      <c r="AE30" s="21" t="s">
        <v>162</v>
      </c>
      <c r="AF30" s="21" t="s">
        <v>146</v>
      </c>
      <c r="AG30" s="21" t="s">
        <v>161</v>
      </c>
      <c r="AH30" s="16"/>
    </row>
    <row r="31" spans="1:34" x14ac:dyDescent="0.45">
      <c r="A31" s="14" t="s">
        <v>98</v>
      </c>
      <c r="B31" s="26" t="s">
        <v>96</v>
      </c>
      <c r="C31" s="27" t="s">
        <v>62</v>
      </c>
      <c r="D31" s="27" t="s">
        <v>107</v>
      </c>
      <c r="E31" s="27" t="s">
        <v>108</v>
      </c>
      <c r="F31" s="27" t="s">
        <v>109</v>
      </c>
      <c r="G31" s="27" t="s">
        <v>40</v>
      </c>
      <c r="H31" s="27" t="s">
        <v>55</v>
      </c>
      <c r="I31" s="27" t="s">
        <v>95</v>
      </c>
      <c r="J31" s="27" t="s">
        <v>94</v>
      </c>
      <c r="K31" s="27" t="s">
        <v>39</v>
      </c>
      <c r="L31" s="27" t="s">
        <v>54</v>
      </c>
      <c r="M31" s="26" t="s">
        <v>148</v>
      </c>
      <c r="N31" s="27" t="s">
        <v>149</v>
      </c>
      <c r="O31" s="27" t="s">
        <v>160</v>
      </c>
      <c r="P31" s="27" t="s">
        <v>159</v>
      </c>
      <c r="R31" s="14" t="s">
        <v>98</v>
      </c>
      <c r="S31" s="26" t="s">
        <v>96</v>
      </c>
      <c r="T31" s="27" t="s">
        <v>62</v>
      </c>
      <c r="U31" s="27" t="s">
        <v>107</v>
      </c>
      <c r="V31" s="27" t="s">
        <v>108</v>
      </c>
      <c r="W31" s="27" t="s">
        <v>109</v>
      </c>
      <c r="X31" s="27" t="s">
        <v>40</v>
      </c>
      <c r="Y31" s="27" t="s">
        <v>55</v>
      </c>
      <c r="Z31" s="27" t="s">
        <v>95</v>
      </c>
      <c r="AA31" s="27" t="s">
        <v>94</v>
      </c>
      <c r="AB31" s="27" t="s">
        <v>39</v>
      </c>
      <c r="AC31" s="27" t="s">
        <v>54</v>
      </c>
      <c r="AD31" s="26" t="s">
        <v>148</v>
      </c>
      <c r="AE31" s="27" t="s">
        <v>149</v>
      </c>
      <c r="AF31" s="27" t="s">
        <v>160</v>
      </c>
      <c r="AG31" s="27" t="s">
        <v>159</v>
      </c>
      <c r="AH31" s="17"/>
    </row>
    <row r="32" spans="1:34" x14ac:dyDescent="0.45">
      <c r="A32" s="4" t="s">
        <v>188</v>
      </c>
      <c r="B32" s="8">
        <f>B23*1000000/B14</f>
        <v>20860198.092443138</v>
      </c>
      <c r="C32" s="8">
        <f t="shared" ref="C32:N32" si="17">C23*1000000/C14</f>
        <v>66439717.240476504</v>
      </c>
      <c r="D32" s="8">
        <f t="shared" si="17"/>
        <v>25285890.6723538</v>
      </c>
      <c r="E32" s="8">
        <f t="shared" si="17"/>
        <v>25377152.437919158</v>
      </c>
      <c r="F32" s="8">
        <f t="shared" si="17"/>
        <v>25434502.505368646</v>
      </c>
      <c r="G32" s="8">
        <f t="shared" si="17"/>
        <v>25487071.63729744</v>
      </c>
      <c r="H32" s="8">
        <f t="shared" si="17"/>
        <v>35334038.05496829</v>
      </c>
      <c r="I32" s="8">
        <f t="shared" si="17"/>
        <v>33575019.63864886</v>
      </c>
      <c r="J32" s="8">
        <f t="shared" si="17"/>
        <v>27522716.264651749</v>
      </c>
      <c r="K32" s="8">
        <f t="shared" si="17"/>
        <v>29185919.862697206</v>
      </c>
      <c r="L32" s="8">
        <f t="shared" si="17"/>
        <v>30152403.073074862</v>
      </c>
      <c r="M32" s="8">
        <f t="shared" si="17"/>
        <v>30144007.931590036</v>
      </c>
      <c r="N32" s="8">
        <f t="shared" si="17"/>
        <v>30861398.812987316</v>
      </c>
      <c r="O32" s="8">
        <f>B131</f>
        <v>30861398.812987316</v>
      </c>
      <c r="P32" s="8">
        <f>B139</f>
        <v>40500000</v>
      </c>
      <c r="R32" s="4" t="s">
        <v>188</v>
      </c>
      <c r="S32" s="500">
        <f>B32/B32</f>
        <v>1</v>
      </c>
      <c r="T32" s="500">
        <f t="shared" ref="T32:AE32" si="18">C32/C32</f>
        <v>1</v>
      </c>
      <c r="U32" s="500">
        <f t="shared" si="18"/>
        <v>1</v>
      </c>
      <c r="V32" s="500">
        <f t="shared" si="18"/>
        <v>1</v>
      </c>
      <c r="W32" s="500">
        <f t="shared" si="18"/>
        <v>1</v>
      </c>
      <c r="X32" s="500">
        <f t="shared" si="18"/>
        <v>1</v>
      </c>
      <c r="Y32" s="500">
        <f t="shared" si="18"/>
        <v>1</v>
      </c>
      <c r="Z32" s="500">
        <f t="shared" si="18"/>
        <v>1</v>
      </c>
      <c r="AA32" s="500">
        <f t="shared" si="18"/>
        <v>1</v>
      </c>
      <c r="AB32" s="500">
        <f t="shared" si="18"/>
        <v>1</v>
      </c>
      <c r="AC32" s="500">
        <f t="shared" si="18"/>
        <v>1</v>
      </c>
      <c r="AD32" s="500">
        <f t="shared" si="18"/>
        <v>1</v>
      </c>
      <c r="AE32" s="500">
        <f t="shared" si="18"/>
        <v>1</v>
      </c>
      <c r="AF32" s="500">
        <f>AE32</f>
        <v>1</v>
      </c>
      <c r="AG32" s="500"/>
      <c r="AH32" s="16"/>
    </row>
    <row r="33" spans="1:34" x14ac:dyDescent="0.45">
      <c r="A33" s="4" t="s">
        <v>151</v>
      </c>
      <c r="B33" s="8">
        <f t="shared" ref="B33:N33" si="19">B24*1000000/B15</f>
        <v>4380182.3499053847</v>
      </c>
      <c r="C33" s="8">
        <f t="shared" si="19"/>
        <v>19551724.137931034</v>
      </c>
      <c r="D33" s="8">
        <f t="shared" si="19"/>
        <v>7214505.5790688731</v>
      </c>
      <c r="E33" s="8">
        <f t="shared" si="19"/>
        <v>4846468.7819856703</v>
      </c>
      <c r="F33" s="8">
        <f t="shared" si="19"/>
        <v>5646919.0901238127</v>
      </c>
      <c r="G33" s="8">
        <f t="shared" si="19"/>
        <v>5852010.8300865088</v>
      </c>
      <c r="H33" s="8">
        <f t="shared" si="19"/>
        <v>9431677.0186335407</v>
      </c>
      <c r="I33" s="8">
        <f t="shared" si="19"/>
        <v>8347417.8403755864</v>
      </c>
      <c r="J33" s="8">
        <f t="shared" si="19"/>
        <v>8463602.6263202969</v>
      </c>
      <c r="K33" s="8">
        <f t="shared" si="19"/>
        <v>8606460.9744921345</v>
      </c>
      <c r="L33" s="8">
        <f t="shared" si="19"/>
        <v>12064417.177914111</v>
      </c>
      <c r="M33" s="8">
        <f t="shared" si="19"/>
        <v>7618512.846690488</v>
      </c>
      <c r="N33" s="8">
        <f t="shared" si="19"/>
        <v>8161492.6813575681</v>
      </c>
      <c r="O33" s="8">
        <f>$O$32*AF33</f>
        <v>8161492.6813575691</v>
      </c>
      <c r="P33" s="8">
        <f>$P$32*AG33</f>
        <v>10474944.450373391</v>
      </c>
      <c r="R33" s="4" t="s">
        <v>151</v>
      </c>
      <c r="S33" s="500">
        <f>B33/B32</f>
        <v>0.20997798441291693</v>
      </c>
      <c r="T33" s="500">
        <f t="shared" ref="T33:AE33" si="20">C33/C32</f>
        <v>0.2942776542405226</v>
      </c>
      <c r="U33" s="500">
        <f t="shared" si="20"/>
        <v>0.28531743937961479</v>
      </c>
      <c r="V33" s="500">
        <f t="shared" si="20"/>
        <v>0.19097764391973146</v>
      </c>
      <c r="W33" s="500">
        <f t="shared" si="20"/>
        <v>0.222018067345012</v>
      </c>
      <c r="X33" s="500">
        <f t="shared" si="20"/>
        <v>0.22960703031582311</v>
      </c>
      <c r="Y33" s="500">
        <f t="shared" si="20"/>
        <v>0.26692893135964008</v>
      </c>
      <c r="Z33" s="500">
        <f t="shared" si="20"/>
        <v>0.24861989449938285</v>
      </c>
      <c r="AA33" s="500">
        <f t="shared" si="20"/>
        <v>0.30751334806260949</v>
      </c>
      <c r="AB33" s="500">
        <f t="shared" si="20"/>
        <v>0.29488400622562294</v>
      </c>
      <c r="AC33" s="500">
        <f t="shared" si="20"/>
        <v>0.40011461602830761</v>
      </c>
      <c r="AD33" s="500">
        <f t="shared" si="20"/>
        <v>0.25273722273362692</v>
      </c>
      <c r="AE33" s="500">
        <f t="shared" si="20"/>
        <v>0.26445634336973056</v>
      </c>
      <c r="AF33" s="500">
        <f t="shared" ref="AF33:AF35" si="21">AE33</f>
        <v>0.26445634336973056</v>
      </c>
      <c r="AG33" s="500">
        <f>AVERAGE(AF33,AB33,X33,S33:T33)</f>
        <v>0.25864060371292324</v>
      </c>
      <c r="AH33" s="16"/>
    </row>
    <row r="34" spans="1:34" x14ac:dyDescent="0.45">
      <c r="A34" s="4" t="s">
        <v>152</v>
      </c>
      <c r="B34" s="8">
        <f t="shared" ref="B34:N34" si="22">B25*1000000/B16</f>
        <v>1319964.3493761141</v>
      </c>
      <c r="C34" s="8">
        <f t="shared" si="22"/>
        <v>97540.833180400077</v>
      </c>
      <c r="D34" s="8">
        <f t="shared" si="22"/>
        <v>791791.79179179179</v>
      </c>
      <c r="E34" s="8">
        <f t="shared" si="22"/>
        <v>880810.09296148736</v>
      </c>
      <c r="F34" s="8">
        <f t="shared" si="22"/>
        <v>880810.09296148736</v>
      </c>
      <c r="G34" s="8">
        <f t="shared" si="22"/>
        <v>880810.09296148736</v>
      </c>
      <c r="H34" s="8">
        <f t="shared" si="22"/>
        <v>942416.86942416872</v>
      </c>
      <c r="I34" s="8">
        <f t="shared" si="22"/>
        <v>1219837.7388118294</v>
      </c>
      <c r="J34" s="8">
        <f t="shared" si="22"/>
        <v>1219837.7388118294</v>
      </c>
      <c r="K34" s="8">
        <f t="shared" si="22"/>
        <v>1219837.7388118294</v>
      </c>
      <c r="L34" s="8">
        <f t="shared" si="22"/>
        <v>1198645.5981941309</v>
      </c>
      <c r="M34" s="8">
        <f t="shared" si="22"/>
        <v>1816343.0420711974</v>
      </c>
      <c r="N34" s="8">
        <f t="shared" si="22"/>
        <v>1817152.1035598705</v>
      </c>
      <c r="O34" s="8">
        <f t="shared" ref="O34:O35" si="23">$O$32*AF34</f>
        <v>1817152.1035598705</v>
      </c>
      <c r="P34" s="8">
        <f t="shared" ref="P34:P35" si="24">$P$32*AG34</f>
        <v>1619841.100834019</v>
      </c>
      <c r="R34" s="4" t="s">
        <v>152</v>
      </c>
      <c r="S34" s="500">
        <f>B34/B32</f>
        <v>6.3276692940623963E-2</v>
      </c>
      <c r="T34" s="500">
        <f t="shared" ref="T34:AE34" si="25">C34/C32</f>
        <v>1.4681102995570262E-3</v>
      </c>
      <c r="U34" s="500">
        <f t="shared" si="25"/>
        <v>3.1313581239892543E-2</v>
      </c>
      <c r="V34" s="500">
        <f t="shared" si="25"/>
        <v>3.4708783624019197E-2</v>
      </c>
      <c r="W34" s="500">
        <f t="shared" si="25"/>
        <v>3.4630521779443819E-2</v>
      </c>
      <c r="X34" s="500">
        <f t="shared" si="25"/>
        <v>3.455909354735448E-2</v>
      </c>
      <c r="Y34" s="500">
        <f t="shared" si="25"/>
        <v>2.6671643585091352E-2</v>
      </c>
      <c r="Z34" s="500">
        <f t="shared" si="25"/>
        <v>3.6331705891473262E-2</v>
      </c>
      <c r="AA34" s="500">
        <f t="shared" si="25"/>
        <v>4.4321124669606235E-2</v>
      </c>
      <c r="AB34" s="500">
        <f t="shared" si="25"/>
        <v>4.1795418631670925E-2</v>
      </c>
      <c r="AC34" s="500">
        <f t="shared" si="25"/>
        <v>3.9752904446428129E-2</v>
      </c>
      <c r="AD34" s="500">
        <f t="shared" si="25"/>
        <v>6.0255525615348686E-2</v>
      </c>
      <c r="AE34" s="500">
        <f t="shared" si="25"/>
        <v>5.8881067399808314E-2</v>
      </c>
      <c r="AF34" s="500">
        <f t="shared" si="21"/>
        <v>5.8881067399808314E-2</v>
      </c>
      <c r="AG34" s="500">
        <f t="shared" ref="AG34" si="26">AVERAGE(AF34,AB34,X34,S34:T34)</f>
        <v>3.999607656380294E-2</v>
      </c>
      <c r="AH34" s="16"/>
    </row>
    <row r="35" spans="1:34" x14ac:dyDescent="0.45">
      <c r="A35" s="4" t="s">
        <v>153</v>
      </c>
      <c r="B35" s="8">
        <f t="shared" ref="B35:N35" si="27">B26*1000000/B17</f>
        <v>4289773.5906397207</v>
      </c>
      <c r="C35" s="8">
        <f t="shared" si="27"/>
        <v>16483.039819554091</v>
      </c>
      <c r="D35" s="8">
        <f t="shared" si="27"/>
        <v>3334645.6692913384</v>
      </c>
      <c r="E35" s="8">
        <f t="shared" si="27"/>
        <v>2944068.5611186288</v>
      </c>
      <c r="F35" s="8">
        <f t="shared" si="27"/>
        <v>3012814.7482014387</v>
      </c>
      <c r="G35" s="8">
        <f t="shared" si="27"/>
        <v>3065995.3245819099</v>
      </c>
      <c r="H35" s="8">
        <f t="shared" si="27"/>
        <v>3851851.8518518517</v>
      </c>
      <c r="I35" s="8">
        <f t="shared" si="27"/>
        <v>3400193.0967897661</v>
      </c>
      <c r="J35" s="8">
        <f t="shared" si="27"/>
        <v>3416413.3738601822</v>
      </c>
      <c r="K35" s="8">
        <f t="shared" si="27"/>
        <v>3433668.0196539201</v>
      </c>
      <c r="L35" s="8">
        <f t="shared" si="27"/>
        <v>3705394.1908713691</v>
      </c>
      <c r="M35" s="8">
        <f t="shared" si="27"/>
        <v>8823843.4163701069</v>
      </c>
      <c r="N35" s="8">
        <f t="shared" si="27"/>
        <v>16277530.864197532</v>
      </c>
      <c r="O35" s="8">
        <f t="shared" si="23"/>
        <v>16277530.86419753</v>
      </c>
      <c r="P35" s="8">
        <f t="shared" si="24"/>
        <v>21361313.010950554</v>
      </c>
      <c r="R35" s="4" t="s">
        <v>153</v>
      </c>
      <c r="S35" s="500">
        <f>B35/B32</f>
        <v>0.20564395273857652</v>
      </c>
      <c r="T35" s="500">
        <f t="shared" ref="T35:AE35" si="28">C35/C32</f>
        <v>2.4809015607177011E-4</v>
      </c>
      <c r="U35" s="500">
        <f t="shared" si="28"/>
        <v>0.13187772234328515</v>
      </c>
      <c r="V35" s="500">
        <f t="shared" si="28"/>
        <v>0.11601256556742473</v>
      </c>
      <c r="W35" s="500">
        <f t="shared" si="28"/>
        <v>0.11845385014177108</v>
      </c>
      <c r="X35" s="500">
        <f t="shared" si="28"/>
        <v>0.1202961002430414</v>
      </c>
      <c r="Y35" s="500">
        <f t="shared" si="28"/>
        <v>0.10901250080332231</v>
      </c>
      <c r="Z35" s="500">
        <f t="shared" si="28"/>
        <v>0.10127151475663584</v>
      </c>
      <c r="AA35" s="500">
        <f t="shared" si="28"/>
        <v>0.12413067594814341</v>
      </c>
      <c r="AB35" s="500">
        <f t="shared" si="28"/>
        <v>0.11764810003615897</v>
      </c>
      <c r="AC35" s="500">
        <f t="shared" si="28"/>
        <v>0.12288885174064844</v>
      </c>
      <c r="AD35" s="500">
        <f t="shared" si="28"/>
        <v>0.29272296624905603</v>
      </c>
      <c r="AE35" s="500">
        <f t="shared" si="28"/>
        <v>0.52743982743087792</v>
      </c>
      <c r="AF35" s="500">
        <f t="shared" si="21"/>
        <v>0.52743982743087792</v>
      </c>
      <c r="AG35" s="500">
        <f>AF35</f>
        <v>0.52743982743087792</v>
      </c>
      <c r="AH35" s="16"/>
    </row>
    <row r="36" spans="1:34" x14ac:dyDescent="0.45">
      <c r="T36" s="24"/>
      <c r="U36" s="24"/>
      <c r="W36" s="24"/>
    </row>
    <row r="37" spans="1:34" x14ac:dyDescent="0.45">
      <c r="T37" s="24"/>
      <c r="U37" s="24"/>
      <c r="W37" s="24"/>
    </row>
    <row r="38" spans="1:34" x14ac:dyDescent="0.45">
      <c r="T38" s="24"/>
      <c r="U38" s="24"/>
      <c r="W38" s="24"/>
    </row>
    <row r="39" spans="1:34" ht="18.75" thickBot="1" x14ac:dyDescent="0.5"/>
    <row r="40" spans="1:34" x14ac:dyDescent="0.45">
      <c r="A40" s="502" t="s">
        <v>111</v>
      </c>
      <c r="B40" s="18" t="s">
        <v>169</v>
      </c>
      <c r="C40" s="18" t="s">
        <v>167</v>
      </c>
      <c r="D40" s="18" t="s">
        <v>166</v>
      </c>
      <c r="E40" s="18" t="s">
        <v>165</v>
      </c>
      <c r="F40" s="18" t="s">
        <v>164</v>
      </c>
      <c r="G40" s="18" t="s">
        <v>163</v>
      </c>
      <c r="H40" s="18" t="s">
        <v>162</v>
      </c>
      <c r="I40" s="18" t="s">
        <v>146</v>
      </c>
      <c r="J40" s="18" t="s">
        <v>161</v>
      </c>
      <c r="K40" s="19" t="s">
        <v>161</v>
      </c>
      <c r="O40" s="12"/>
    </row>
    <row r="41" spans="1:34" x14ac:dyDescent="0.45">
      <c r="A41" s="15" t="s">
        <v>58</v>
      </c>
      <c r="B41" s="27" t="s">
        <v>40</v>
      </c>
      <c r="C41" s="27" t="s">
        <v>95</v>
      </c>
      <c r="D41" s="27" t="s">
        <v>94</v>
      </c>
      <c r="E41" s="27" t="s">
        <v>39</v>
      </c>
      <c r="F41" s="27" t="s">
        <v>54</v>
      </c>
      <c r="G41" s="26" t="s">
        <v>148</v>
      </c>
      <c r="H41" s="27" t="s">
        <v>149</v>
      </c>
      <c r="I41" s="27" t="s">
        <v>146</v>
      </c>
      <c r="J41" s="27" t="s">
        <v>150</v>
      </c>
      <c r="K41" s="28" t="s">
        <v>159</v>
      </c>
      <c r="L41" s="13"/>
      <c r="O41" s="12"/>
      <c r="P41" s="22"/>
      <c r="Q41" s="12"/>
      <c r="R41" s="16"/>
      <c r="S41" s="23"/>
      <c r="T41" s="16"/>
    </row>
    <row r="42" spans="1:34" x14ac:dyDescent="0.45">
      <c r="A42" s="555" t="s">
        <v>82</v>
      </c>
      <c r="B42" s="554">
        <v>502019</v>
      </c>
      <c r="C42" s="554">
        <v>635495</v>
      </c>
      <c r="D42" s="554">
        <v>635496</v>
      </c>
      <c r="E42" s="554">
        <v>635496</v>
      </c>
      <c r="F42" s="554">
        <v>139864</v>
      </c>
      <c r="G42" s="554">
        <v>393092</v>
      </c>
      <c r="H42" s="554">
        <v>393093</v>
      </c>
      <c r="I42" s="554">
        <v>0</v>
      </c>
      <c r="J42" s="554">
        <f>I68</f>
        <v>393093</v>
      </c>
      <c r="K42" s="556">
        <f>J68</f>
        <v>1154439.914923786</v>
      </c>
      <c r="L42" s="12"/>
      <c r="O42" s="12"/>
      <c r="P42" s="22"/>
      <c r="Q42" s="12"/>
      <c r="R42" s="16"/>
      <c r="S42" s="23"/>
      <c r="T42" s="16"/>
    </row>
    <row r="43" spans="1:34" x14ac:dyDescent="0.45">
      <c r="A43" s="555" t="s">
        <v>81</v>
      </c>
      <c r="B43" s="554">
        <v>12541</v>
      </c>
      <c r="C43" s="554">
        <v>14499</v>
      </c>
      <c r="D43" s="554">
        <v>16118</v>
      </c>
      <c r="E43" s="554">
        <v>18989</v>
      </c>
      <c r="F43" s="554">
        <v>5971</v>
      </c>
      <c r="G43" s="554">
        <v>13632</v>
      </c>
      <c r="H43" s="554">
        <v>15387</v>
      </c>
      <c r="I43" s="554">
        <v>0</v>
      </c>
      <c r="J43" s="554">
        <f>H43*1.2</f>
        <v>18464.399999999998</v>
      </c>
      <c r="K43" s="506">
        <f>J43*1.3</f>
        <v>24003.719999999998</v>
      </c>
      <c r="L43" s="13"/>
      <c r="O43" s="12"/>
      <c r="P43" s="22"/>
      <c r="Q43" s="12"/>
      <c r="R43" s="16"/>
      <c r="S43" s="23"/>
      <c r="T43" s="16"/>
    </row>
    <row r="44" spans="1:34" x14ac:dyDescent="0.45">
      <c r="A44" s="557" t="s">
        <v>80</v>
      </c>
      <c r="B44" s="554">
        <v>101302</v>
      </c>
      <c r="C44" s="554">
        <v>76679</v>
      </c>
      <c r="D44" s="554">
        <v>89835</v>
      </c>
      <c r="E44" s="554">
        <v>112887</v>
      </c>
      <c r="F44" s="554">
        <v>30239</v>
      </c>
      <c r="G44" s="554">
        <v>69714</v>
      </c>
      <c r="H44" s="554">
        <v>84838</v>
      </c>
      <c r="I44" s="554">
        <v>0</v>
      </c>
      <c r="J44" s="554">
        <f>I88</f>
        <v>102438</v>
      </c>
      <c r="K44" s="506">
        <f>K88</f>
        <v>133169.40000000002</v>
      </c>
      <c r="L44" s="13"/>
      <c r="O44" s="13"/>
      <c r="P44" s="22"/>
      <c r="Q44" s="13"/>
      <c r="R44" s="17"/>
      <c r="T44" s="17"/>
    </row>
    <row r="45" spans="1:34" x14ac:dyDescent="0.45">
      <c r="A45" s="557" t="s">
        <v>42</v>
      </c>
      <c r="B45" s="554">
        <f t="shared" ref="B45" si="29">SUM(B42:B44)</f>
        <v>615862</v>
      </c>
      <c r="C45" s="554">
        <f>SUM(C42:C44)</f>
        <v>726673</v>
      </c>
      <c r="D45" s="554">
        <f>SUM(D42:D44)</f>
        <v>741449</v>
      </c>
      <c r="E45" s="554">
        <f t="shared" ref="E45:J45" si="30">SUM(E42:E44)</f>
        <v>767372</v>
      </c>
      <c r="F45" s="554">
        <f t="shared" si="30"/>
        <v>176074</v>
      </c>
      <c r="G45" s="554">
        <f t="shared" si="30"/>
        <v>476438</v>
      </c>
      <c r="H45" s="554">
        <f t="shared" si="30"/>
        <v>493318</v>
      </c>
      <c r="I45" s="554">
        <v>0</v>
      </c>
      <c r="J45" s="554">
        <f t="shared" si="30"/>
        <v>513995.4</v>
      </c>
      <c r="K45" s="506">
        <f>SUM(K42:K44)</f>
        <v>1311613.0349237858</v>
      </c>
      <c r="L45" s="13"/>
      <c r="O45" s="12"/>
      <c r="Q45" s="13"/>
      <c r="R45" s="17"/>
      <c r="S45" s="23"/>
      <c r="T45" s="16"/>
    </row>
    <row r="46" spans="1:34" x14ac:dyDescent="0.45">
      <c r="A46" s="555" t="s">
        <v>79</v>
      </c>
      <c r="B46" s="554">
        <v>0</v>
      </c>
      <c r="C46" s="554">
        <v>0</v>
      </c>
      <c r="D46" s="554">
        <v>0</v>
      </c>
      <c r="E46" s="554">
        <v>0</v>
      </c>
      <c r="F46" s="554">
        <v>0</v>
      </c>
      <c r="G46" s="554">
        <v>0</v>
      </c>
      <c r="H46" s="554">
        <v>0</v>
      </c>
      <c r="I46" s="554">
        <v>0</v>
      </c>
      <c r="J46" s="554">
        <v>0</v>
      </c>
      <c r="K46" s="506">
        <v>0</v>
      </c>
      <c r="O46" s="13"/>
    </row>
    <row r="47" spans="1:34" x14ac:dyDescent="0.45">
      <c r="A47" s="557" t="s">
        <v>78</v>
      </c>
      <c r="B47" s="554">
        <f t="shared" ref="B47" si="31">SUM(B45:B46)</f>
        <v>615862</v>
      </c>
      <c r="C47" s="554">
        <f>SUM(C45:C46)</f>
        <v>726673</v>
      </c>
      <c r="D47" s="554">
        <f>SUM(D45:D46)</f>
        <v>741449</v>
      </c>
      <c r="E47" s="554">
        <f t="shared" ref="E47:H47" si="32">SUM(E45:E46)</f>
        <v>767372</v>
      </c>
      <c r="F47" s="554">
        <f t="shared" si="32"/>
        <v>176074</v>
      </c>
      <c r="G47" s="554">
        <f t="shared" si="32"/>
        <v>476438</v>
      </c>
      <c r="H47" s="554">
        <f t="shared" si="32"/>
        <v>493318</v>
      </c>
      <c r="I47" s="554">
        <v>0</v>
      </c>
      <c r="J47" s="20">
        <f>SUM(J45:J46)</f>
        <v>513995.4</v>
      </c>
      <c r="K47" s="506">
        <f>SUM(K45:K46)</f>
        <v>1311613.0349237858</v>
      </c>
      <c r="O47" s="13"/>
      <c r="Q47" s="12"/>
      <c r="T47" s="16"/>
    </row>
    <row r="48" spans="1:34" x14ac:dyDescent="0.45">
      <c r="A48" s="557" t="s">
        <v>77</v>
      </c>
      <c r="B48" s="554">
        <v>0</v>
      </c>
      <c r="C48" s="554">
        <v>0</v>
      </c>
      <c r="D48" s="554">
        <v>0</v>
      </c>
      <c r="E48" s="554">
        <v>0</v>
      </c>
      <c r="F48" s="554">
        <v>0</v>
      </c>
      <c r="G48" s="554">
        <v>0</v>
      </c>
      <c r="H48" s="554">
        <v>0</v>
      </c>
      <c r="I48" s="554">
        <v>0</v>
      </c>
      <c r="J48" s="554">
        <v>0</v>
      </c>
      <c r="K48" s="506">
        <v>0</v>
      </c>
      <c r="O48" s="13"/>
    </row>
    <row r="49" spans="1:15" x14ac:dyDescent="0.45">
      <c r="A49" s="557" t="s">
        <v>76</v>
      </c>
      <c r="B49" s="554">
        <v>0</v>
      </c>
      <c r="C49" s="554">
        <v>0</v>
      </c>
      <c r="D49" s="554">
        <v>0</v>
      </c>
      <c r="E49" s="554">
        <v>0</v>
      </c>
      <c r="F49" s="554">
        <v>0</v>
      </c>
      <c r="G49" s="554">
        <v>0</v>
      </c>
      <c r="H49" s="554">
        <v>0</v>
      </c>
      <c r="I49" s="554">
        <v>0</v>
      </c>
      <c r="J49" s="554">
        <v>0</v>
      </c>
      <c r="K49" s="506">
        <v>0</v>
      </c>
      <c r="O49" s="12"/>
    </row>
    <row r="50" spans="1:15" x14ac:dyDescent="0.45">
      <c r="A50" s="557" t="s">
        <v>75</v>
      </c>
      <c r="B50" s="554">
        <v>0</v>
      </c>
      <c r="C50" s="554">
        <v>0</v>
      </c>
      <c r="D50" s="554">
        <v>0</v>
      </c>
      <c r="E50" s="554">
        <v>0</v>
      </c>
      <c r="F50" s="554">
        <v>0</v>
      </c>
      <c r="G50" s="554">
        <v>0</v>
      </c>
      <c r="H50" s="554">
        <v>0</v>
      </c>
      <c r="I50" s="554">
        <v>0</v>
      </c>
      <c r="J50" s="554">
        <v>0</v>
      </c>
      <c r="K50" s="506">
        <v>0</v>
      </c>
      <c r="O50" s="12"/>
    </row>
    <row r="51" spans="1:15" x14ac:dyDescent="0.45">
      <c r="A51" s="557" t="s">
        <v>74</v>
      </c>
      <c r="B51" s="554">
        <f t="shared" ref="B51" si="33">SUM(B47:B50)</f>
        <v>615862</v>
      </c>
      <c r="C51" s="554">
        <f>SUM(C47:C50)</f>
        <v>726673</v>
      </c>
      <c r="D51" s="554">
        <f>SUM(D47:D50)</f>
        <v>741449</v>
      </c>
      <c r="E51" s="554">
        <v>767372</v>
      </c>
      <c r="F51" s="554">
        <v>176074</v>
      </c>
      <c r="G51" s="554">
        <v>476438</v>
      </c>
      <c r="H51" s="554">
        <v>493318</v>
      </c>
      <c r="I51" s="554">
        <v>0</v>
      </c>
      <c r="J51" s="554">
        <f>SUM(J47:J50)</f>
        <v>513995.4</v>
      </c>
      <c r="K51" s="556">
        <f>SUM(K47:K50)</f>
        <v>1311613.0349237858</v>
      </c>
      <c r="O51" s="12"/>
    </row>
    <row r="52" spans="1:15" x14ac:dyDescent="0.45">
      <c r="A52" s="557" t="s">
        <v>73</v>
      </c>
      <c r="B52" s="554">
        <v>24409</v>
      </c>
      <c r="C52" s="554">
        <v>32465</v>
      </c>
      <c r="D52" s="554">
        <v>32457</v>
      </c>
      <c r="E52" s="554">
        <v>32457</v>
      </c>
      <c r="F52" s="554">
        <v>6324</v>
      </c>
      <c r="G52" s="554">
        <v>6324</v>
      </c>
      <c r="H52" s="554">
        <v>6324</v>
      </c>
      <c r="I52" s="554">
        <v>0</v>
      </c>
      <c r="J52" s="554">
        <f>H52</f>
        <v>6324</v>
      </c>
      <c r="K52" s="506">
        <f>J52</f>
        <v>6324</v>
      </c>
      <c r="O52" s="12"/>
    </row>
    <row r="53" spans="1:15" x14ac:dyDescent="0.45">
      <c r="A53" s="557" t="s">
        <v>72</v>
      </c>
      <c r="B53" s="554">
        <v>-32457</v>
      </c>
      <c r="C53" s="554">
        <v>-24597</v>
      </c>
      <c r="D53" s="554">
        <v>-491957</v>
      </c>
      <c r="E53" s="554">
        <v>-6324</v>
      </c>
      <c r="F53" s="554">
        <v>-28812</v>
      </c>
      <c r="G53" s="554">
        <v>-44718</v>
      </c>
      <c r="H53" s="554">
        <v>-14327</v>
      </c>
      <c r="I53" s="554">
        <v>0</v>
      </c>
      <c r="J53" s="554">
        <f>H53</f>
        <v>-14327</v>
      </c>
      <c r="K53" s="506">
        <f>J53</f>
        <v>-14327</v>
      </c>
      <c r="O53" s="13"/>
    </row>
    <row r="54" spans="1:15" x14ac:dyDescent="0.45">
      <c r="A54" s="557" t="s">
        <v>71</v>
      </c>
      <c r="B54" s="554">
        <f t="shared" ref="B54" si="34">SUM(B51:B53)</f>
        <v>607814</v>
      </c>
      <c r="C54" s="554">
        <f>SUM(C51:C53)</f>
        <v>734541</v>
      </c>
      <c r="D54" s="554">
        <f>SUM(D51:D53)</f>
        <v>281949</v>
      </c>
      <c r="E54" s="554">
        <f t="shared" ref="E54:K54" si="35">SUM(E51:E53)</f>
        <v>793505</v>
      </c>
      <c r="F54" s="554">
        <f t="shared" si="35"/>
        <v>153586</v>
      </c>
      <c r="G54" s="554">
        <f t="shared" si="35"/>
        <v>438044</v>
      </c>
      <c r="H54" s="554">
        <f t="shared" si="35"/>
        <v>485315</v>
      </c>
      <c r="I54" s="554">
        <v>0</v>
      </c>
      <c r="J54" s="554">
        <f t="shared" si="35"/>
        <v>505992.4</v>
      </c>
      <c r="K54" s="556">
        <f t="shared" si="35"/>
        <v>1303610.0349237858</v>
      </c>
      <c r="O54" s="12"/>
    </row>
    <row r="55" spans="1:15" x14ac:dyDescent="0.45">
      <c r="A55" s="557" t="s">
        <v>70</v>
      </c>
      <c r="B55" s="554">
        <v>0</v>
      </c>
      <c r="C55" s="554">
        <v>0</v>
      </c>
      <c r="D55" s="554">
        <v>0</v>
      </c>
      <c r="E55" s="554">
        <v>0</v>
      </c>
      <c r="F55" s="554">
        <v>0</v>
      </c>
      <c r="G55" s="554">
        <v>0</v>
      </c>
      <c r="H55" s="554">
        <v>0</v>
      </c>
      <c r="I55" s="554">
        <v>0</v>
      </c>
      <c r="J55" s="554">
        <v>0</v>
      </c>
      <c r="K55" s="506">
        <v>0</v>
      </c>
      <c r="N55" s="12"/>
    </row>
    <row r="56" spans="1:15" ht="18.75" thickBot="1" x14ac:dyDescent="0.5">
      <c r="A56" s="516" t="s">
        <v>69</v>
      </c>
      <c r="B56" s="558">
        <f t="shared" ref="B56" si="36">SUM(B54:B55)</f>
        <v>607814</v>
      </c>
      <c r="C56" s="558">
        <f>SUM(C54:C55)</f>
        <v>734541</v>
      </c>
      <c r="D56" s="558">
        <f>SUM(D54:D55)</f>
        <v>281949</v>
      </c>
      <c r="E56" s="558">
        <f t="shared" ref="E56:J56" si="37">SUM(E54:E55)</f>
        <v>793505</v>
      </c>
      <c r="F56" s="558">
        <f t="shared" si="37"/>
        <v>153586</v>
      </c>
      <c r="G56" s="558">
        <f t="shared" si="37"/>
        <v>438044</v>
      </c>
      <c r="H56" s="558">
        <f t="shared" si="37"/>
        <v>485315</v>
      </c>
      <c r="I56" s="558">
        <v>0</v>
      </c>
      <c r="J56" s="558">
        <f t="shared" si="37"/>
        <v>505992.4</v>
      </c>
      <c r="K56" s="507">
        <f>SUM(K54:K55)</f>
        <v>1303610.0349237858</v>
      </c>
    </row>
    <row r="58" spans="1:15" ht="18.75" thickBot="1" x14ac:dyDescent="0.5"/>
    <row r="59" spans="1:15" x14ac:dyDescent="0.45">
      <c r="A59" s="502" t="s">
        <v>114</v>
      </c>
      <c r="B59" s="18" t="s">
        <v>169</v>
      </c>
      <c r="C59" s="18" t="s">
        <v>166</v>
      </c>
      <c r="D59" s="18" t="s">
        <v>165</v>
      </c>
      <c r="E59" s="18" t="s">
        <v>164</v>
      </c>
      <c r="F59" s="18" t="s">
        <v>163</v>
      </c>
      <c r="G59" s="18" t="s">
        <v>162</v>
      </c>
      <c r="H59" s="18" t="s">
        <v>146</v>
      </c>
      <c r="I59" s="18" t="s">
        <v>161</v>
      </c>
      <c r="J59" s="19" t="s">
        <v>161</v>
      </c>
    </row>
    <row r="60" spans="1:15" x14ac:dyDescent="0.45">
      <c r="A60" s="15"/>
      <c r="B60" s="27" t="s">
        <v>40</v>
      </c>
      <c r="C60" s="27" t="s">
        <v>94</v>
      </c>
      <c r="D60" s="27" t="s">
        <v>39</v>
      </c>
      <c r="E60" s="27" t="s">
        <v>54</v>
      </c>
      <c r="F60" s="26" t="s">
        <v>148</v>
      </c>
      <c r="G60" s="27" t="s">
        <v>149</v>
      </c>
      <c r="H60" s="27" t="s">
        <v>146</v>
      </c>
      <c r="I60" s="27" t="s">
        <v>150</v>
      </c>
      <c r="J60" s="28" t="s">
        <v>159</v>
      </c>
    </row>
    <row r="61" spans="1:15" ht="22.5" x14ac:dyDescent="0.6">
      <c r="A61" s="427" t="s">
        <v>2580</v>
      </c>
      <c r="B61" s="9">
        <v>155900</v>
      </c>
      <c r="C61" s="9">
        <v>193429</v>
      </c>
      <c r="D61" s="9">
        <v>193429</v>
      </c>
      <c r="E61" s="9">
        <v>46750</v>
      </c>
      <c r="F61" s="9">
        <v>130267</v>
      </c>
      <c r="G61" s="9">
        <v>130267</v>
      </c>
      <c r="H61" s="4"/>
      <c r="I61" s="9">
        <f>B133</f>
        <v>130267</v>
      </c>
      <c r="J61" s="503">
        <f>B141</f>
        <v>192406.65248729766</v>
      </c>
    </row>
    <row r="62" spans="1:15" ht="25.5" x14ac:dyDescent="0.7">
      <c r="A62" s="300" t="s">
        <v>67</v>
      </c>
      <c r="B62" s="501">
        <f>G6</f>
        <v>23968</v>
      </c>
      <c r="C62" s="501">
        <f>J6</f>
        <v>29062</v>
      </c>
      <c r="D62" s="501">
        <f>K6</f>
        <v>29122</v>
      </c>
      <c r="E62" s="501">
        <f t="shared" ref="E62:G62" si="38">L6</f>
        <v>5884</v>
      </c>
      <c r="F62" s="501">
        <f t="shared" si="38"/>
        <v>16900</v>
      </c>
      <c r="G62" s="501">
        <f t="shared" si="38"/>
        <v>16926</v>
      </c>
      <c r="H62" s="4"/>
      <c r="I62" s="4"/>
      <c r="J62" s="514"/>
    </row>
    <row r="63" spans="1:15" ht="26.25" thickBot="1" x14ac:dyDescent="0.75">
      <c r="A63" s="227" t="s">
        <v>66</v>
      </c>
      <c r="B63" s="515">
        <f>B61/B62</f>
        <v>6.5045060080106811</v>
      </c>
      <c r="C63" s="515">
        <f t="shared" ref="C63:G63" si="39">C61/C62</f>
        <v>6.6557360126625831</v>
      </c>
      <c r="D63" s="515">
        <f t="shared" si="39"/>
        <v>6.642023212691436</v>
      </c>
      <c r="E63" s="515">
        <f t="shared" si="39"/>
        <v>7.9452753229095849</v>
      </c>
      <c r="F63" s="515">
        <f t="shared" si="39"/>
        <v>7.7081065088757397</v>
      </c>
      <c r="G63" s="515">
        <f t="shared" si="39"/>
        <v>7.6962660994919059</v>
      </c>
      <c r="H63" s="504"/>
      <c r="I63" s="515">
        <f>B132</f>
        <v>7.6962660994919059</v>
      </c>
      <c r="J63" s="553">
        <f>B140</f>
        <v>7.6962660994919059</v>
      </c>
    </row>
    <row r="64" spans="1:15" customFormat="1" ht="15" x14ac:dyDescent="0.25"/>
    <row r="65" spans="1:11" customFormat="1" ht="15.75" thickBot="1" x14ac:dyDescent="0.3"/>
    <row r="66" spans="1:11" x14ac:dyDescent="0.45">
      <c r="A66" s="502" t="s">
        <v>116</v>
      </c>
      <c r="B66" s="18" t="s">
        <v>169</v>
      </c>
      <c r="C66" s="18" t="s">
        <v>166</v>
      </c>
      <c r="D66" s="18" t="s">
        <v>165</v>
      </c>
      <c r="E66" s="18" t="s">
        <v>164</v>
      </c>
      <c r="F66" s="18" t="s">
        <v>163</v>
      </c>
      <c r="G66" s="18" t="s">
        <v>162</v>
      </c>
      <c r="H66" s="18" t="s">
        <v>146</v>
      </c>
      <c r="I66" s="18" t="s">
        <v>161</v>
      </c>
      <c r="J66" s="19" t="s">
        <v>161</v>
      </c>
    </row>
    <row r="67" spans="1:11" x14ac:dyDescent="0.45">
      <c r="A67" s="15"/>
      <c r="B67" s="27" t="s">
        <v>40</v>
      </c>
      <c r="C67" s="27" t="s">
        <v>94</v>
      </c>
      <c r="D67" s="27" t="s">
        <v>39</v>
      </c>
      <c r="E67" s="27" t="s">
        <v>54</v>
      </c>
      <c r="F67" s="26" t="s">
        <v>148</v>
      </c>
      <c r="G67" s="27" t="s">
        <v>149</v>
      </c>
      <c r="H67" s="27" t="s">
        <v>146</v>
      </c>
      <c r="I67" s="27" t="s">
        <v>150</v>
      </c>
      <c r="J67" s="28" t="s">
        <v>159</v>
      </c>
    </row>
    <row r="68" spans="1:11" ht="18.75" thickBot="1" x14ac:dyDescent="0.5">
      <c r="A68" s="516"/>
      <c r="B68" s="517">
        <v>493000</v>
      </c>
      <c r="C68" s="517">
        <v>635496</v>
      </c>
      <c r="D68" s="517">
        <v>635496</v>
      </c>
      <c r="E68" s="517">
        <v>139864</v>
      </c>
      <c r="F68" s="517">
        <v>393092</v>
      </c>
      <c r="G68" s="517">
        <v>393093</v>
      </c>
      <c r="H68" s="504"/>
      <c r="I68" s="11">
        <f>I61*I73/1000000</f>
        <v>393093</v>
      </c>
      <c r="J68" s="29">
        <f>J61*J73/1000000</f>
        <v>1154439.914923786</v>
      </c>
    </row>
    <row r="70" spans="1:11" ht="18.75" thickBot="1" x14ac:dyDescent="0.5"/>
    <row r="71" spans="1:11" x14ac:dyDescent="0.45">
      <c r="A71" s="502" t="s">
        <v>117</v>
      </c>
      <c r="B71" s="18" t="s">
        <v>169</v>
      </c>
      <c r="C71" s="18" t="s">
        <v>166</v>
      </c>
      <c r="D71" s="18" t="s">
        <v>165</v>
      </c>
      <c r="E71" s="18" t="s">
        <v>164</v>
      </c>
      <c r="F71" s="18" t="s">
        <v>163</v>
      </c>
      <c r="G71" s="18" t="s">
        <v>162</v>
      </c>
      <c r="H71" s="18" t="s">
        <v>146</v>
      </c>
      <c r="I71" s="18" t="s">
        <v>161</v>
      </c>
      <c r="J71" s="19" t="s">
        <v>161</v>
      </c>
    </row>
    <row r="72" spans="1:11" x14ac:dyDescent="0.45">
      <c r="A72" s="15"/>
      <c r="B72" s="27" t="s">
        <v>40</v>
      </c>
      <c r="C72" s="27" t="s">
        <v>94</v>
      </c>
      <c r="D72" s="27" t="s">
        <v>39</v>
      </c>
      <c r="E72" s="27" t="s">
        <v>54</v>
      </c>
      <c r="F72" s="26" t="s">
        <v>148</v>
      </c>
      <c r="G72" s="27" t="s">
        <v>149</v>
      </c>
      <c r="H72" s="27" t="s">
        <v>146</v>
      </c>
      <c r="I72" s="27" t="s">
        <v>150</v>
      </c>
      <c r="J72" s="28" t="s">
        <v>159</v>
      </c>
    </row>
    <row r="73" spans="1:11" ht="18.75" thickBot="1" x14ac:dyDescent="0.5">
      <c r="A73" s="516"/>
      <c r="B73" s="11">
        <f t="shared" ref="B73:G73" si="40">B68*1000000/B61</f>
        <v>3162283.5150737651</v>
      </c>
      <c r="C73" s="11">
        <f t="shared" si="40"/>
        <v>3285422.558147951</v>
      </c>
      <c r="D73" s="11">
        <f t="shared" si="40"/>
        <v>3285422.558147951</v>
      </c>
      <c r="E73" s="11">
        <f t="shared" si="40"/>
        <v>2991743.3155080215</v>
      </c>
      <c r="F73" s="11">
        <f t="shared" si="40"/>
        <v>3017586.9560210952</v>
      </c>
      <c r="G73" s="11">
        <f t="shared" si="40"/>
        <v>3017594.6325623528</v>
      </c>
      <c r="H73" s="504"/>
      <c r="I73" s="517">
        <f>B134</f>
        <v>3017594.6325623528</v>
      </c>
      <c r="J73" s="518">
        <f>B142</f>
        <v>6000000</v>
      </c>
    </row>
    <row r="75" spans="1:11" ht="18.75" thickBot="1" x14ac:dyDescent="0.5"/>
    <row r="76" spans="1:11" x14ac:dyDescent="0.45">
      <c r="A76" s="502" t="s">
        <v>180</v>
      </c>
      <c r="B76" s="18" t="s">
        <v>169</v>
      </c>
      <c r="C76" s="18" t="s">
        <v>166</v>
      </c>
      <c r="D76" s="18" t="s">
        <v>165</v>
      </c>
      <c r="E76" s="18" t="s">
        <v>164</v>
      </c>
      <c r="F76" s="18" t="s">
        <v>163</v>
      </c>
      <c r="G76" s="18" t="s">
        <v>162</v>
      </c>
      <c r="H76" s="18" t="s">
        <v>146</v>
      </c>
      <c r="I76" s="18" t="s">
        <v>161</v>
      </c>
      <c r="J76" s="18"/>
      <c r="K76" s="19" t="s">
        <v>161</v>
      </c>
    </row>
    <row r="77" spans="1:11" x14ac:dyDescent="0.45">
      <c r="A77" s="15"/>
      <c r="B77" s="27" t="s">
        <v>40</v>
      </c>
      <c r="C77" s="27" t="s">
        <v>94</v>
      </c>
      <c r="D77" s="27" t="s">
        <v>39</v>
      </c>
      <c r="E77" s="27" t="s">
        <v>54</v>
      </c>
      <c r="F77" s="26" t="s">
        <v>148</v>
      </c>
      <c r="G77" s="27" t="s">
        <v>149</v>
      </c>
      <c r="H77" s="27" t="s">
        <v>146</v>
      </c>
      <c r="I77" s="27" t="s">
        <v>150</v>
      </c>
      <c r="J77" s="27" t="s">
        <v>181</v>
      </c>
      <c r="K77" s="28" t="s">
        <v>159</v>
      </c>
    </row>
    <row r="78" spans="1:11" x14ac:dyDescent="0.45">
      <c r="A78" s="557" t="s">
        <v>52</v>
      </c>
      <c r="B78" s="9">
        <v>50242</v>
      </c>
      <c r="C78" s="4">
        <v>45041</v>
      </c>
      <c r="D78" s="9">
        <v>62202</v>
      </c>
      <c r="E78" s="9">
        <v>16634</v>
      </c>
      <c r="F78" s="9">
        <v>36950</v>
      </c>
      <c r="G78" s="9">
        <v>47198</v>
      </c>
      <c r="H78" s="9">
        <f>J78</f>
        <v>9489</v>
      </c>
      <c r="I78" s="9">
        <f>J78+G78</f>
        <v>56687</v>
      </c>
      <c r="J78" s="9">
        <v>9489</v>
      </c>
      <c r="K78" s="514">
        <f>I78*1.3</f>
        <v>73693.100000000006</v>
      </c>
    </row>
    <row r="79" spans="1:11" x14ac:dyDescent="0.45">
      <c r="A79" s="557" t="s">
        <v>51</v>
      </c>
      <c r="B79" s="9">
        <v>20247</v>
      </c>
      <c r="C79" s="4">
        <v>8583</v>
      </c>
      <c r="D79" s="9">
        <v>11192</v>
      </c>
      <c r="E79" s="9">
        <v>2874</v>
      </c>
      <c r="F79" s="9">
        <v>5672</v>
      </c>
      <c r="G79" s="9">
        <v>8255</v>
      </c>
      <c r="H79" s="9">
        <f t="shared" ref="H79:H87" si="41">J79</f>
        <v>2751</v>
      </c>
      <c r="I79" s="9">
        <f t="shared" ref="I79:I87" si="42">J79+G79</f>
        <v>11006</v>
      </c>
      <c r="J79" s="9">
        <v>2751</v>
      </c>
      <c r="K79" s="514">
        <f t="shared" ref="K79:K87" si="43">I79*1.3</f>
        <v>14307.800000000001</v>
      </c>
    </row>
    <row r="80" spans="1:11" x14ac:dyDescent="0.45">
      <c r="A80" s="557" t="s">
        <v>50</v>
      </c>
      <c r="B80" s="9">
        <v>16544</v>
      </c>
      <c r="C80" s="4">
        <v>30860</v>
      </c>
      <c r="D80" s="9">
        <v>22006</v>
      </c>
      <c r="E80" s="9">
        <v>4707</v>
      </c>
      <c r="F80" s="9">
        <v>14710</v>
      </c>
      <c r="G80" s="9">
        <v>15392</v>
      </c>
      <c r="H80" s="9">
        <f t="shared" si="41"/>
        <v>608</v>
      </c>
      <c r="I80" s="9">
        <f t="shared" si="42"/>
        <v>16000</v>
      </c>
      <c r="J80" s="10">
        <v>608</v>
      </c>
      <c r="K80" s="514">
        <f t="shared" si="43"/>
        <v>20800</v>
      </c>
    </row>
    <row r="81" spans="1:20" x14ac:dyDescent="0.45">
      <c r="A81" s="557" t="s">
        <v>49</v>
      </c>
      <c r="B81" s="9">
        <v>3654</v>
      </c>
      <c r="C81" s="4">
        <v>5660</v>
      </c>
      <c r="D81" s="9">
        <v>5661</v>
      </c>
      <c r="E81" s="9">
        <v>1384</v>
      </c>
      <c r="F81" s="9">
        <v>4047</v>
      </c>
      <c r="G81" s="9">
        <v>4047</v>
      </c>
      <c r="H81" s="9">
        <f t="shared" si="41"/>
        <v>453</v>
      </c>
      <c r="I81" s="9">
        <f t="shared" si="42"/>
        <v>4500</v>
      </c>
      <c r="J81" s="10">
        <v>453</v>
      </c>
      <c r="K81" s="514">
        <f t="shared" si="43"/>
        <v>5850</v>
      </c>
    </row>
    <row r="82" spans="1:20" x14ac:dyDescent="0.45">
      <c r="A82" s="557" t="s">
        <v>48</v>
      </c>
      <c r="B82" s="10">
        <v>0</v>
      </c>
      <c r="C82" s="4">
        <v>0</v>
      </c>
      <c r="D82" s="10">
        <v>0</v>
      </c>
      <c r="E82" s="10">
        <v>0</v>
      </c>
      <c r="F82" s="10">
        <v>0</v>
      </c>
      <c r="G82" s="10">
        <v>0</v>
      </c>
      <c r="H82" s="9">
        <f t="shared" si="41"/>
        <v>0</v>
      </c>
      <c r="I82" s="9">
        <f t="shared" si="42"/>
        <v>0</v>
      </c>
      <c r="J82" s="10">
        <v>0</v>
      </c>
      <c r="K82" s="514">
        <f t="shared" si="43"/>
        <v>0</v>
      </c>
    </row>
    <row r="83" spans="1:20" x14ac:dyDescent="0.45">
      <c r="A83" s="557" t="s">
        <v>47</v>
      </c>
      <c r="B83" s="10">
        <v>0</v>
      </c>
      <c r="C83" s="4">
        <v>0</v>
      </c>
      <c r="D83" s="10">
        <v>0</v>
      </c>
      <c r="E83" s="10">
        <v>0</v>
      </c>
      <c r="F83" s="10">
        <v>0</v>
      </c>
      <c r="G83" s="10">
        <v>0</v>
      </c>
      <c r="H83" s="9">
        <f t="shared" si="41"/>
        <v>0</v>
      </c>
      <c r="I83" s="9">
        <f t="shared" si="42"/>
        <v>0</v>
      </c>
      <c r="J83" s="10">
        <v>0</v>
      </c>
      <c r="K83" s="514">
        <f t="shared" si="43"/>
        <v>0</v>
      </c>
    </row>
    <row r="84" spans="1:20" x14ac:dyDescent="0.45">
      <c r="A84" s="557" t="s">
        <v>118</v>
      </c>
      <c r="B84" s="10">
        <v>0</v>
      </c>
      <c r="C84" s="4">
        <v>0</v>
      </c>
      <c r="D84" s="10">
        <v>0</v>
      </c>
      <c r="E84" s="10">
        <v>0</v>
      </c>
      <c r="F84" s="10">
        <v>0</v>
      </c>
      <c r="G84" s="10">
        <v>0</v>
      </c>
      <c r="H84" s="9">
        <f t="shared" si="41"/>
        <v>0</v>
      </c>
      <c r="I84" s="9">
        <f t="shared" si="42"/>
        <v>0</v>
      </c>
      <c r="J84" s="10">
        <v>0</v>
      </c>
      <c r="K84" s="514">
        <f t="shared" si="43"/>
        <v>0</v>
      </c>
    </row>
    <row r="85" spans="1:20" x14ac:dyDescent="0.45">
      <c r="A85" s="557" t="s">
        <v>45</v>
      </c>
      <c r="B85" s="10">
        <v>0</v>
      </c>
      <c r="C85" s="4">
        <v>0</v>
      </c>
      <c r="D85" s="10">
        <v>0</v>
      </c>
      <c r="E85" s="10">
        <v>0</v>
      </c>
      <c r="F85" s="10">
        <v>0</v>
      </c>
      <c r="G85" s="10">
        <v>0</v>
      </c>
      <c r="H85" s="9">
        <f t="shared" si="41"/>
        <v>0</v>
      </c>
      <c r="I85" s="9">
        <f t="shared" si="42"/>
        <v>0</v>
      </c>
      <c r="J85" s="10">
        <v>0</v>
      </c>
      <c r="K85" s="514">
        <f t="shared" si="43"/>
        <v>0</v>
      </c>
    </row>
    <row r="86" spans="1:20" x14ac:dyDescent="0.45">
      <c r="A86" s="557" t="s">
        <v>44</v>
      </c>
      <c r="B86" s="10">
        <v>0</v>
      </c>
      <c r="C86" s="4">
        <v>125</v>
      </c>
      <c r="D86" s="10">
        <v>0</v>
      </c>
      <c r="E86" s="10">
        <v>0</v>
      </c>
      <c r="F86" s="10">
        <v>0</v>
      </c>
      <c r="G86" s="10">
        <v>0</v>
      </c>
      <c r="H86" s="9">
        <f t="shared" si="41"/>
        <v>0</v>
      </c>
      <c r="I86" s="9">
        <f t="shared" si="42"/>
        <v>0</v>
      </c>
      <c r="J86" s="10">
        <v>0</v>
      </c>
      <c r="K86" s="514">
        <f t="shared" si="43"/>
        <v>0</v>
      </c>
      <c r="N86" s="12"/>
      <c r="O86" s="12"/>
      <c r="Q86" s="12"/>
      <c r="R86" s="16"/>
      <c r="T86" s="16"/>
    </row>
    <row r="87" spans="1:20" x14ac:dyDescent="0.45">
      <c r="A87" s="557" t="s">
        <v>43</v>
      </c>
      <c r="B87" s="9">
        <v>10615</v>
      </c>
      <c r="C87" s="4">
        <v>9566</v>
      </c>
      <c r="D87" s="9">
        <v>11826</v>
      </c>
      <c r="E87" s="9">
        <v>4640</v>
      </c>
      <c r="F87" s="9">
        <v>8335</v>
      </c>
      <c r="G87" s="9">
        <v>9946</v>
      </c>
      <c r="H87" s="9">
        <f t="shared" si="41"/>
        <v>4299</v>
      </c>
      <c r="I87" s="9">
        <f t="shared" si="42"/>
        <v>14245</v>
      </c>
      <c r="J87" s="9">
        <v>4299</v>
      </c>
      <c r="K87" s="514">
        <f t="shared" si="43"/>
        <v>18518.5</v>
      </c>
      <c r="N87" s="12"/>
      <c r="O87" s="12"/>
      <c r="Q87" s="12"/>
      <c r="R87" s="17"/>
      <c r="T87" s="17"/>
    </row>
    <row r="88" spans="1:20" ht="18.75" thickBot="1" x14ac:dyDescent="0.5">
      <c r="A88" s="516" t="s">
        <v>42</v>
      </c>
      <c r="B88" s="517">
        <v>101302</v>
      </c>
      <c r="C88" s="504">
        <v>89835</v>
      </c>
      <c r="D88" s="517">
        <v>112887</v>
      </c>
      <c r="E88" s="517">
        <v>30239</v>
      </c>
      <c r="F88" s="517">
        <v>69714</v>
      </c>
      <c r="G88" s="517">
        <v>84838</v>
      </c>
      <c r="H88" s="517">
        <f>SUM(H78:H87)</f>
        <v>17600</v>
      </c>
      <c r="I88" s="517">
        <f t="shared" ref="I88:K88" si="44">SUM(I78:I87)</f>
        <v>102438</v>
      </c>
      <c r="J88" s="517">
        <f t="shared" si="44"/>
        <v>17600</v>
      </c>
      <c r="K88" s="505">
        <f t="shared" si="44"/>
        <v>133169.40000000002</v>
      </c>
      <c r="N88" s="12"/>
      <c r="O88" s="12"/>
      <c r="Q88" s="13"/>
      <c r="R88" s="17"/>
      <c r="T88" s="17"/>
    </row>
    <row r="89" spans="1:20" x14ac:dyDescent="0.45">
      <c r="N89" s="12"/>
      <c r="O89" s="13"/>
      <c r="Q89" s="13"/>
      <c r="R89" s="17"/>
      <c r="T89" s="17"/>
    </row>
    <row r="90" spans="1:20" x14ac:dyDescent="0.45">
      <c r="N90" s="13"/>
      <c r="O90" s="13"/>
      <c r="Q90" s="13"/>
      <c r="R90" s="17"/>
      <c r="T90" s="17"/>
    </row>
    <row r="91" spans="1:20" ht="18.75" thickBot="1" x14ac:dyDescent="0.5">
      <c r="N91" s="13"/>
      <c r="O91" s="13"/>
      <c r="Q91" s="13"/>
      <c r="R91" s="17"/>
      <c r="T91" s="17"/>
    </row>
    <row r="92" spans="1:20" x14ac:dyDescent="0.45">
      <c r="A92" s="502" t="s">
        <v>56</v>
      </c>
      <c r="B92" s="18" t="s">
        <v>169</v>
      </c>
      <c r="C92" s="18" t="s">
        <v>166</v>
      </c>
      <c r="D92" s="18" t="s">
        <v>165</v>
      </c>
      <c r="E92" s="18" t="s">
        <v>164</v>
      </c>
      <c r="F92" s="18" t="s">
        <v>163</v>
      </c>
      <c r="G92" s="18" t="s">
        <v>162</v>
      </c>
      <c r="H92" s="18" t="s">
        <v>146</v>
      </c>
      <c r="I92" s="18" t="s">
        <v>161</v>
      </c>
      <c r="J92" s="18"/>
      <c r="K92" s="19" t="s">
        <v>161</v>
      </c>
      <c r="N92" s="13"/>
      <c r="O92" s="13"/>
      <c r="Q92" s="13"/>
      <c r="R92" s="17"/>
      <c r="T92" s="17"/>
    </row>
    <row r="93" spans="1:20" x14ac:dyDescent="0.45">
      <c r="A93" s="15"/>
      <c r="B93" s="27" t="s">
        <v>40</v>
      </c>
      <c r="C93" s="27" t="s">
        <v>94</v>
      </c>
      <c r="D93" s="27" t="s">
        <v>39</v>
      </c>
      <c r="E93" s="27" t="s">
        <v>54</v>
      </c>
      <c r="F93" s="26" t="s">
        <v>148</v>
      </c>
      <c r="G93" s="27" t="s">
        <v>149</v>
      </c>
      <c r="H93" s="27" t="s">
        <v>146</v>
      </c>
      <c r="I93" s="27" t="s">
        <v>150</v>
      </c>
      <c r="J93" s="27" t="s">
        <v>181</v>
      </c>
      <c r="K93" s="28" t="s">
        <v>159</v>
      </c>
      <c r="N93" s="13"/>
      <c r="O93" s="13"/>
      <c r="Q93" s="13"/>
      <c r="R93" s="17"/>
      <c r="T93" s="17"/>
    </row>
    <row r="94" spans="1:20" x14ac:dyDescent="0.45">
      <c r="A94" s="557" t="s">
        <v>52</v>
      </c>
      <c r="B94" s="9">
        <v>13218</v>
      </c>
      <c r="C94" s="4">
        <v>10995</v>
      </c>
      <c r="D94" s="9">
        <v>15386</v>
      </c>
      <c r="E94" s="9">
        <v>3380</v>
      </c>
      <c r="F94" s="9">
        <v>8588</v>
      </c>
      <c r="G94" s="9">
        <v>11900</v>
      </c>
      <c r="H94" s="9">
        <f>J94</f>
        <v>2122</v>
      </c>
      <c r="I94" s="9">
        <f>J94+G94</f>
        <v>14022</v>
      </c>
      <c r="J94" s="9">
        <v>2122</v>
      </c>
      <c r="K94" s="514">
        <f>I94*1.3</f>
        <v>18228.600000000002</v>
      </c>
      <c r="N94" s="13"/>
      <c r="O94" s="13"/>
      <c r="Q94" s="12"/>
      <c r="R94" s="17"/>
      <c r="T94" s="17"/>
    </row>
    <row r="95" spans="1:20" x14ac:dyDescent="0.45">
      <c r="A95" s="557" t="s">
        <v>51</v>
      </c>
      <c r="B95" s="9">
        <v>3388</v>
      </c>
      <c r="C95" s="4">
        <v>1413</v>
      </c>
      <c r="D95" s="9">
        <v>1844</v>
      </c>
      <c r="E95" s="10">
        <v>431</v>
      </c>
      <c r="F95" s="9">
        <v>841</v>
      </c>
      <c r="G95" s="9">
        <v>1248</v>
      </c>
      <c r="H95" s="9">
        <f t="shared" ref="H95:H103" si="45">J95</f>
        <v>416</v>
      </c>
      <c r="I95" s="9">
        <f t="shared" ref="I95:I103" si="46">J95+G95</f>
        <v>1664</v>
      </c>
      <c r="J95" s="10">
        <v>416</v>
      </c>
      <c r="K95" s="514">
        <f t="shared" ref="K95:K103" si="47">I95*1.3</f>
        <v>2163.2000000000003</v>
      </c>
      <c r="N95" s="12"/>
      <c r="O95" s="12"/>
      <c r="Q95" s="12"/>
      <c r="R95" s="16"/>
      <c r="T95" s="16"/>
    </row>
    <row r="96" spans="1:20" x14ac:dyDescent="0.45">
      <c r="A96" s="557" t="s">
        <v>50</v>
      </c>
      <c r="B96" s="10">
        <v>0</v>
      </c>
      <c r="C96" s="4">
        <v>31</v>
      </c>
      <c r="D96" s="9">
        <v>0</v>
      </c>
      <c r="E96" s="10">
        <v>0</v>
      </c>
      <c r="F96" s="10">
        <v>20</v>
      </c>
      <c r="G96" s="10">
        <v>33</v>
      </c>
      <c r="H96" s="9">
        <f t="shared" si="45"/>
        <v>10</v>
      </c>
      <c r="I96" s="9">
        <f t="shared" si="46"/>
        <v>43</v>
      </c>
      <c r="J96" s="10">
        <v>10</v>
      </c>
      <c r="K96" s="514">
        <f t="shared" si="47"/>
        <v>55.9</v>
      </c>
      <c r="N96" s="12"/>
      <c r="O96" s="12"/>
      <c r="Q96" s="12"/>
      <c r="R96" s="16"/>
      <c r="T96" s="16"/>
    </row>
    <row r="97" spans="1:18" x14ac:dyDescent="0.45">
      <c r="A97" s="557" t="s">
        <v>49</v>
      </c>
      <c r="B97" s="10">
        <v>0</v>
      </c>
      <c r="C97" s="4">
        <v>0</v>
      </c>
      <c r="D97" s="9">
        <v>0</v>
      </c>
      <c r="E97" s="10">
        <v>0</v>
      </c>
      <c r="F97" s="10">
        <v>0</v>
      </c>
      <c r="G97" s="10">
        <v>0</v>
      </c>
      <c r="H97" s="9">
        <f t="shared" si="45"/>
        <v>0</v>
      </c>
      <c r="I97" s="9">
        <f t="shared" si="46"/>
        <v>0</v>
      </c>
      <c r="J97" s="10">
        <v>0</v>
      </c>
      <c r="K97" s="514">
        <f t="shared" si="47"/>
        <v>0</v>
      </c>
    </row>
    <row r="98" spans="1:18" x14ac:dyDescent="0.45">
      <c r="A98" s="557" t="s">
        <v>48</v>
      </c>
      <c r="B98" s="10">
        <v>0</v>
      </c>
      <c r="C98" s="4">
        <v>0</v>
      </c>
      <c r="D98" s="10">
        <v>0</v>
      </c>
      <c r="E98" s="10">
        <v>0</v>
      </c>
      <c r="F98" s="10">
        <v>0</v>
      </c>
      <c r="G98" s="10">
        <v>0</v>
      </c>
      <c r="H98" s="9">
        <f t="shared" si="45"/>
        <v>0</v>
      </c>
      <c r="I98" s="9">
        <f t="shared" si="46"/>
        <v>0</v>
      </c>
      <c r="J98" s="10">
        <v>0</v>
      </c>
      <c r="K98" s="514">
        <f t="shared" si="47"/>
        <v>0</v>
      </c>
    </row>
    <row r="99" spans="1:18" x14ac:dyDescent="0.45">
      <c r="A99" s="557" t="s">
        <v>47</v>
      </c>
      <c r="B99" s="10">
        <v>0</v>
      </c>
      <c r="C99" s="4">
        <v>0</v>
      </c>
      <c r="D99" s="10">
        <v>0</v>
      </c>
      <c r="E99" s="10">
        <v>0</v>
      </c>
      <c r="F99" s="10">
        <v>0</v>
      </c>
      <c r="G99" s="10">
        <v>0</v>
      </c>
      <c r="H99" s="9">
        <f t="shared" si="45"/>
        <v>0</v>
      </c>
      <c r="I99" s="9">
        <f t="shared" si="46"/>
        <v>0</v>
      </c>
      <c r="J99" s="10">
        <v>0</v>
      </c>
      <c r="K99" s="514">
        <f t="shared" si="47"/>
        <v>0</v>
      </c>
    </row>
    <row r="100" spans="1:18" x14ac:dyDescent="0.45">
      <c r="A100" s="557" t="s">
        <v>118</v>
      </c>
      <c r="B100" s="10">
        <v>0</v>
      </c>
      <c r="C100" s="4">
        <v>0</v>
      </c>
      <c r="D100" s="10">
        <v>0</v>
      </c>
      <c r="E100" s="10">
        <v>0</v>
      </c>
      <c r="F100" s="10">
        <v>0</v>
      </c>
      <c r="G100" s="10">
        <v>0</v>
      </c>
      <c r="H100" s="9">
        <f t="shared" si="45"/>
        <v>0</v>
      </c>
      <c r="I100" s="9">
        <f t="shared" si="46"/>
        <v>0</v>
      </c>
      <c r="J100" s="10">
        <v>0</v>
      </c>
      <c r="K100" s="514">
        <f t="shared" si="47"/>
        <v>0</v>
      </c>
    </row>
    <row r="101" spans="1:18" x14ac:dyDescent="0.45">
      <c r="A101" s="557" t="s">
        <v>45</v>
      </c>
      <c r="B101" s="10">
        <v>0</v>
      </c>
      <c r="C101" s="4">
        <v>0</v>
      </c>
      <c r="D101" s="10">
        <v>0</v>
      </c>
      <c r="E101" s="10">
        <v>0</v>
      </c>
      <c r="F101" s="10">
        <v>0</v>
      </c>
      <c r="G101" s="10">
        <v>0</v>
      </c>
      <c r="H101" s="9">
        <f t="shared" si="45"/>
        <v>0</v>
      </c>
      <c r="I101" s="9">
        <f t="shared" si="46"/>
        <v>0</v>
      </c>
      <c r="J101" s="10">
        <v>0</v>
      </c>
      <c r="K101" s="514">
        <f t="shared" si="47"/>
        <v>0</v>
      </c>
    </row>
    <row r="102" spans="1:18" x14ac:dyDescent="0.45">
      <c r="A102" s="557" t="s">
        <v>44</v>
      </c>
      <c r="B102" s="9">
        <v>1351</v>
      </c>
      <c r="C102" s="4">
        <v>1737</v>
      </c>
      <c r="D102" s="10">
        <v>1822</v>
      </c>
      <c r="E102" s="10">
        <v>787</v>
      </c>
      <c r="F102" s="9">
        <v>1515</v>
      </c>
      <c r="G102" s="9">
        <v>1906</v>
      </c>
      <c r="H102" s="9">
        <f t="shared" si="45"/>
        <v>94</v>
      </c>
      <c r="I102" s="9">
        <f t="shared" si="46"/>
        <v>2000</v>
      </c>
      <c r="J102" s="10">
        <v>94</v>
      </c>
      <c r="K102" s="514">
        <f t="shared" si="47"/>
        <v>2600</v>
      </c>
    </row>
    <row r="103" spans="1:18" x14ac:dyDescent="0.45">
      <c r="A103" s="557" t="s">
        <v>43</v>
      </c>
      <c r="B103" s="9">
        <v>6173</v>
      </c>
      <c r="C103" s="4">
        <v>3726</v>
      </c>
      <c r="D103" s="9">
        <v>7832</v>
      </c>
      <c r="E103" s="9">
        <v>2202</v>
      </c>
      <c r="F103" s="9">
        <v>3568</v>
      </c>
      <c r="G103" s="9">
        <v>5074</v>
      </c>
      <c r="H103" s="9">
        <f t="shared" si="45"/>
        <v>465</v>
      </c>
      <c r="I103" s="9">
        <f t="shared" si="46"/>
        <v>5539</v>
      </c>
      <c r="J103" s="10">
        <v>465</v>
      </c>
      <c r="K103" s="514">
        <f t="shared" si="47"/>
        <v>7200.7</v>
      </c>
    </row>
    <row r="104" spans="1:18" ht="18.75" thickBot="1" x14ac:dyDescent="0.5">
      <c r="A104" s="516" t="s">
        <v>42</v>
      </c>
      <c r="B104" s="517">
        <v>24130</v>
      </c>
      <c r="C104" s="504">
        <v>17902</v>
      </c>
      <c r="D104" s="517">
        <v>26884</v>
      </c>
      <c r="E104" s="517">
        <v>6800</v>
      </c>
      <c r="F104" s="517">
        <v>14532</v>
      </c>
      <c r="G104" s="517">
        <v>20161</v>
      </c>
      <c r="H104" s="517">
        <f>SUM(H94:H103)</f>
        <v>3107</v>
      </c>
      <c r="I104" s="517">
        <f t="shared" ref="I104:K104" si="48">SUM(I94:I103)</f>
        <v>23268</v>
      </c>
      <c r="J104" s="517">
        <f t="shared" si="48"/>
        <v>3107</v>
      </c>
      <c r="K104" s="505">
        <f t="shared" si="48"/>
        <v>30248.400000000005</v>
      </c>
    </row>
    <row r="108" spans="1:18" x14ac:dyDescent="0.45">
      <c r="A108" s="30" t="s">
        <v>190</v>
      </c>
      <c r="B108" s="32" t="s">
        <v>176</v>
      </c>
      <c r="C108" s="32" t="s">
        <v>175</v>
      </c>
      <c r="D108" s="32" t="s">
        <v>174</v>
      </c>
      <c r="E108" s="32" t="s">
        <v>173</v>
      </c>
      <c r="F108" s="32" t="s">
        <v>172</v>
      </c>
      <c r="G108" s="32" t="s">
        <v>171</v>
      </c>
      <c r="H108" s="32" t="s">
        <v>170</v>
      </c>
      <c r="I108" s="32" t="s">
        <v>169</v>
      </c>
      <c r="J108" s="32" t="s">
        <v>168</v>
      </c>
      <c r="K108" s="32" t="s">
        <v>167</v>
      </c>
      <c r="L108" s="32" t="s">
        <v>166</v>
      </c>
      <c r="M108" s="32" t="s">
        <v>165</v>
      </c>
      <c r="N108" s="32" t="s">
        <v>164</v>
      </c>
      <c r="O108" s="32" t="s">
        <v>163</v>
      </c>
      <c r="P108" s="32" t="s">
        <v>162</v>
      </c>
      <c r="Q108" s="32" t="s">
        <v>146</v>
      </c>
      <c r="R108" s="32" t="s">
        <v>161</v>
      </c>
    </row>
    <row r="109" spans="1:18" x14ac:dyDescent="0.45">
      <c r="A109" s="34"/>
      <c r="B109" s="33" t="s">
        <v>106</v>
      </c>
      <c r="C109" s="33" t="s">
        <v>97</v>
      </c>
      <c r="D109" s="33" t="s">
        <v>96</v>
      </c>
      <c r="E109" s="33" t="s">
        <v>62</v>
      </c>
      <c r="F109" s="33" t="s">
        <v>107</v>
      </c>
      <c r="G109" s="33" t="s">
        <v>108</v>
      </c>
      <c r="H109" s="33" t="s">
        <v>109</v>
      </c>
      <c r="I109" s="33" t="s">
        <v>40</v>
      </c>
      <c r="J109" s="33" t="s">
        <v>55</v>
      </c>
      <c r="K109" s="33" t="s">
        <v>95</v>
      </c>
      <c r="L109" s="33" t="s">
        <v>94</v>
      </c>
      <c r="M109" s="33" t="s">
        <v>39</v>
      </c>
      <c r="N109" s="33" t="s">
        <v>54</v>
      </c>
      <c r="O109" s="33" t="s">
        <v>148</v>
      </c>
      <c r="P109" s="33" t="s">
        <v>149</v>
      </c>
      <c r="Q109" s="33" t="s">
        <v>160</v>
      </c>
      <c r="R109" s="33" t="s">
        <v>159</v>
      </c>
    </row>
    <row r="110" spans="1:18" x14ac:dyDescent="0.45">
      <c r="A110" s="34" t="s">
        <v>37</v>
      </c>
      <c r="B110" s="9">
        <v>482046</v>
      </c>
      <c r="C110" s="9">
        <v>369665</v>
      </c>
      <c r="D110" s="9">
        <v>671431</v>
      </c>
      <c r="E110" s="9">
        <v>796594</v>
      </c>
      <c r="F110" s="9">
        <v>286476</v>
      </c>
      <c r="G110" s="9">
        <v>668532</v>
      </c>
      <c r="H110" s="9">
        <v>715653</v>
      </c>
      <c r="I110" s="9">
        <v>737163</v>
      </c>
      <c r="J110" s="9">
        <v>21016</v>
      </c>
      <c r="K110" s="9">
        <v>109495</v>
      </c>
      <c r="L110" s="9">
        <v>411534</v>
      </c>
      <c r="M110" s="9">
        <v>1017702</v>
      </c>
      <c r="N110" s="9">
        <v>181986</v>
      </c>
      <c r="O110" s="9">
        <v>538442</v>
      </c>
      <c r="P110" s="9">
        <v>616332</v>
      </c>
      <c r="Q110" s="501">
        <f>O27</f>
        <v>650711.19999999995</v>
      </c>
      <c r="R110" s="501">
        <f>P27</f>
        <v>1143372.2516360076</v>
      </c>
    </row>
    <row r="111" spans="1:18" x14ac:dyDescent="0.45">
      <c r="A111" s="34" t="s">
        <v>36</v>
      </c>
      <c r="B111" s="9">
        <v>-280961</v>
      </c>
      <c r="C111" s="9">
        <v>-234779</v>
      </c>
      <c r="D111" s="9">
        <v>-541862</v>
      </c>
      <c r="E111" s="9">
        <v>-670052</v>
      </c>
      <c r="F111" s="9">
        <v>-218283</v>
      </c>
      <c r="G111" s="9">
        <v>-521562</v>
      </c>
      <c r="H111" s="9">
        <v>-568194</v>
      </c>
      <c r="I111" s="9">
        <v>-607814</v>
      </c>
      <c r="J111" s="9">
        <v>-13019</v>
      </c>
      <c r="K111" s="9">
        <v>-51041</v>
      </c>
      <c r="L111" s="9">
        <v>-281949</v>
      </c>
      <c r="M111" s="9">
        <v>-793505</v>
      </c>
      <c r="N111" s="9">
        <v>-153586</v>
      </c>
      <c r="O111" s="9">
        <v>-438044</v>
      </c>
      <c r="P111" s="9">
        <v>-485315</v>
      </c>
      <c r="Q111" s="20">
        <f>-J56</f>
        <v>-505992.4</v>
      </c>
      <c r="R111" s="20">
        <f>-K56</f>
        <v>-1303610.0349237858</v>
      </c>
    </row>
    <row r="112" spans="1:18" x14ac:dyDescent="0.45">
      <c r="A112" s="34" t="s">
        <v>35</v>
      </c>
      <c r="B112" s="9">
        <v>201085</v>
      </c>
      <c r="C112" s="9">
        <v>134886</v>
      </c>
      <c r="D112" s="9">
        <v>129569</v>
      </c>
      <c r="E112" s="9">
        <v>126542</v>
      </c>
      <c r="F112" s="9">
        <v>68193</v>
      </c>
      <c r="G112" s="9">
        <v>146970</v>
      </c>
      <c r="H112" s="9">
        <v>147459</v>
      </c>
      <c r="I112" s="9">
        <v>129349</v>
      </c>
      <c r="J112" s="9">
        <v>7997</v>
      </c>
      <c r="K112" s="9">
        <v>58454</v>
      </c>
      <c r="L112" s="9">
        <v>129585</v>
      </c>
      <c r="M112" s="9">
        <v>224197</v>
      </c>
      <c r="N112" s="9">
        <v>28400</v>
      </c>
      <c r="O112" s="9">
        <v>100398</v>
      </c>
      <c r="P112" s="9">
        <v>131017</v>
      </c>
      <c r="Q112" s="501">
        <f>SUM(Q110:Q111)</f>
        <v>144718.79999999993</v>
      </c>
      <c r="R112" s="501">
        <f>SUM(R110:R111)</f>
        <v>-160237.78328777826</v>
      </c>
    </row>
    <row r="113" spans="1:25" x14ac:dyDescent="0.45">
      <c r="A113" s="34" t="s">
        <v>34</v>
      </c>
      <c r="B113" s="9">
        <v>-18379</v>
      </c>
      <c r="C113" s="9">
        <v>-16676</v>
      </c>
      <c r="D113" s="9">
        <v>-25477</v>
      </c>
      <c r="E113" s="9">
        <v>-23840</v>
      </c>
      <c r="F113" s="9">
        <v>-4223</v>
      </c>
      <c r="G113" s="9">
        <v>-10757</v>
      </c>
      <c r="H113" s="9">
        <v>-14686</v>
      </c>
      <c r="I113" s="9">
        <v>-24130</v>
      </c>
      <c r="J113" s="9">
        <v>-5463</v>
      </c>
      <c r="K113" s="9">
        <v>-11561</v>
      </c>
      <c r="L113" s="9">
        <v>-17902</v>
      </c>
      <c r="M113" s="9">
        <v>-26884</v>
      </c>
      <c r="N113" s="9">
        <v>-6800</v>
      </c>
      <c r="O113" s="9">
        <v>-14532</v>
      </c>
      <c r="P113" s="9">
        <v>-20161</v>
      </c>
      <c r="Q113" s="9">
        <f>-I104</f>
        <v>-23268</v>
      </c>
      <c r="R113" s="9">
        <f>-K104</f>
        <v>-30248.400000000005</v>
      </c>
    </row>
    <row r="114" spans="1:25" x14ac:dyDescent="0.45">
      <c r="A114" s="34" t="s">
        <v>33</v>
      </c>
      <c r="B114" s="9">
        <v>7024</v>
      </c>
      <c r="C114" s="9">
        <v>1840</v>
      </c>
      <c r="D114" s="10">
        <v>1131</v>
      </c>
      <c r="E114" s="9">
        <v>1790</v>
      </c>
      <c r="F114" s="9">
        <v>40</v>
      </c>
      <c r="G114" s="10">
        <v>218</v>
      </c>
      <c r="H114" s="10">
        <v>229</v>
      </c>
      <c r="I114" s="9">
        <v>2905</v>
      </c>
      <c r="J114" s="10">
        <v>48</v>
      </c>
      <c r="K114" s="10">
        <v>33</v>
      </c>
      <c r="L114" s="9">
        <v>6517</v>
      </c>
      <c r="M114" s="9">
        <v>6157</v>
      </c>
      <c r="N114" s="9">
        <v>1105</v>
      </c>
      <c r="O114" s="9">
        <v>1879</v>
      </c>
      <c r="P114" s="9">
        <v>1879</v>
      </c>
      <c r="Q114" s="9">
        <f>M114</f>
        <v>6157</v>
      </c>
      <c r="R114" s="9">
        <f>Q114</f>
        <v>6157</v>
      </c>
    </row>
    <row r="115" spans="1:25" x14ac:dyDescent="0.45">
      <c r="A115" s="34" t="s">
        <v>32</v>
      </c>
      <c r="B115" s="9">
        <v>-11355</v>
      </c>
      <c r="C115" s="10">
        <v>-14836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4">
        <v>0</v>
      </c>
      <c r="R115" s="4">
        <v>0</v>
      </c>
    </row>
    <row r="116" spans="1:25" x14ac:dyDescent="0.45">
      <c r="A116" s="34" t="s">
        <v>31</v>
      </c>
      <c r="B116" s="9">
        <v>189730</v>
      </c>
      <c r="C116" s="9">
        <v>120050</v>
      </c>
      <c r="D116" s="9">
        <v>105223</v>
      </c>
      <c r="E116" s="9">
        <v>104492</v>
      </c>
      <c r="F116" s="9">
        <v>64010</v>
      </c>
      <c r="G116" s="9">
        <v>136431</v>
      </c>
      <c r="H116" s="9">
        <v>133002</v>
      </c>
      <c r="I116" s="9">
        <v>108124</v>
      </c>
      <c r="J116" s="9">
        <v>2582</v>
      </c>
      <c r="K116" s="9">
        <v>46926</v>
      </c>
      <c r="L116" s="9">
        <v>118200</v>
      </c>
      <c r="M116" s="9">
        <v>203470</v>
      </c>
      <c r="N116" s="9">
        <v>22705</v>
      </c>
      <c r="O116" s="9">
        <v>87745</v>
      </c>
      <c r="P116" s="9">
        <v>112735</v>
      </c>
      <c r="Q116" s="501">
        <f>SUM(Q112:Q115)</f>
        <v>127607.79999999993</v>
      </c>
      <c r="R116" s="501">
        <f>SUM(R112:R115)</f>
        <v>-184329.18328777826</v>
      </c>
    </row>
    <row r="117" spans="1:25" x14ac:dyDescent="0.45">
      <c r="A117" s="34" t="s">
        <v>30</v>
      </c>
      <c r="B117" s="9">
        <v>-5318</v>
      </c>
      <c r="C117" s="9">
        <v>-18741</v>
      </c>
      <c r="D117" s="9">
        <v>-22327</v>
      </c>
      <c r="E117" s="9">
        <v>-19728</v>
      </c>
      <c r="F117" s="9">
        <v>-3434</v>
      </c>
      <c r="G117" s="9">
        <v>-4624</v>
      </c>
      <c r="H117" s="9">
        <v>-4928</v>
      </c>
      <c r="I117" s="9">
        <v>-6544</v>
      </c>
      <c r="J117" s="10">
        <v>-321</v>
      </c>
      <c r="K117" s="9">
        <v>-2862</v>
      </c>
      <c r="L117" s="9">
        <v>-8179</v>
      </c>
      <c r="M117" s="9">
        <v>-14270</v>
      </c>
      <c r="N117" s="9">
        <v>-6660</v>
      </c>
      <c r="O117" s="9">
        <v>-11761</v>
      </c>
      <c r="P117" s="9">
        <v>-12518</v>
      </c>
      <c r="Q117" s="9">
        <f>M117</f>
        <v>-14270</v>
      </c>
      <c r="R117" s="4">
        <f>Q117*1.2</f>
        <v>-17124</v>
      </c>
    </row>
    <row r="118" spans="1:25" x14ac:dyDescent="0.45">
      <c r="A118" s="34" t="s">
        <v>29</v>
      </c>
      <c r="B118" s="9">
        <v>9611</v>
      </c>
      <c r="C118" s="9">
        <v>20600</v>
      </c>
      <c r="D118" s="9">
        <v>3968</v>
      </c>
      <c r="E118" s="9">
        <v>13627</v>
      </c>
      <c r="F118" s="9">
        <v>3131</v>
      </c>
      <c r="G118" s="9">
        <v>24456</v>
      </c>
      <c r="H118" s="9">
        <v>38766</v>
      </c>
      <c r="I118" s="9">
        <v>47940</v>
      </c>
      <c r="J118" s="9">
        <v>3835</v>
      </c>
      <c r="K118" s="9">
        <v>7459</v>
      </c>
      <c r="L118" s="9">
        <v>10712</v>
      </c>
      <c r="M118" s="9">
        <v>17517</v>
      </c>
      <c r="N118" s="9">
        <v>16121</v>
      </c>
      <c r="O118" s="9">
        <v>45987</v>
      </c>
      <c r="P118" s="9">
        <v>75901</v>
      </c>
      <c r="Q118" s="4">
        <f>P118*1.2</f>
        <v>91081.2</v>
      </c>
      <c r="R118" s="4">
        <f>Q118</f>
        <v>91081.2</v>
      </c>
    </row>
    <row r="119" spans="1:25" x14ac:dyDescent="0.45">
      <c r="A119" s="34" t="s">
        <v>28</v>
      </c>
      <c r="B119" s="4"/>
      <c r="C119" s="4"/>
      <c r="D119" s="10">
        <v>1707</v>
      </c>
      <c r="E119" s="9">
        <v>6398</v>
      </c>
      <c r="F119" s="9">
        <v>14</v>
      </c>
      <c r="G119" s="10">
        <v>151</v>
      </c>
      <c r="H119" s="10">
        <v>370</v>
      </c>
      <c r="I119" s="9">
        <v>1690</v>
      </c>
      <c r="J119" s="10">
        <v>77</v>
      </c>
      <c r="K119" s="10">
        <v>228</v>
      </c>
      <c r="L119" s="10">
        <v>297</v>
      </c>
      <c r="M119" s="9">
        <v>7265</v>
      </c>
      <c r="N119" s="9">
        <v>3236</v>
      </c>
      <c r="O119" s="9">
        <v>4085</v>
      </c>
      <c r="P119" s="9">
        <v>3977</v>
      </c>
      <c r="Q119" s="9">
        <f>M119</f>
        <v>7265</v>
      </c>
      <c r="R119" s="9">
        <f>M119</f>
        <v>7265</v>
      </c>
    </row>
    <row r="120" spans="1:25" x14ac:dyDescent="0.45">
      <c r="A120" s="34" t="s">
        <v>27</v>
      </c>
      <c r="B120" s="9">
        <v>194023</v>
      </c>
      <c r="C120" s="9">
        <v>121909</v>
      </c>
      <c r="D120" s="9">
        <v>88571</v>
      </c>
      <c r="E120" s="9">
        <v>104789</v>
      </c>
      <c r="F120" s="9">
        <v>63721</v>
      </c>
      <c r="G120" s="9">
        <v>156414</v>
      </c>
      <c r="H120" s="9">
        <v>167210</v>
      </c>
      <c r="I120" s="9">
        <v>151210</v>
      </c>
      <c r="J120" s="9">
        <v>6173</v>
      </c>
      <c r="K120" s="9">
        <v>51751</v>
      </c>
      <c r="L120" s="9">
        <v>121030</v>
      </c>
      <c r="M120" s="9">
        <v>213982</v>
      </c>
      <c r="N120" s="9">
        <v>35402</v>
      </c>
      <c r="O120" s="9">
        <v>126056</v>
      </c>
      <c r="P120" s="9">
        <v>180095</v>
      </c>
      <c r="Q120" s="501">
        <f>SUM(Q116:Q119)</f>
        <v>211683.99999999994</v>
      </c>
      <c r="R120" s="501">
        <f>SUM(R116:R119)</f>
        <v>-103106.98328777826</v>
      </c>
      <c r="S120" s="35"/>
      <c r="T120" s="35"/>
      <c r="U120" s="35"/>
      <c r="V120" s="35"/>
      <c r="W120" s="35"/>
      <c r="X120" s="35"/>
      <c r="Y120" s="35"/>
    </row>
    <row r="121" spans="1:25" x14ac:dyDescent="0.45">
      <c r="A121" s="34" t="s">
        <v>26</v>
      </c>
      <c r="B121" s="9">
        <v>-43447</v>
      </c>
      <c r="C121" s="9">
        <v>-23765</v>
      </c>
      <c r="D121" s="9">
        <v>-20528</v>
      </c>
      <c r="E121" s="9">
        <v>-20723</v>
      </c>
      <c r="F121" s="9">
        <v>-13774</v>
      </c>
      <c r="G121" s="9">
        <v>-29998</v>
      </c>
      <c r="H121" s="9">
        <v>-29199</v>
      </c>
      <c r="I121" s="9">
        <v>-23476</v>
      </c>
      <c r="J121" s="10">
        <v>-531</v>
      </c>
      <c r="K121" s="9">
        <v>-11035</v>
      </c>
      <c r="L121" s="9">
        <v>-26044</v>
      </c>
      <c r="M121" s="9">
        <v>-8987</v>
      </c>
      <c r="N121" s="9">
        <v>-4399</v>
      </c>
      <c r="O121" s="9">
        <v>-18742</v>
      </c>
      <c r="P121" s="9">
        <v>-23761</v>
      </c>
      <c r="Q121" s="8">
        <f>-Q120*0.15</f>
        <v>-31752.599999999991</v>
      </c>
      <c r="R121" s="8">
        <f>-R120*0.15</f>
        <v>15466.047493166738</v>
      </c>
    </row>
    <row r="122" spans="1:25" x14ac:dyDescent="0.45">
      <c r="A122" s="34" t="s">
        <v>25</v>
      </c>
      <c r="B122" s="9">
        <v>150576</v>
      </c>
      <c r="C122" s="9">
        <v>98144</v>
      </c>
      <c r="D122" s="9">
        <v>68043</v>
      </c>
      <c r="E122" s="9">
        <v>84066</v>
      </c>
      <c r="F122" s="9">
        <v>49947</v>
      </c>
      <c r="G122" s="9">
        <v>126416</v>
      </c>
      <c r="H122" s="9">
        <v>138011</v>
      </c>
      <c r="I122" s="9">
        <v>127734</v>
      </c>
      <c r="J122" s="9">
        <v>5642</v>
      </c>
      <c r="K122" s="9">
        <v>40716</v>
      </c>
      <c r="L122" s="9">
        <v>94986</v>
      </c>
      <c r="M122" s="9">
        <v>204995</v>
      </c>
      <c r="N122" s="9">
        <v>31003</v>
      </c>
      <c r="O122" s="9">
        <v>107314</v>
      </c>
      <c r="P122" s="9">
        <v>156334</v>
      </c>
      <c r="Q122" s="501">
        <f>SUM(Q120:Q121)</f>
        <v>179931.39999999997</v>
      </c>
      <c r="R122" s="501">
        <f>SUM(R120:R121)</f>
        <v>-87640.93579461152</v>
      </c>
    </row>
    <row r="123" spans="1:25" x14ac:dyDescent="0.45">
      <c r="A123" s="34" t="s">
        <v>24</v>
      </c>
      <c r="B123" s="10">
        <v>0</v>
      </c>
      <c r="C123" s="9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4">
        <v>0</v>
      </c>
      <c r="R123" s="4">
        <v>0</v>
      </c>
    </row>
    <row r="124" spans="1:25" x14ac:dyDescent="0.45">
      <c r="A124" s="34" t="s">
        <v>23</v>
      </c>
      <c r="B124" s="9">
        <v>150576</v>
      </c>
      <c r="C124" s="10">
        <v>98144</v>
      </c>
      <c r="D124" s="9">
        <v>68043</v>
      </c>
      <c r="E124" s="9">
        <v>84066</v>
      </c>
      <c r="F124" s="9">
        <v>49947</v>
      </c>
      <c r="G124" s="9">
        <v>126416</v>
      </c>
      <c r="H124" s="9">
        <v>138011</v>
      </c>
      <c r="I124" s="9">
        <v>127734</v>
      </c>
      <c r="J124" s="9">
        <v>5642</v>
      </c>
      <c r="K124" s="9">
        <v>40716</v>
      </c>
      <c r="L124" s="9">
        <v>94986</v>
      </c>
      <c r="M124" s="9">
        <v>204995</v>
      </c>
      <c r="N124" s="9">
        <v>31003</v>
      </c>
      <c r="O124" s="9">
        <v>107314</v>
      </c>
      <c r="P124" s="9">
        <v>156334</v>
      </c>
      <c r="Q124" s="501">
        <f>SUM(Q122:Q123)</f>
        <v>179931.39999999997</v>
      </c>
      <c r="R124" s="501">
        <f>SUM(R122:R123)</f>
        <v>-87640.93579461152</v>
      </c>
    </row>
    <row r="125" spans="1:25" x14ac:dyDescent="0.45">
      <c r="A125" s="34" t="s">
        <v>22</v>
      </c>
      <c r="B125" s="9">
        <v>6274</v>
      </c>
      <c r="C125" s="9">
        <v>4089</v>
      </c>
      <c r="D125" s="10">
        <v>284</v>
      </c>
      <c r="E125" s="10">
        <v>350</v>
      </c>
      <c r="F125" s="10">
        <v>208</v>
      </c>
      <c r="G125" s="10">
        <v>527</v>
      </c>
      <c r="H125" s="10">
        <v>575</v>
      </c>
      <c r="I125" s="10">
        <v>532</v>
      </c>
      <c r="J125" s="10">
        <v>24</v>
      </c>
      <c r="K125" s="10">
        <v>170</v>
      </c>
      <c r="L125" s="10">
        <v>396</v>
      </c>
      <c r="M125" s="10">
        <v>854</v>
      </c>
      <c r="N125" s="10">
        <v>129</v>
      </c>
      <c r="O125" s="10">
        <v>268</v>
      </c>
      <c r="P125" s="10">
        <v>391</v>
      </c>
      <c r="Q125" s="501">
        <f>Q124*1000/Q126</f>
        <v>449.82849999999991</v>
      </c>
      <c r="R125" s="501">
        <f>R124*1000/R126</f>
        <v>-219.10233948652879</v>
      </c>
    </row>
    <row r="126" spans="1:25" x14ac:dyDescent="0.45">
      <c r="A126" s="34" t="s">
        <v>21</v>
      </c>
      <c r="B126" s="9">
        <v>24000</v>
      </c>
      <c r="C126" s="10">
        <v>24000</v>
      </c>
      <c r="D126" s="9">
        <v>240000</v>
      </c>
      <c r="E126" s="9">
        <v>240000</v>
      </c>
      <c r="F126" s="9">
        <v>240000</v>
      </c>
      <c r="G126" s="9">
        <v>240000</v>
      </c>
      <c r="H126" s="9">
        <v>240000</v>
      </c>
      <c r="I126" s="9">
        <v>240000</v>
      </c>
      <c r="J126" s="9">
        <v>240000</v>
      </c>
      <c r="K126" s="9">
        <v>240000</v>
      </c>
      <c r="L126" s="9">
        <v>240000</v>
      </c>
      <c r="M126" s="9">
        <v>240000</v>
      </c>
      <c r="N126" s="9">
        <v>240000</v>
      </c>
      <c r="O126" s="9">
        <v>400000</v>
      </c>
      <c r="P126" s="9">
        <v>400000</v>
      </c>
      <c r="Q126" s="9">
        <v>400000</v>
      </c>
      <c r="R126" s="9">
        <v>400000</v>
      </c>
    </row>
    <row r="128" spans="1:25" ht="18.75" thickBot="1" x14ac:dyDescent="0.5"/>
    <row r="129" spans="1:27" ht="27" customHeight="1" thickTop="1" thickBot="1" x14ac:dyDescent="0.5">
      <c r="A129" s="38" t="s">
        <v>150</v>
      </c>
      <c r="B129" s="38"/>
      <c r="C129" s="38" t="s">
        <v>19</v>
      </c>
      <c r="D129" s="39" t="s">
        <v>2578</v>
      </c>
      <c r="E129" s="39" t="s">
        <v>214</v>
      </c>
      <c r="F129" s="39" t="s">
        <v>17</v>
      </c>
      <c r="G129" s="39" t="s">
        <v>2506</v>
      </c>
      <c r="H129" s="39" t="s">
        <v>2508</v>
      </c>
      <c r="I129" s="39" t="s">
        <v>2507</v>
      </c>
      <c r="M129" s="656" t="s">
        <v>150</v>
      </c>
      <c r="N129" s="650" t="s">
        <v>2587</v>
      </c>
      <c r="O129" s="651"/>
      <c r="P129" s="651"/>
      <c r="Q129" s="651"/>
      <c r="R129" s="651"/>
      <c r="S129" s="651"/>
      <c r="T129" s="651"/>
      <c r="U129" s="651"/>
      <c r="V129" s="651"/>
      <c r="W129" s="651"/>
      <c r="X129" s="651"/>
      <c r="Y129" s="651"/>
      <c r="Z129" s="651"/>
      <c r="AA129" s="652"/>
    </row>
    <row r="130" spans="1:27" ht="27" customHeight="1" thickTop="1" thickBot="1" x14ac:dyDescent="0.5">
      <c r="A130" s="40" t="s">
        <v>2557</v>
      </c>
      <c r="B130" s="41">
        <f>E130</f>
        <v>16926</v>
      </c>
      <c r="C130" s="42">
        <f>AVERAGE(K6,G6,C6,B6)</f>
        <v>24013</v>
      </c>
      <c r="D130" s="43"/>
      <c r="E130" s="43">
        <f>N6</f>
        <v>16926</v>
      </c>
      <c r="F130" s="43"/>
      <c r="G130" s="44"/>
      <c r="H130" s="44">
        <f>MAX(N6,K6,G6,C6,B6)</f>
        <v>29122</v>
      </c>
      <c r="I130" s="44">
        <f>MIN(N6,K6,G6,C6,B6)</f>
        <v>16926</v>
      </c>
      <c r="M130" s="657"/>
      <c r="N130" s="653"/>
      <c r="O130" s="654"/>
      <c r="P130" s="654"/>
      <c r="Q130" s="654"/>
      <c r="R130" s="654"/>
      <c r="S130" s="654"/>
      <c r="T130" s="654"/>
      <c r="U130" s="654"/>
      <c r="V130" s="654"/>
      <c r="W130" s="654"/>
      <c r="X130" s="654"/>
      <c r="Y130" s="654"/>
      <c r="Z130" s="654"/>
      <c r="AA130" s="655"/>
    </row>
    <row r="131" spans="1:27" ht="27" thickTop="1" thickBot="1" x14ac:dyDescent="0.65">
      <c r="A131" s="45" t="s">
        <v>2559</v>
      </c>
      <c r="B131" s="46">
        <f>E131</f>
        <v>30861398.812987316</v>
      </c>
      <c r="C131" s="460"/>
      <c r="D131" s="48"/>
      <c r="E131" s="49">
        <f>N32</f>
        <v>30861398.812987316</v>
      </c>
      <c r="F131" s="49"/>
      <c r="G131" s="50"/>
      <c r="H131" s="49"/>
      <c r="I131" s="49"/>
      <c r="M131" s="614" t="s">
        <v>102</v>
      </c>
      <c r="N131" s="600">
        <f>B135</f>
        <v>449.82849999999991</v>
      </c>
      <c r="O131" s="569">
        <v>28000000</v>
      </c>
      <c r="P131" s="570">
        <v>29000000</v>
      </c>
      <c r="Q131" s="569">
        <v>30000000</v>
      </c>
      <c r="R131" s="570">
        <v>31000000</v>
      </c>
      <c r="S131" s="569">
        <v>32000000</v>
      </c>
      <c r="T131" s="570">
        <v>33000000</v>
      </c>
      <c r="U131" s="569">
        <v>34000000</v>
      </c>
      <c r="V131" s="570">
        <v>35000000</v>
      </c>
      <c r="W131" s="569">
        <v>36000000</v>
      </c>
      <c r="X131" s="570">
        <v>37000000</v>
      </c>
      <c r="Y131" s="569">
        <v>38000000</v>
      </c>
      <c r="Z131" s="570">
        <v>39000000</v>
      </c>
      <c r="AA131" s="571">
        <v>40000000</v>
      </c>
    </row>
    <row r="132" spans="1:27" ht="26.25" thickBot="1" x14ac:dyDescent="0.5">
      <c r="A132" s="51" t="s">
        <v>2561</v>
      </c>
      <c r="B132" s="347">
        <f>E132</f>
        <v>7.6962660994919059</v>
      </c>
      <c r="C132" s="299">
        <f>AVERAGE(B63:G63)</f>
        <v>7.1919855274403224</v>
      </c>
      <c r="D132" s="53"/>
      <c r="E132" s="54">
        <f>G63</f>
        <v>7.6962660994919059</v>
      </c>
      <c r="F132" s="55"/>
      <c r="G132" s="55"/>
      <c r="H132" s="54"/>
      <c r="I132" s="54"/>
      <c r="M132" s="615"/>
      <c r="N132" s="600">
        <v>16000</v>
      </c>
      <c r="O132" s="25">
        <f t="dataTable" ref="O132:AA141" dt2D="1" dtr="1" r1="B131" r2="B130"/>
        <v>298.6863510143113</v>
      </c>
      <c r="P132" s="25">
        <v>341.04062634583488</v>
      </c>
      <c r="Q132" s="25">
        <v>383.39490167735823</v>
      </c>
      <c r="R132" s="601">
        <v>425.74917700888147</v>
      </c>
      <c r="S132" s="601">
        <v>468.10345234040511</v>
      </c>
      <c r="T132" s="601">
        <v>510.45772767192824</v>
      </c>
      <c r="U132" s="601">
        <v>552.81200300345199</v>
      </c>
      <c r="V132" s="601">
        <v>595.16627833497546</v>
      </c>
      <c r="W132" s="601">
        <v>637.5205536664987</v>
      </c>
      <c r="X132" s="601">
        <v>679.87482899802205</v>
      </c>
      <c r="Y132" s="601">
        <v>722.22910432954563</v>
      </c>
      <c r="Z132" s="601">
        <v>764.5833796610691</v>
      </c>
      <c r="AA132" s="601">
        <v>806.93765499259223</v>
      </c>
    </row>
    <row r="133" spans="1:27" ht="27" thickTop="1" thickBot="1" x14ac:dyDescent="0.5">
      <c r="A133" s="56" t="s">
        <v>2563</v>
      </c>
      <c r="B133" s="57">
        <f>B132*B130</f>
        <v>130267</v>
      </c>
      <c r="C133" s="58"/>
      <c r="D133" s="59"/>
      <c r="E133" s="60"/>
      <c r="F133" s="60"/>
      <c r="G133" s="60"/>
      <c r="H133" s="60"/>
      <c r="I133" s="60"/>
      <c r="M133" s="615"/>
      <c r="N133" s="600">
        <v>18000</v>
      </c>
      <c r="O133" s="25">
        <v>348.22341676610029</v>
      </c>
      <c r="P133" s="25">
        <v>395.87197651406416</v>
      </c>
      <c r="Q133" s="25">
        <v>443.52053626202775</v>
      </c>
      <c r="R133" s="601">
        <v>491.16909600999162</v>
      </c>
      <c r="S133" s="601">
        <v>538.81765575795578</v>
      </c>
      <c r="T133" s="601">
        <v>586.46621550591954</v>
      </c>
      <c r="U133" s="601">
        <v>634.11477525388318</v>
      </c>
      <c r="V133" s="601">
        <v>681.76333500184705</v>
      </c>
      <c r="W133" s="601">
        <v>729.41189474981115</v>
      </c>
      <c r="X133" s="601">
        <v>777.0604544977748</v>
      </c>
      <c r="Y133" s="601">
        <v>824.70901424573867</v>
      </c>
      <c r="Z133" s="601">
        <v>872.35757399370243</v>
      </c>
      <c r="AA133" s="601">
        <v>920.00613374166596</v>
      </c>
    </row>
    <row r="134" spans="1:27" ht="27" thickTop="1" thickBot="1" x14ac:dyDescent="0.5">
      <c r="A134" s="61" t="s">
        <v>2565</v>
      </c>
      <c r="B134" s="57">
        <f>E134</f>
        <v>3017594.6325623528</v>
      </c>
      <c r="C134" s="62"/>
      <c r="D134" s="63"/>
      <c r="E134" s="64">
        <f>G73</f>
        <v>3017594.6325623528</v>
      </c>
      <c r="F134" s="64"/>
      <c r="G134" s="65"/>
      <c r="H134" s="65"/>
      <c r="I134" s="65"/>
      <c r="M134" s="615"/>
      <c r="N134" s="600">
        <v>20000</v>
      </c>
      <c r="O134" s="25">
        <v>397.76048251788927</v>
      </c>
      <c r="P134" s="25">
        <v>450.70332668229349</v>
      </c>
      <c r="Q134" s="25">
        <v>503.64617084669777</v>
      </c>
      <c r="R134" s="601">
        <v>556.58901501110199</v>
      </c>
      <c r="S134" s="601">
        <v>609.53185917550627</v>
      </c>
      <c r="T134" s="601">
        <v>662.47470333991055</v>
      </c>
      <c r="U134" s="601">
        <v>715.41754750431494</v>
      </c>
      <c r="V134" s="601">
        <v>768.36039166871888</v>
      </c>
      <c r="W134" s="601">
        <v>821.30323583312338</v>
      </c>
      <c r="X134" s="601">
        <v>874.24607999752777</v>
      </c>
      <c r="Y134" s="601">
        <v>927.18892416193171</v>
      </c>
      <c r="Z134" s="601">
        <v>980.13176832633633</v>
      </c>
      <c r="AA134" s="601">
        <v>1033.0746124907405</v>
      </c>
    </row>
    <row r="135" spans="1:27" ht="27" thickTop="1" thickBot="1" x14ac:dyDescent="0.75">
      <c r="A135" s="66" t="s">
        <v>2567</v>
      </c>
      <c r="B135" s="67">
        <f>Q125</f>
        <v>449.82849999999991</v>
      </c>
      <c r="C135" s="100"/>
      <c r="D135" s="100"/>
      <c r="E135" s="100"/>
      <c r="F135" s="100"/>
      <c r="G135" s="100"/>
      <c r="H135" s="68"/>
      <c r="I135" s="68"/>
      <c r="M135" s="615"/>
      <c r="N135" s="600">
        <v>22000</v>
      </c>
      <c r="O135" s="25">
        <v>447.29754826967815</v>
      </c>
      <c r="P135" s="25">
        <v>505.53467685052277</v>
      </c>
      <c r="Q135" s="25">
        <v>563.7718054313674</v>
      </c>
      <c r="R135" s="601">
        <v>622.00893401221197</v>
      </c>
      <c r="S135" s="601">
        <v>680.2460625930571</v>
      </c>
      <c r="T135" s="601">
        <v>738.48319117390122</v>
      </c>
      <c r="U135" s="601">
        <v>796.72031975474636</v>
      </c>
      <c r="V135" s="601">
        <v>854.95744833559115</v>
      </c>
      <c r="W135" s="601">
        <v>913.19457691643538</v>
      </c>
      <c r="X135" s="601">
        <v>971.4317054972804</v>
      </c>
      <c r="Y135" s="601">
        <v>1029.668834078125</v>
      </c>
      <c r="Z135" s="601">
        <v>1087.9059626589694</v>
      </c>
      <c r="AA135" s="601">
        <v>1146.1430912398143</v>
      </c>
    </row>
    <row r="136" spans="1:27" ht="23.25" thickTop="1" x14ac:dyDescent="0.6">
      <c r="A136" s="357"/>
      <c r="B136" s="357"/>
      <c r="C136" s="357"/>
      <c r="D136" s="357"/>
      <c r="E136" s="357"/>
      <c r="F136" s="357"/>
      <c r="G136" s="357"/>
      <c r="H136" s="357"/>
      <c r="I136" s="357"/>
      <c r="M136" s="615"/>
      <c r="N136" s="600">
        <v>24000</v>
      </c>
      <c r="O136" s="25">
        <v>496.83461402146639</v>
      </c>
      <c r="P136" s="25">
        <v>560.36602701875154</v>
      </c>
      <c r="Q136" s="25">
        <v>623.89744001603697</v>
      </c>
      <c r="R136" s="601">
        <v>687.42885301332171</v>
      </c>
      <c r="S136" s="601">
        <v>750.96026601060703</v>
      </c>
      <c r="T136" s="601">
        <v>814.49167900789212</v>
      </c>
      <c r="U136" s="601">
        <v>878.02309200517732</v>
      </c>
      <c r="V136" s="601">
        <v>941.55450500246241</v>
      </c>
      <c r="W136" s="601">
        <v>1005.0859179997475</v>
      </c>
      <c r="X136" s="601">
        <v>1068.6173309970327</v>
      </c>
      <c r="Y136" s="601">
        <v>1132.1487439943182</v>
      </c>
      <c r="Z136" s="601">
        <v>1195.6801569916029</v>
      </c>
      <c r="AA136" s="601">
        <v>1259.2115699888884</v>
      </c>
    </row>
    <row r="137" spans="1:27" ht="26.25" thickBot="1" x14ac:dyDescent="0.5">
      <c r="A137" s="38" t="s">
        <v>159</v>
      </c>
      <c r="B137" s="38"/>
      <c r="C137" s="38" t="s">
        <v>19</v>
      </c>
      <c r="D137" s="39" t="s">
        <v>2579</v>
      </c>
      <c r="E137" s="39" t="s">
        <v>214</v>
      </c>
      <c r="F137" s="39" t="s">
        <v>17</v>
      </c>
      <c r="G137" s="39" t="s">
        <v>2506</v>
      </c>
      <c r="H137" s="39" t="s">
        <v>2508</v>
      </c>
      <c r="I137" s="39" t="s">
        <v>2507</v>
      </c>
      <c r="M137" s="615"/>
      <c r="N137" s="600">
        <v>26000</v>
      </c>
      <c r="O137" s="25">
        <v>546.37167977325544</v>
      </c>
      <c r="P137" s="25">
        <v>615.19737718698093</v>
      </c>
      <c r="Q137" s="25">
        <v>684.02307460070642</v>
      </c>
      <c r="R137" s="601">
        <v>752.84877201443226</v>
      </c>
      <c r="S137" s="601">
        <v>821.67446942815764</v>
      </c>
      <c r="T137" s="601">
        <v>890.50016684188324</v>
      </c>
      <c r="U137" s="601">
        <v>959.32586425560862</v>
      </c>
      <c r="V137" s="601">
        <v>1028.151561669335</v>
      </c>
      <c r="W137" s="601">
        <v>1096.9772590830598</v>
      </c>
      <c r="X137" s="601">
        <v>1165.8029564967856</v>
      </c>
      <c r="Y137" s="601">
        <v>1234.6286539105106</v>
      </c>
      <c r="Z137" s="601">
        <v>1303.454351324237</v>
      </c>
      <c r="AA137" s="601">
        <v>1372.2800487379625</v>
      </c>
    </row>
    <row r="138" spans="1:27" ht="27" thickTop="1" thickBot="1" x14ac:dyDescent="0.5">
      <c r="A138" s="40" t="s">
        <v>2558</v>
      </c>
      <c r="B138" s="41">
        <v>25000</v>
      </c>
      <c r="C138" s="42">
        <f>C130</f>
        <v>24013</v>
      </c>
      <c r="D138" s="43"/>
      <c r="E138" s="43"/>
      <c r="F138" s="43">
        <v>25000</v>
      </c>
      <c r="G138" s="44"/>
      <c r="H138" s="44">
        <f>H130</f>
        <v>29122</v>
      </c>
      <c r="I138" s="44">
        <f>I130</f>
        <v>16926</v>
      </c>
      <c r="M138" s="615"/>
      <c r="N138" s="600">
        <v>28000</v>
      </c>
      <c r="O138" s="25">
        <v>595.9087455250442</v>
      </c>
      <c r="P138" s="25">
        <v>670.02872735521009</v>
      </c>
      <c r="Q138" s="25">
        <v>744.14870918537599</v>
      </c>
      <c r="R138" s="601">
        <v>818.26869101554166</v>
      </c>
      <c r="S138" s="601">
        <v>892.38867284570824</v>
      </c>
      <c r="T138" s="601">
        <v>966.5086546758746</v>
      </c>
      <c r="U138" s="601">
        <v>1040.6286365060403</v>
      </c>
      <c r="V138" s="601">
        <v>1114.7486183362057</v>
      </c>
      <c r="W138" s="601">
        <v>1188.8686001663718</v>
      </c>
      <c r="X138" s="601">
        <v>1262.9885819965375</v>
      </c>
      <c r="Y138" s="601">
        <v>1337.1085638267043</v>
      </c>
      <c r="Z138" s="601">
        <v>1411.2285456568698</v>
      </c>
      <c r="AA138" s="601">
        <v>1485.3485274870363</v>
      </c>
    </row>
    <row r="139" spans="1:27" ht="27" thickTop="1" thickBot="1" x14ac:dyDescent="0.5">
      <c r="A139" s="45" t="s">
        <v>2560</v>
      </c>
      <c r="B139" s="41">
        <f>پنل!B1</f>
        <v>40500000</v>
      </c>
      <c r="C139" s="47"/>
      <c r="D139" s="48"/>
      <c r="E139" s="49">
        <f>E131</f>
        <v>30861398.812987316</v>
      </c>
      <c r="F139" s="49">
        <v>40500000</v>
      </c>
      <c r="G139" s="50"/>
      <c r="H139" s="49"/>
      <c r="I139" s="49"/>
      <c r="M139" s="615"/>
      <c r="N139" s="600">
        <v>30000</v>
      </c>
      <c r="O139" s="25">
        <v>645.4458112768333</v>
      </c>
      <c r="P139" s="25">
        <v>724.86007752343971</v>
      </c>
      <c r="Q139" s="25">
        <v>804.2743437700467</v>
      </c>
      <c r="R139" s="601">
        <v>883.68861001665312</v>
      </c>
      <c r="S139" s="601">
        <v>963.1028762632593</v>
      </c>
      <c r="T139" s="601">
        <v>1042.5171425098658</v>
      </c>
      <c r="U139" s="601">
        <v>1121.9314087564719</v>
      </c>
      <c r="V139" s="601">
        <v>1201.3456750030782</v>
      </c>
      <c r="W139" s="601">
        <v>1280.7599412496845</v>
      </c>
      <c r="X139" s="601">
        <v>1360.1742074962908</v>
      </c>
      <c r="Y139" s="601">
        <v>1439.5884737428978</v>
      </c>
      <c r="Z139" s="601">
        <v>1519.0027399895041</v>
      </c>
      <c r="AA139" s="601">
        <v>1598.4170062361106</v>
      </c>
    </row>
    <row r="140" spans="1:27" ht="27" thickTop="1" thickBot="1" x14ac:dyDescent="0.5">
      <c r="A140" s="51" t="s">
        <v>2562</v>
      </c>
      <c r="B140" s="511">
        <f>E140</f>
        <v>7.6962660994919059</v>
      </c>
      <c r="C140" s="299">
        <f>C132</f>
        <v>7.1919855274403224</v>
      </c>
      <c r="D140" s="53"/>
      <c r="E140" s="54">
        <f>E132</f>
        <v>7.6962660994919059</v>
      </c>
      <c r="F140" s="55"/>
      <c r="G140" s="55"/>
      <c r="H140" s="54"/>
      <c r="I140" s="54"/>
      <c r="M140" s="615"/>
      <c r="N140" s="600">
        <v>32000</v>
      </c>
      <c r="O140" s="25">
        <v>694.98287702862262</v>
      </c>
      <c r="P140" s="25">
        <v>779.69142769166979</v>
      </c>
      <c r="Q140" s="25">
        <v>864.3999783547165</v>
      </c>
      <c r="R140" s="601">
        <v>949.10852901776309</v>
      </c>
      <c r="S140" s="601">
        <v>1033.8170796808104</v>
      </c>
      <c r="T140" s="601">
        <v>1118.5256303438566</v>
      </c>
      <c r="U140" s="601">
        <v>1203.234181006904</v>
      </c>
      <c r="V140" s="601">
        <v>1287.9427316699507</v>
      </c>
      <c r="W140" s="601">
        <v>1372.6512823329974</v>
      </c>
      <c r="X140" s="601">
        <v>1457.3598329960441</v>
      </c>
      <c r="Y140" s="601">
        <v>1542.0683836590913</v>
      </c>
      <c r="Z140" s="601">
        <v>1626.7769343221378</v>
      </c>
      <c r="AA140" s="601">
        <v>1711.485484985184</v>
      </c>
    </row>
    <row r="141" spans="1:27" ht="27" thickTop="1" thickBot="1" x14ac:dyDescent="0.5">
      <c r="A141" s="56" t="s">
        <v>2564</v>
      </c>
      <c r="B141" s="57">
        <f>B138*B140</f>
        <v>192406.65248729766</v>
      </c>
      <c r="C141" s="58"/>
      <c r="D141" s="59"/>
      <c r="E141" s="60"/>
      <c r="F141" s="60"/>
      <c r="G141" s="60"/>
      <c r="H141" s="60"/>
      <c r="I141" s="60"/>
      <c r="M141" s="616"/>
      <c r="N141" s="600">
        <v>34000</v>
      </c>
      <c r="O141" s="25">
        <v>744.51994278041104</v>
      </c>
      <c r="P141" s="25">
        <v>834.52277785989804</v>
      </c>
      <c r="Q141" s="25">
        <v>924.52561293938504</v>
      </c>
      <c r="R141" s="601">
        <v>1014.5284480188728</v>
      </c>
      <c r="S141" s="601">
        <v>1104.5312830983605</v>
      </c>
      <c r="T141" s="601">
        <v>1194.5341181778472</v>
      </c>
      <c r="U141" s="601">
        <v>1284.5369532573343</v>
      </c>
      <c r="V141" s="601">
        <v>1374.5397883368219</v>
      </c>
      <c r="W141" s="601">
        <v>1464.542623416309</v>
      </c>
      <c r="X141" s="601">
        <v>1554.5454584957965</v>
      </c>
      <c r="Y141" s="601">
        <v>1644.548293575283</v>
      </c>
      <c r="Z141" s="601">
        <v>1734.5511286547699</v>
      </c>
      <c r="AA141" s="601">
        <v>1824.5539637342583</v>
      </c>
    </row>
    <row r="142" spans="1:27" ht="27" thickTop="1" thickBot="1" x14ac:dyDescent="0.5">
      <c r="A142" s="61" t="s">
        <v>2566</v>
      </c>
      <c r="B142" s="57">
        <f>پنل!B2</f>
        <v>6000000</v>
      </c>
      <c r="C142" s="62"/>
      <c r="D142" s="63"/>
      <c r="E142" s="64">
        <f>E134</f>
        <v>3017594.6325623528</v>
      </c>
      <c r="F142" s="64"/>
      <c r="G142" s="65"/>
      <c r="H142" s="65"/>
      <c r="I142" s="65"/>
    </row>
    <row r="143" spans="1:27" ht="27" thickTop="1" thickBot="1" x14ac:dyDescent="0.75">
      <c r="A143" s="66" t="s">
        <v>2568</v>
      </c>
      <c r="B143" s="67">
        <f>R125</f>
        <v>-219.10233948652879</v>
      </c>
      <c r="C143" s="100"/>
      <c r="D143" s="100"/>
      <c r="E143" s="100"/>
      <c r="F143" s="100"/>
      <c r="G143" s="100"/>
      <c r="H143" s="68"/>
      <c r="I143" s="68"/>
    </row>
    <row r="144" spans="1:27" ht="23.25" customHeight="1" thickTop="1" x14ac:dyDescent="0.6">
      <c r="A144" s="357"/>
      <c r="B144" s="357"/>
      <c r="C144" s="357"/>
      <c r="D144" s="357"/>
      <c r="E144" s="357"/>
      <c r="F144" s="357"/>
      <c r="G144" s="357"/>
      <c r="H144" s="357"/>
      <c r="I144" s="357"/>
      <c r="M144" s="656" t="s">
        <v>159</v>
      </c>
      <c r="N144" s="650" t="s">
        <v>2587</v>
      </c>
      <c r="O144" s="651"/>
      <c r="P144" s="651"/>
      <c r="Q144" s="651"/>
      <c r="R144" s="651"/>
      <c r="S144" s="651"/>
      <c r="T144" s="651"/>
      <c r="U144" s="651"/>
      <c r="V144" s="651"/>
      <c r="W144" s="651"/>
      <c r="X144" s="651"/>
      <c r="Y144" s="651"/>
      <c r="Z144" s="651"/>
      <c r="AA144" s="652"/>
    </row>
    <row r="145" spans="1:27" ht="26.25" customHeight="1" thickBot="1" x14ac:dyDescent="0.75">
      <c r="A145" s="357"/>
      <c r="B145" s="357"/>
      <c r="C145" s="357"/>
      <c r="D145" s="357"/>
      <c r="E145" s="357"/>
      <c r="F145" s="115"/>
      <c r="G145" s="87"/>
      <c r="H145" s="87"/>
      <c r="I145" s="87"/>
      <c r="M145" s="657"/>
      <c r="N145" s="653"/>
      <c r="O145" s="654"/>
      <c r="P145" s="654"/>
      <c r="Q145" s="654"/>
      <c r="R145" s="654"/>
      <c r="S145" s="654"/>
      <c r="T145" s="654"/>
      <c r="U145" s="654"/>
      <c r="V145" s="654"/>
      <c r="W145" s="654"/>
      <c r="X145" s="654"/>
      <c r="Y145" s="654"/>
      <c r="Z145" s="654"/>
      <c r="AA145" s="655"/>
    </row>
    <row r="146" spans="1:27" ht="30" thickTop="1" thickBot="1" x14ac:dyDescent="0.8">
      <c r="A146" s="634" t="s">
        <v>150</v>
      </c>
      <c r="B146" s="635"/>
      <c r="C146" s="87"/>
      <c r="D146" s="645" t="s">
        <v>159</v>
      </c>
      <c r="E146" s="646"/>
      <c r="F146" s="87"/>
      <c r="G146" s="87"/>
      <c r="H146" s="560" t="s">
        <v>1</v>
      </c>
      <c r="I146" s="561">
        <f>VLOOKUP(K1,'دیده بان بازار'!A:X,11,0)</f>
        <v>10748</v>
      </c>
      <c r="M146" s="614" t="s">
        <v>102</v>
      </c>
      <c r="N146" s="600">
        <f>B143</f>
        <v>-219.10233948652879</v>
      </c>
      <c r="O146" s="569">
        <v>28000000</v>
      </c>
      <c r="P146" s="570">
        <v>29000000</v>
      </c>
      <c r="Q146" s="569">
        <v>30000000</v>
      </c>
      <c r="R146" s="570">
        <v>31000000</v>
      </c>
      <c r="S146" s="569">
        <v>32000000</v>
      </c>
      <c r="T146" s="570">
        <v>33000000</v>
      </c>
      <c r="U146" s="569">
        <v>34000000</v>
      </c>
      <c r="V146" s="570">
        <v>35000000</v>
      </c>
      <c r="W146" s="569">
        <v>36000000</v>
      </c>
      <c r="X146" s="570">
        <v>37000000</v>
      </c>
      <c r="Y146" s="569">
        <v>38000000</v>
      </c>
      <c r="Z146" s="570">
        <v>39000000</v>
      </c>
      <c r="AA146" s="571">
        <v>40000000</v>
      </c>
    </row>
    <row r="147" spans="1:27" ht="26.25" thickTop="1" x14ac:dyDescent="0.7">
      <c r="A147" s="475" t="s">
        <v>10</v>
      </c>
      <c r="B147" s="476">
        <v>0.6</v>
      </c>
      <c r="C147" s="87"/>
      <c r="D147" s="475" t="s">
        <v>10</v>
      </c>
      <c r="E147" s="476">
        <f>B147</f>
        <v>0.6</v>
      </c>
      <c r="F147" s="87"/>
      <c r="G147" s="87"/>
      <c r="H147" s="562">
        <v>6</v>
      </c>
      <c r="I147" s="563">
        <f ca="1">$I$148/H147</f>
        <v>456.13333333333333</v>
      </c>
      <c r="M147" s="615"/>
      <c r="N147" s="600">
        <v>16000</v>
      </c>
      <c r="O147" s="25">
        <f t="dataTable" ref="O147:AA156" dt2D="1" dtr="1" r1="B139" r2="B138"/>
        <v>-690.56960862229539</v>
      </c>
      <c r="P147" s="25">
        <v>-652.17488609822192</v>
      </c>
      <c r="Q147" s="25">
        <v>-613.78016357414867</v>
      </c>
      <c r="R147" s="601">
        <v>-575.38544105007554</v>
      </c>
      <c r="S147" s="601">
        <v>-536.99071852600207</v>
      </c>
      <c r="T147" s="601">
        <v>-498.59599600192843</v>
      </c>
      <c r="U147" s="601">
        <v>-460.20127347785535</v>
      </c>
      <c r="V147" s="601">
        <v>-421.80655095378199</v>
      </c>
      <c r="W147" s="601">
        <v>-383.41182842970841</v>
      </c>
      <c r="X147" s="601">
        <v>-345.01710590563533</v>
      </c>
      <c r="Y147" s="601">
        <v>-306.62238338156175</v>
      </c>
      <c r="Z147" s="601">
        <v>-268.22766085748867</v>
      </c>
      <c r="AA147" s="601">
        <v>-229.83293833341529</v>
      </c>
    </row>
    <row r="148" spans="1:27" ht="26.25" thickBot="1" x14ac:dyDescent="0.75">
      <c r="A148" s="477" t="s">
        <v>2572</v>
      </c>
      <c r="B148" s="478">
        <f>B147*B135</f>
        <v>269.89709999999991</v>
      </c>
      <c r="C148" s="87"/>
      <c r="D148" s="477" t="s">
        <v>2573</v>
      </c>
      <c r="E148" s="478">
        <f>E147*B143</f>
        <v>-131.46140369191727</v>
      </c>
      <c r="F148" s="305"/>
      <c r="G148" s="114"/>
      <c r="H148" s="562">
        <v>8</v>
      </c>
      <c r="I148" s="563">
        <f ca="1">$I$148/H148</f>
        <v>380.11111111111109</v>
      </c>
      <c r="M148" s="615"/>
      <c r="N148" s="600">
        <v>18000</v>
      </c>
      <c r="O148" s="25">
        <v>-752.44286532508204</v>
      </c>
      <c r="P148" s="25">
        <v>-709.24880248549937</v>
      </c>
      <c r="Q148" s="25">
        <v>-666.05473964591681</v>
      </c>
      <c r="R148" s="601">
        <v>-622.86067680633448</v>
      </c>
      <c r="S148" s="601">
        <v>-579.66661396675204</v>
      </c>
      <c r="T148" s="601">
        <v>-536.47255112716925</v>
      </c>
      <c r="U148" s="601">
        <v>-493.27848828758704</v>
      </c>
      <c r="V148" s="601">
        <v>-450.08442544800425</v>
      </c>
      <c r="W148" s="601">
        <v>-406.89036260842181</v>
      </c>
      <c r="X148" s="601">
        <v>-363.69629976883965</v>
      </c>
      <c r="Y148" s="601">
        <v>-320.50223692925687</v>
      </c>
      <c r="Z148" s="601">
        <v>-277.30817408967414</v>
      </c>
      <c r="AA148" s="601">
        <v>-234.11411125009164</v>
      </c>
    </row>
    <row r="149" spans="1:27" ht="27" thickTop="1" thickBot="1" x14ac:dyDescent="0.75">
      <c r="A149" s="357"/>
      <c r="B149" s="357"/>
      <c r="C149" s="87"/>
      <c r="D149" s="87"/>
      <c r="E149" s="115"/>
      <c r="F149" s="87"/>
      <c r="G149" s="559"/>
      <c r="H149" s="564">
        <v>10</v>
      </c>
      <c r="I149" s="565">
        <f ca="1">$I$148/H149</f>
        <v>325.8095238095238</v>
      </c>
      <c r="M149" s="615"/>
      <c r="N149" s="600">
        <v>20000</v>
      </c>
      <c r="O149" s="25">
        <v>-814.31612202786926</v>
      </c>
      <c r="P149" s="25">
        <v>-766.3227188727775</v>
      </c>
      <c r="Q149" s="25">
        <v>-718.32931571768586</v>
      </c>
      <c r="R149" s="601">
        <v>-670.33591256259433</v>
      </c>
      <c r="S149" s="601">
        <v>-622.34250940750269</v>
      </c>
      <c r="T149" s="601">
        <v>-574.34910625241082</v>
      </c>
      <c r="U149" s="601">
        <v>-526.35570309731895</v>
      </c>
      <c r="V149" s="601">
        <v>-478.36229994222754</v>
      </c>
      <c r="W149" s="601">
        <v>-430.36889678713595</v>
      </c>
      <c r="X149" s="601">
        <v>-382.37549363204414</v>
      </c>
      <c r="Y149" s="601">
        <v>-334.38209047695244</v>
      </c>
      <c r="Z149" s="601">
        <v>-286.38868732186114</v>
      </c>
      <c r="AA149" s="601">
        <v>-238.39528416676899</v>
      </c>
    </row>
    <row r="150" spans="1:27" ht="26.25" thickTop="1" x14ac:dyDescent="0.7">
      <c r="A150" s="479" t="s">
        <v>2510</v>
      </c>
      <c r="B150" s="480" t="s">
        <v>2581</v>
      </c>
      <c r="C150" s="87"/>
      <c r="D150" s="479" t="s">
        <v>2510</v>
      </c>
      <c r="E150" s="480" t="str">
        <f>B150</f>
        <v>98/08/26</v>
      </c>
      <c r="F150" s="87"/>
      <c r="G150" s="559"/>
      <c r="H150" s="559"/>
      <c r="I150" s="559"/>
      <c r="M150" s="615"/>
      <c r="N150" s="600">
        <v>22000</v>
      </c>
      <c r="O150" s="25">
        <v>-876.1893787306559</v>
      </c>
      <c r="P150" s="25">
        <v>-823.3966352600554</v>
      </c>
      <c r="Q150" s="25">
        <v>-770.60389178945456</v>
      </c>
      <c r="R150" s="601">
        <v>-717.8111483188535</v>
      </c>
      <c r="S150" s="601">
        <v>-665.01840484825254</v>
      </c>
      <c r="T150" s="601">
        <v>-612.22566137765159</v>
      </c>
      <c r="U150" s="601">
        <v>-559.43291790705109</v>
      </c>
      <c r="V150" s="601">
        <v>-506.64017443645031</v>
      </c>
      <c r="W150" s="601">
        <v>-453.84743096584907</v>
      </c>
      <c r="X150" s="601">
        <v>-401.05468749524863</v>
      </c>
      <c r="Y150" s="601">
        <v>-348.26194402464762</v>
      </c>
      <c r="Z150" s="601">
        <v>-295.46920055404638</v>
      </c>
      <c r="AA150" s="601">
        <v>-242.67645708344608</v>
      </c>
    </row>
    <row r="151" spans="1:27" ht="26.25" thickBot="1" x14ac:dyDescent="0.75">
      <c r="A151" s="481" t="s">
        <v>2511</v>
      </c>
      <c r="B151" s="482" t="s">
        <v>2586</v>
      </c>
      <c r="C151" s="87"/>
      <c r="D151" s="481" t="s">
        <v>2511</v>
      </c>
      <c r="E151" s="482" t="str">
        <f>B151</f>
        <v>98/12/01</v>
      </c>
      <c r="F151" s="305"/>
      <c r="G151" s="305"/>
      <c r="H151" s="305"/>
      <c r="I151" s="305"/>
      <c r="M151" s="615"/>
      <c r="N151" s="600">
        <v>24000</v>
      </c>
      <c r="O151" s="25">
        <v>-938.06263543344244</v>
      </c>
      <c r="P151" s="25">
        <v>-880.47055164733251</v>
      </c>
      <c r="Q151" s="25">
        <v>-822.87846786122236</v>
      </c>
      <c r="R151" s="601">
        <v>-765.28638407511244</v>
      </c>
      <c r="S151" s="601">
        <v>-707.69430028900217</v>
      </c>
      <c r="T151" s="601">
        <v>-650.10221650289213</v>
      </c>
      <c r="U151" s="601">
        <v>-592.51013271678221</v>
      </c>
      <c r="V151" s="601">
        <v>-534.91804893067206</v>
      </c>
      <c r="W151" s="601">
        <v>-477.32596514456219</v>
      </c>
      <c r="X151" s="601">
        <v>-419.73388135845238</v>
      </c>
      <c r="Y151" s="601">
        <v>-362.14179757234217</v>
      </c>
      <c r="Z151" s="601">
        <v>-304.54971378623208</v>
      </c>
      <c r="AA151" s="601">
        <v>-246.95763000012246</v>
      </c>
    </row>
    <row r="152" spans="1:27" ht="27" thickTop="1" thickBot="1" x14ac:dyDescent="0.75">
      <c r="A152" s="87"/>
      <c r="B152" s="87"/>
      <c r="C152" s="87"/>
      <c r="D152" s="87"/>
      <c r="E152" s="305"/>
      <c r="F152" s="87"/>
      <c r="G152" s="87"/>
      <c r="H152" s="87"/>
      <c r="I152" s="87"/>
      <c r="M152" s="615"/>
      <c r="N152" s="600">
        <v>26000</v>
      </c>
      <c r="O152" s="25">
        <v>-999.93589213623</v>
      </c>
      <c r="P152" s="25">
        <v>-937.5444680346111</v>
      </c>
      <c r="Q152" s="25">
        <v>-875.15304393299209</v>
      </c>
      <c r="R152" s="601">
        <v>-812.76161983137251</v>
      </c>
      <c r="S152" s="601">
        <v>-750.3701957297535</v>
      </c>
      <c r="T152" s="601">
        <v>-687.97877162813393</v>
      </c>
      <c r="U152" s="601">
        <v>-625.58734752651492</v>
      </c>
      <c r="V152" s="601">
        <v>-563.19592342489568</v>
      </c>
      <c r="W152" s="601">
        <v>-500.80449932327645</v>
      </c>
      <c r="X152" s="601">
        <v>-438.41307522165783</v>
      </c>
      <c r="Y152" s="601">
        <v>-376.02165112003831</v>
      </c>
      <c r="Z152" s="601">
        <v>-313.6302270184193</v>
      </c>
      <c r="AA152" s="601">
        <v>-251.23880291680027</v>
      </c>
    </row>
    <row r="153" spans="1:27" ht="26.25" thickTop="1" x14ac:dyDescent="0.7">
      <c r="A153" s="483" t="s">
        <v>2544</v>
      </c>
      <c r="B153" s="486">
        <v>4</v>
      </c>
      <c r="C153" s="114"/>
      <c r="D153" s="483" t="s">
        <v>2547</v>
      </c>
      <c r="E153" s="484">
        <v>16</v>
      </c>
      <c r="F153" s="87"/>
      <c r="G153" s="87"/>
      <c r="H153" s="87"/>
      <c r="I153" s="87"/>
      <c r="M153" s="615"/>
      <c r="N153" s="600">
        <v>28000</v>
      </c>
      <c r="O153" s="25">
        <v>-1061.8091488390171</v>
      </c>
      <c r="P153" s="25">
        <v>-994.61838442188832</v>
      </c>
      <c r="Q153" s="25">
        <v>-927.42762000476023</v>
      </c>
      <c r="R153" s="601">
        <v>-860.23685558763191</v>
      </c>
      <c r="S153" s="601">
        <v>-793.04609117050336</v>
      </c>
      <c r="T153" s="601">
        <v>-725.85532675337492</v>
      </c>
      <c r="U153" s="601">
        <v>-658.6645623362466</v>
      </c>
      <c r="V153" s="601">
        <v>-591.47379791911862</v>
      </c>
      <c r="W153" s="601">
        <v>-524.2830335019903</v>
      </c>
      <c r="X153" s="601">
        <v>-457.09226908486136</v>
      </c>
      <c r="Y153" s="601">
        <v>-389.90150466773343</v>
      </c>
      <c r="Z153" s="601">
        <v>-322.71074025060454</v>
      </c>
      <c r="AA153" s="601">
        <v>-255.51997583347662</v>
      </c>
    </row>
    <row r="154" spans="1:27" ht="26.25" thickBot="1" x14ac:dyDescent="0.75">
      <c r="A154" s="477" t="s">
        <v>2545</v>
      </c>
      <c r="B154" s="485">
        <v>8</v>
      </c>
      <c r="C154" s="114"/>
      <c r="D154" s="477" t="s">
        <v>2546</v>
      </c>
      <c r="E154" s="485">
        <v>20</v>
      </c>
      <c r="F154" s="87"/>
      <c r="G154" s="87"/>
      <c r="H154" s="87"/>
      <c r="I154" s="87"/>
      <c r="M154" s="615"/>
      <c r="N154" s="600">
        <v>30000</v>
      </c>
      <c r="O154" s="25">
        <v>-1123.6824055418031</v>
      </c>
      <c r="P154" s="25">
        <v>-1051.692300809166</v>
      </c>
      <c r="Q154" s="25">
        <v>-979.70219607652825</v>
      </c>
      <c r="R154" s="601">
        <v>-907.71209134389062</v>
      </c>
      <c r="S154" s="601">
        <v>-835.72198661125333</v>
      </c>
      <c r="T154" s="601">
        <v>-763.73188187861604</v>
      </c>
      <c r="U154" s="601">
        <v>-691.74177714597818</v>
      </c>
      <c r="V154" s="601">
        <v>-619.751672413341</v>
      </c>
      <c r="W154" s="601">
        <v>-547.76156768070314</v>
      </c>
      <c r="X154" s="601">
        <v>-475.77146294806539</v>
      </c>
      <c r="Y154" s="601">
        <v>-403.78135821542804</v>
      </c>
      <c r="Z154" s="601">
        <v>-331.79125348279024</v>
      </c>
      <c r="AA154" s="601">
        <v>-259.80114875015295</v>
      </c>
    </row>
    <row r="155" spans="1:27" ht="27" thickTop="1" thickBot="1" x14ac:dyDescent="0.75">
      <c r="A155" s="357"/>
      <c r="B155" s="357"/>
      <c r="C155" s="114"/>
      <c r="D155" s="115"/>
      <c r="E155" s="87"/>
      <c r="F155" s="87"/>
      <c r="G155" s="87"/>
      <c r="H155" s="87"/>
      <c r="I155" s="87"/>
      <c r="M155" s="615"/>
      <c r="N155" s="600">
        <v>32000</v>
      </c>
      <c r="O155" s="25">
        <v>-1185.5556622445911</v>
      </c>
      <c r="P155" s="25">
        <v>-1108.7662171964441</v>
      </c>
      <c r="Q155" s="25">
        <v>-1031.9767721482976</v>
      </c>
      <c r="R155" s="601">
        <v>-955.18732710015149</v>
      </c>
      <c r="S155" s="601">
        <v>-878.39788205200432</v>
      </c>
      <c r="T155" s="601">
        <v>-801.60843700385703</v>
      </c>
      <c r="U155" s="601">
        <v>-724.818991955711</v>
      </c>
      <c r="V155" s="601">
        <v>-648.02954690756428</v>
      </c>
      <c r="W155" s="601">
        <v>-571.240101859417</v>
      </c>
      <c r="X155" s="601">
        <v>-494.45065681127085</v>
      </c>
      <c r="Y155" s="601">
        <v>-417.66121176312373</v>
      </c>
      <c r="Z155" s="601">
        <v>-340.87176671497747</v>
      </c>
      <c r="AA155" s="601">
        <v>-264.08232166683081</v>
      </c>
    </row>
    <row r="156" spans="1:27" ht="27" thickTop="1" thickBot="1" x14ac:dyDescent="0.75">
      <c r="A156" s="319">
        <v>0.2</v>
      </c>
      <c r="B156" s="320" t="s">
        <v>2519</v>
      </c>
      <c r="C156" s="114"/>
      <c r="D156" s="319">
        <v>0.2</v>
      </c>
      <c r="E156" s="320" t="s">
        <v>2519</v>
      </c>
      <c r="F156" s="87"/>
      <c r="G156" s="87"/>
      <c r="H156" s="87"/>
      <c r="I156" s="87"/>
      <c r="M156" s="616"/>
      <c r="N156" s="600">
        <v>34000</v>
      </c>
      <c r="O156" s="25">
        <v>-1247.4289189473775</v>
      </c>
      <c r="P156" s="25">
        <v>-1165.840133583722</v>
      </c>
      <c r="Q156" s="25">
        <v>-1084.2513482200659</v>
      </c>
      <c r="R156" s="601">
        <v>-1002.6625628564099</v>
      </c>
      <c r="S156" s="601">
        <v>-921.07377749275418</v>
      </c>
      <c r="T156" s="601">
        <v>-839.48499212909803</v>
      </c>
      <c r="U156" s="601">
        <v>-757.89620676544268</v>
      </c>
      <c r="V156" s="601">
        <v>-676.30742140178586</v>
      </c>
      <c r="W156" s="601">
        <v>-594.71863603813097</v>
      </c>
      <c r="X156" s="601">
        <v>-513.12985067447494</v>
      </c>
      <c r="Y156" s="601">
        <v>-431.54106531081879</v>
      </c>
      <c r="Z156" s="601">
        <v>-349.95227994716322</v>
      </c>
      <c r="AA156" s="601">
        <v>-268.36349458350719</v>
      </c>
    </row>
    <row r="157" spans="1:27" ht="26.25" thickTop="1" x14ac:dyDescent="0.7">
      <c r="A157" s="321" t="s">
        <v>8</v>
      </c>
      <c r="B157" s="322" t="s">
        <v>7</v>
      </c>
      <c r="C157" s="357"/>
      <c r="D157" s="321" t="s">
        <v>8</v>
      </c>
      <c r="E157" s="322" t="s">
        <v>7</v>
      </c>
      <c r="F157" s="357"/>
      <c r="G157" s="357"/>
      <c r="H157" s="357"/>
      <c r="I157" s="357"/>
    </row>
    <row r="158" spans="1:27" ht="26.25" thickBot="1" x14ac:dyDescent="0.75">
      <c r="A158" s="324">
        <f>A156/12</f>
        <v>1.6666666666666666E-2</v>
      </c>
      <c r="B158" s="323">
        <v>5</v>
      </c>
      <c r="C158" s="357"/>
      <c r="D158" s="324">
        <f>D156/12</f>
        <v>1.6666666666666666E-2</v>
      </c>
      <c r="E158" s="323">
        <v>5</v>
      </c>
      <c r="F158" s="357"/>
      <c r="G158" s="357"/>
      <c r="H158" s="357"/>
      <c r="I158" s="357"/>
    </row>
    <row r="159" spans="1:27" ht="26.25" thickTop="1" x14ac:dyDescent="0.7">
      <c r="A159" s="176" t="s">
        <v>2548</v>
      </c>
      <c r="B159" s="177">
        <f>B158*B135</f>
        <v>2249.1424999999995</v>
      </c>
      <c r="C159" s="357"/>
      <c r="D159" s="176" t="s">
        <v>2548</v>
      </c>
      <c r="E159" s="473">
        <f>B143*E158</f>
        <v>-1095.511697432644</v>
      </c>
      <c r="F159" s="357"/>
      <c r="G159" s="357"/>
      <c r="H159" s="357"/>
      <c r="I159" s="357"/>
    </row>
    <row r="160" spans="1:27" ht="25.5" x14ac:dyDescent="0.7">
      <c r="A160" s="176" t="s">
        <v>3</v>
      </c>
      <c r="B160" s="177">
        <f>B159/(1+A158)^B153</f>
        <v>2105.2449468399932</v>
      </c>
      <c r="C160" s="357"/>
      <c r="D160" s="176" t="s">
        <v>3</v>
      </c>
      <c r="E160" s="473">
        <f>E159/(1+D158)^E153</f>
        <v>-840.92964950593966</v>
      </c>
      <c r="F160" s="357"/>
      <c r="G160" s="357"/>
      <c r="H160" s="357"/>
      <c r="I160" s="357"/>
    </row>
    <row r="161" spans="1:9" ht="26.25" thickBot="1" x14ac:dyDescent="0.75">
      <c r="A161" s="178" t="s">
        <v>2</v>
      </c>
      <c r="B161" s="179">
        <f>B148/(1+A158)^B154</f>
        <v>236.46645525725432</v>
      </c>
      <c r="C161" s="357"/>
      <c r="D161" s="178" t="s">
        <v>2</v>
      </c>
      <c r="E161" s="474">
        <f>E148/(1+D158)^E154</f>
        <v>-94.455352398719398</v>
      </c>
      <c r="F161" s="357"/>
      <c r="G161" s="357"/>
      <c r="H161" s="357"/>
      <c r="I161" s="357"/>
    </row>
    <row r="162" spans="1:9" ht="27" thickTop="1" thickBot="1" x14ac:dyDescent="0.75">
      <c r="A162" s="180" t="s">
        <v>0</v>
      </c>
      <c r="B162" s="181">
        <f>B161+B160</f>
        <v>2341.7114020972476</v>
      </c>
      <c r="C162" s="357"/>
      <c r="D162" s="180" t="s">
        <v>0</v>
      </c>
      <c r="E162" s="181">
        <f>E161+E160</f>
        <v>-935.38500190465902</v>
      </c>
      <c r="F162" s="357"/>
      <c r="G162" s="357"/>
      <c r="H162" s="357"/>
      <c r="I162" s="357"/>
    </row>
    <row r="163" spans="1:9" ht="23.25" thickTop="1" x14ac:dyDescent="0.6">
      <c r="A163" s="357"/>
      <c r="B163" s="357"/>
      <c r="C163" s="357"/>
      <c r="D163" s="357"/>
      <c r="E163" s="357"/>
      <c r="F163" s="357"/>
      <c r="G163" s="357"/>
      <c r="H163" s="357"/>
      <c r="I163" s="357"/>
    </row>
    <row r="164" spans="1:9" ht="22.5" x14ac:dyDescent="0.6">
      <c r="C164" s="357"/>
      <c r="D164" s="357"/>
      <c r="E164" s="357"/>
      <c r="F164" s="357"/>
      <c r="G164" s="357"/>
      <c r="H164" s="357"/>
      <c r="I164" s="357"/>
    </row>
    <row r="165" spans="1:9" ht="22.5" x14ac:dyDescent="0.6">
      <c r="C165" s="357"/>
      <c r="D165" s="357"/>
      <c r="E165" s="357"/>
      <c r="F165" s="357"/>
      <c r="G165" s="357"/>
      <c r="H165" s="357"/>
      <c r="I165" s="357"/>
    </row>
    <row r="166" spans="1:9" ht="22.5" x14ac:dyDescent="0.6">
      <c r="C166" s="357"/>
      <c r="D166" s="357"/>
      <c r="E166" s="357"/>
      <c r="F166" s="357"/>
      <c r="G166" s="357"/>
      <c r="H166" s="357"/>
      <c r="I166" s="357"/>
    </row>
    <row r="167" spans="1:9" ht="22.5" x14ac:dyDescent="0.6">
      <c r="C167" s="357"/>
      <c r="D167" s="357"/>
      <c r="E167" s="357"/>
      <c r="F167" s="357"/>
      <c r="G167" s="357"/>
      <c r="H167" s="357"/>
      <c r="I167" s="357"/>
    </row>
  </sheetData>
  <mergeCells count="9">
    <mergeCell ref="G1:J1"/>
    <mergeCell ref="A146:B146"/>
    <mergeCell ref="D146:E146"/>
    <mergeCell ref="M131:M141"/>
    <mergeCell ref="N129:AA130"/>
    <mergeCell ref="M129:M130"/>
    <mergeCell ref="M144:M145"/>
    <mergeCell ref="N144:AA145"/>
    <mergeCell ref="M146:M156"/>
  </mergeCells>
  <conditionalFormatting sqref="O132:AA141">
    <cfRule type="colorScale" priority="3">
      <colorScale>
        <cfvo type="num" val="$I$149"/>
        <cfvo type="num" val="$I$148"/>
        <cfvo type="num" val="$I$147"/>
        <color rgb="FFF8696B"/>
        <color rgb="FFFFEB84"/>
        <color rgb="FF63BE7B"/>
      </colorScale>
    </cfRule>
  </conditionalFormatting>
  <conditionalFormatting sqref="O147:AA156">
    <cfRule type="colorScale" priority="1">
      <colorScale>
        <cfvo type="num" val="$I$149"/>
        <cfvo type="num" val="$I$148"/>
        <cfvo type="num" val="$I$147"/>
        <color rgb="FFF8696B"/>
        <color rgb="FFFFEB84"/>
        <color rgb="FF63BE7B"/>
      </colorScale>
    </cfRule>
    <cfRule type="colorScale" priority="2">
      <colorScale>
        <cfvo type="num" val="$I$149"/>
        <cfvo type="num" val="$I$148"/>
        <cfvo type="num" val="$I$147"/>
        <color rgb="FFF8696B"/>
        <color rgb="FFFFEB84"/>
        <color rgb="FF63BE7B"/>
      </colorScale>
    </cfRule>
  </conditionalFormatting>
  <pageMargins left="0.7" right="0.7" top="0.75" bottom="0.75" header="0.3" footer="0.3"/>
  <ignoredErrors>
    <ignoredError sqref="E54:H5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workbookViewId="0">
      <selection activeCell="B15" sqref="B15"/>
    </sheetView>
  </sheetViews>
  <sheetFormatPr defaultRowHeight="14.25" x14ac:dyDescent="0.35"/>
  <cols>
    <col min="1" max="1" width="25.7109375" style="1" customWidth="1"/>
    <col min="2" max="2" width="15.42578125" style="1" bestFit="1" customWidth="1"/>
    <col min="3" max="15" width="12.7109375" style="1" bestFit="1" customWidth="1"/>
    <col min="16" max="16384" width="9.140625" style="1"/>
  </cols>
  <sheetData>
    <row r="1" spans="1:10" x14ac:dyDescent="0.35">
      <c r="A1" s="603" t="s">
        <v>2587</v>
      </c>
      <c r="B1" s="604">
        <v>40500000</v>
      </c>
    </row>
    <row r="2" spans="1:10" ht="15" thickBot="1" x14ac:dyDescent="0.4">
      <c r="A2" s="608" t="s">
        <v>3270</v>
      </c>
      <c r="B2" s="609">
        <v>6000000</v>
      </c>
    </row>
    <row r="3" spans="1:10" ht="15.75" thickTop="1" thickBot="1" x14ac:dyDescent="0.4">
      <c r="A3" s="663" t="s">
        <v>218</v>
      </c>
      <c r="B3" s="664" t="s">
        <v>2590</v>
      </c>
      <c r="C3" s="661" t="s">
        <v>222</v>
      </c>
      <c r="D3" s="661" t="s">
        <v>2591</v>
      </c>
    </row>
    <row r="4" spans="1:10" ht="15.75" thickTop="1" thickBot="1" x14ac:dyDescent="0.4">
      <c r="A4" s="663" t="str">
        <f>قزوین!H1</f>
        <v>قزوين</v>
      </c>
      <c r="B4" s="665">
        <f>قزوین!B130</f>
        <v>3061.6548923322175</v>
      </c>
      <c r="C4" s="662">
        <f>قزوین!B155</f>
        <v>14567.608098614843</v>
      </c>
      <c r="D4" s="662">
        <f>قزوین!B143</f>
        <v>14062</v>
      </c>
      <c r="E4" s="606"/>
      <c r="F4" s="607"/>
    </row>
    <row r="5" spans="1:10" ht="15.75" thickTop="1" thickBot="1" x14ac:dyDescent="0.4">
      <c r="A5" s="663" t="str">
        <f>قصفها!I1</f>
        <v>قصفها</v>
      </c>
      <c r="B5" s="665">
        <f>قصفها!B136</f>
        <v>1372.5472865831423</v>
      </c>
      <c r="C5" s="662">
        <f>قصفها!B158</f>
        <v>6853.4802490958409</v>
      </c>
      <c r="D5" s="662">
        <f>قصفها!B147</f>
        <v>28089</v>
      </c>
      <c r="E5" s="606"/>
      <c r="F5" s="607"/>
    </row>
    <row r="6" spans="1:10" ht="15.75" thickTop="1" thickBot="1" x14ac:dyDescent="0.4">
      <c r="A6" s="663" t="str">
        <f>قهکمت!J1</f>
        <v>قهكمت</v>
      </c>
      <c r="B6" s="665">
        <f>قهکمت!B154</f>
        <v>613.31007490671266</v>
      </c>
      <c r="C6" s="662">
        <f>قهکمت!E173</f>
        <v>2644.7517799443972</v>
      </c>
      <c r="D6" s="662">
        <f>قهکمت!I156</f>
        <v>23202</v>
      </c>
      <c r="E6" s="606"/>
      <c r="F6" s="607"/>
    </row>
    <row r="7" spans="1:10" ht="15.75" thickTop="1" thickBot="1" x14ac:dyDescent="0.4">
      <c r="A7" s="663" t="str">
        <f>قپیرا!J1</f>
        <v>قپيرا</v>
      </c>
      <c r="B7" s="665">
        <f>قپیرا!B146</f>
        <v>-3394.1617310524093</v>
      </c>
      <c r="C7" s="662">
        <f>قپیرا!E164</f>
        <v>-14440.257747350719</v>
      </c>
      <c r="D7" s="662">
        <f>قپیرا!I148</f>
        <v>30674</v>
      </c>
      <c r="E7" s="606"/>
      <c r="F7" s="607"/>
    </row>
    <row r="8" spans="1:10" ht="15.75" thickTop="1" thickBot="1" x14ac:dyDescent="0.4">
      <c r="A8" s="663" t="str">
        <f>قاروم!K1</f>
        <v>قاروم</v>
      </c>
      <c r="B8" s="665">
        <f>قاروم!B155</f>
        <v>-6134.2216273513113</v>
      </c>
      <c r="C8" s="662">
        <f>قاروم!E174</f>
        <v>-27807.690553236876</v>
      </c>
      <c r="D8" s="662">
        <f>قاروم!I158</f>
        <v>56840</v>
      </c>
      <c r="E8" s="606"/>
      <c r="F8" s="607"/>
    </row>
    <row r="9" spans="1:10" ht="15.75" thickTop="1" thickBot="1" x14ac:dyDescent="0.4">
      <c r="A9" s="663" t="str">
        <f>قمرو!J1</f>
        <v>قمرو</v>
      </c>
      <c r="B9" s="665">
        <f>قمرو!B143</f>
        <v>-75.548172809523862</v>
      </c>
      <c r="C9" s="662">
        <f>قمرو!E162</f>
        <v>-327.77083628270282</v>
      </c>
      <c r="D9" s="662">
        <f>قمرو!I146</f>
        <v>15495</v>
      </c>
      <c r="E9" s="606"/>
      <c r="F9" s="607"/>
    </row>
    <row r="10" spans="1:10" ht="15.75" thickTop="1" thickBot="1" x14ac:dyDescent="0.4">
      <c r="A10" s="663" t="str">
        <f>قلرست!K1</f>
        <v>قلرست</v>
      </c>
      <c r="B10" s="665">
        <f>قلرست!B143</f>
        <v>-219.10233948652879</v>
      </c>
      <c r="C10" s="662">
        <f>قلرست!E162</f>
        <v>-935.38500190465902</v>
      </c>
      <c r="D10" s="662">
        <f>قلرست!I146</f>
        <v>10748</v>
      </c>
      <c r="E10" s="606"/>
      <c r="F10" s="607"/>
      <c r="J10" s="1" t="s">
        <v>7</v>
      </c>
    </row>
    <row r="11" spans="1:10" ht="15" thickTop="1" x14ac:dyDescent="0.35">
      <c r="B11" s="602"/>
      <c r="C11" s="602"/>
      <c r="D11" s="602"/>
      <c r="E11" s="605"/>
      <c r="J11" s="1" t="s">
        <v>211</v>
      </c>
    </row>
    <row r="12" spans="1:10" x14ac:dyDescent="0.35">
      <c r="B12" s="602"/>
      <c r="C12" s="602"/>
      <c r="D12" s="602"/>
      <c r="E12" s="605"/>
      <c r="J12" s="1" t="s">
        <v>212</v>
      </c>
    </row>
    <row r="13" spans="1:10" x14ac:dyDescent="0.35">
      <c r="B13" s="602"/>
      <c r="C13" s="602"/>
      <c r="D13" s="602"/>
      <c r="E13" s="605"/>
      <c r="J13" s="1" t="s">
        <v>213</v>
      </c>
    </row>
    <row r="14" spans="1:10" x14ac:dyDescent="0.35">
      <c r="B14" s="602"/>
      <c r="C14" s="602"/>
      <c r="D14" s="602"/>
      <c r="J14" s="1" t="s">
        <v>2589</v>
      </c>
    </row>
    <row r="15" spans="1:10" x14ac:dyDescent="0.35">
      <c r="B15" s="602"/>
      <c r="C15" s="602"/>
      <c r="D15" s="602"/>
    </row>
    <row r="16" spans="1:10" x14ac:dyDescent="0.35">
      <c r="B16" s="602"/>
      <c r="C16" s="602"/>
      <c r="D16" s="602"/>
    </row>
    <row r="17" spans="2:4" x14ac:dyDescent="0.35">
      <c r="B17" s="602"/>
      <c r="C17" s="602"/>
      <c r="D17" s="602"/>
    </row>
    <row r="18" spans="2:4" x14ac:dyDescent="0.35">
      <c r="B18" s="602"/>
      <c r="C18" s="602"/>
      <c r="D18" s="602"/>
    </row>
    <row r="19" spans="2:4" x14ac:dyDescent="0.35">
      <c r="B19" s="602"/>
      <c r="C19" s="602"/>
      <c r="D19" s="602"/>
    </row>
    <row r="20" spans="2:4" x14ac:dyDescent="0.35">
      <c r="B20" s="602"/>
      <c r="C20" s="602"/>
      <c r="D20" s="602"/>
    </row>
    <row r="21" spans="2:4" x14ac:dyDescent="0.35">
      <c r="B21" s="602"/>
      <c r="C21" s="602"/>
      <c r="D21" s="602"/>
    </row>
    <row r="22" spans="2:4" x14ac:dyDescent="0.35">
      <c r="B22" s="602"/>
      <c r="C22" s="602"/>
      <c r="D22" s="602"/>
    </row>
    <row r="23" spans="2:4" x14ac:dyDescent="0.35">
      <c r="B23" s="602"/>
      <c r="C23" s="602"/>
      <c r="D23" s="602"/>
    </row>
    <row r="24" spans="2:4" x14ac:dyDescent="0.35">
      <c r="B24" s="602"/>
      <c r="C24" s="602"/>
      <c r="D24" s="60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5"/>
  <sheetViews>
    <sheetView rightToLeft="1" tabSelected="1" topLeftCell="A134" zoomScale="70" zoomScaleNormal="70" workbookViewId="0">
      <selection activeCell="B157" sqref="B157"/>
    </sheetView>
  </sheetViews>
  <sheetFormatPr defaultRowHeight="15" x14ac:dyDescent="0.25"/>
  <cols>
    <col min="1" max="1" width="44.140625" customWidth="1"/>
    <col min="2" max="2" width="29.5703125" bestFit="1" customWidth="1"/>
    <col min="3" max="3" width="7.140625" customWidth="1"/>
    <col min="4" max="4" width="10.5703125" bestFit="1" customWidth="1"/>
    <col min="5" max="5" width="12.5703125" bestFit="1" customWidth="1"/>
    <col min="6" max="8" width="8.5703125" customWidth="1"/>
    <col min="9" max="9" width="8.140625" customWidth="1"/>
    <col min="10" max="10" width="7.42578125" customWidth="1"/>
    <col min="11" max="11" width="8.5703125" customWidth="1"/>
    <col min="12" max="12" width="8.140625" customWidth="1"/>
    <col min="13" max="13" width="7.85546875" customWidth="1"/>
    <col min="14" max="15" width="8.5703125" customWidth="1"/>
    <col min="16" max="16" width="7.85546875" customWidth="1"/>
    <col min="17" max="17" width="8.5703125" customWidth="1"/>
    <col min="18" max="18" width="7.85546875" customWidth="1"/>
    <col min="19" max="19" width="10.5703125" customWidth="1"/>
    <col min="20" max="22" width="8.5703125" customWidth="1"/>
    <col min="23" max="23" width="8.28515625" customWidth="1"/>
  </cols>
  <sheetData>
    <row r="1" spans="1:23" ht="28.5" x14ac:dyDescent="0.75">
      <c r="A1" s="36">
        <v>1</v>
      </c>
      <c r="B1" s="36">
        <v>2</v>
      </c>
      <c r="C1" s="36">
        <v>3</v>
      </c>
      <c r="D1" s="36">
        <v>4</v>
      </c>
      <c r="E1" s="36">
        <v>5</v>
      </c>
      <c r="F1" s="36">
        <v>6</v>
      </c>
      <c r="G1" s="36">
        <v>7</v>
      </c>
      <c r="H1" s="36">
        <v>8</v>
      </c>
      <c r="I1" s="36">
        <v>9</v>
      </c>
      <c r="J1" s="36">
        <v>10</v>
      </c>
      <c r="K1" s="36">
        <v>11</v>
      </c>
      <c r="L1" s="36">
        <v>12</v>
      </c>
      <c r="M1" s="36">
        <v>13</v>
      </c>
      <c r="N1" s="36">
        <v>14</v>
      </c>
      <c r="O1" s="36">
        <v>15</v>
      </c>
      <c r="P1" s="36">
        <v>16</v>
      </c>
      <c r="Q1" s="36">
        <v>17</v>
      </c>
      <c r="R1" s="36">
        <v>18</v>
      </c>
      <c r="S1" s="36">
        <v>19</v>
      </c>
      <c r="T1" s="36">
        <v>20</v>
      </c>
      <c r="U1" s="36">
        <v>21</v>
      </c>
      <c r="V1" s="36">
        <v>22</v>
      </c>
      <c r="W1" s="36">
        <v>23</v>
      </c>
    </row>
    <row r="2" spans="1:23" ht="28.5" x14ac:dyDescent="0.75">
      <c r="A2" s="36"/>
      <c r="B2" s="36"/>
      <c r="C2" s="36"/>
      <c r="D2" s="36"/>
      <c r="E2" s="36"/>
      <c r="F2" s="36"/>
      <c r="G2" s="36"/>
      <c r="H2" s="658" t="s">
        <v>216</v>
      </c>
      <c r="I2" s="659"/>
      <c r="J2" s="660"/>
      <c r="K2" s="658" t="s">
        <v>217</v>
      </c>
      <c r="L2" s="659"/>
      <c r="M2" s="660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28.5" x14ac:dyDescent="0.75">
      <c r="A3" s="37" t="s">
        <v>218</v>
      </c>
      <c r="B3" s="37" t="s">
        <v>219</v>
      </c>
      <c r="C3" s="37" t="s">
        <v>220</v>
      </c>
      <c r="D3" s="37" t="s">
        <v>221</v>
      </c>
      <c r="E3" s="37" t="s">
        <v>222</v>
      </c>
      <c r="F3" s="37" t="s">
        <v>223</v>
      </c>
      <c r="G3" s="37" t="s">
        <v>224</v>
      </c>
      <c r="H3" s="37" t="s">
        <v>225</v>
      </c>
      <c r="I3" s="37" t="s">
        <v>226</v>
      </c>
      <c r="J3" s="37" t="s">
        <v>189</v>
      </c>
      <c r="K3" s="37" t="s">
        <v>225</v>
      </c>
      <c r="L3" s="37" t="s">
        <v>226</v>
      </c>
      <c r="M3" s="37" t="s">
        <v>189</v>
      </c>
      <c r="N3" s="37" t="s">
        <v>227</v>
      </c>
      <c r="O3" s="37" t="s">
        <v>228</v>
      </c>
      <c r="P3" s="37" t="s">
        <v>229</v>
      </c>
      <c r="Q3" s="37" t="s">
        <v>7</v>
      </c>
      <c r="R3" s="37"/>
      <c r="S3" s="37"/>
      <c r="T3" s="37"/>
      <c r="U3" s="37"/>
      <c r="V3" s="37"/>
      <c r="W3" s="37"/>
    </row>
    <row r="4" spans="1:23" x14ac:dyDescent="0.25">
      <c r="A4" t="s">
        <v>230</v>
      </c>
      <c r="B4" t="s">
        <v>231</v>
      </c>
      <c r="C4" t="s">
        <v>232</v>
      </c>
      <c r="D4" t="s">
        <v>233</v>
      </c>
      <c r="E4" t="s">
        <v>234</v>
      </c>
      <c r="F4" t="s">
        <v>235</v>
      </c>
      <c r="G4" t="s">
        <v>236</v>
      </c>
      <c r="H4" t="s">
        <v>237</v>
      </c>
      <c r="I4" t="s">
        <v>238</v>
      </c>
      <c r="J4" t="s">
        <v>239</v>
      </c>
      <c r="K4" t="s">
        <v>240</v>
      </c>
      <c r="L4" t="s">
        <v>241</v>
      </c>
      <c r="M4" t="s">
        <v>242</v>
      </c>
      <c r="N4" t="s">
        <v>243</v>
      </c>
      <c r="O4" t="s">
        <v>244</v>
      </c>
      <c r="P4" t="s">
        <v>245</v>
      </c>
      <c r="Q4" t="s">
        <v>246</v>
      </c>
      <c r="R4" t="s">
        <v>247</v>
      </c>
      <c r="S4" t="s">
        <v>248</v>
      </c>
      <c r="T4" t="s">
        <v>249</v>
      </c>
      <c r="U4" t="s">
        <v>250</v>
      </c>
      <c r="V4" t="s">
        <v>251</v>
      </c>
      <c r="W4" t="s">
        <v>252</v>
      </c>
    </row>
    <row r="5" spans="1:23" x14ac:dyDescent="0.25">
      <c r="A5" t="s">
        <v>2791</v>
      </c>
    </row>
    <row r="6" spans="1:23" x14ac:dyDescent="0.25">
      <c r="A6" t="s">
        <v>218</v>
      </c>
      <c r="B6" t="s">
        <v>219</v>
      </c>
      <c r="P6" t="s">
        <v>253</v>
      </c>
      <c r="Q6" t="s">
        <v>254</v>
      </c>
    </row>
    <row r="7" spans="1:23" x14ac:dyDescent="0.25">
      <c r="A7" t="s">
        <v>255</v>
      </c>
      <c r="B7" t="s">
        <v>256</v>
      </c>
      <c r="C7">
        <v>695</v>
      </c>
      <c r="D7">
        <v>10559554</v>
      </c>
      <c r="E7">
        <v>10341170135</v>
      </c>
      <c r="F7">
        <v>933</v>
      </c>
      <c r="G7">
        <v>931</v>
      </c>
      <c r="H7">
        <v>977</v>
      </c>
      <c r="I7">
        <v>44</v>
      </c>
      <c r="J7">
        <v>4.72</v>
      </c>
      <c r="K7">
        <v>979</v>
      </c>
      <c r="L7">
        <v>46</v>
      </c>
      <c r="M7">
        <v>4.93</v>
      </c>
      <c r="N7">
        <v>931</v>
      </c>
      <c r="O7">
        <v>999</v>
      </c>
      <c r="R7">
        <v>1</v>
      </c>
      <c r="S7">
        <v>362</v>
      </c>
      <c r="T7">
        <v>976</v>
      </c>
      <c r="U7">
        <v>977</v>
      </c>
      <c r="V7">
        <v>40846</v>
      </c>
      <c r="W7">
        <v>2</v>
      </c>
    </row>
    <row r="8" spans="1:23" x14ac:dyDescent="0.25">
      <c r="A8" t="s">
        <v>257</v>
      </c>
      <c r="B8" t="s">
        <v>258</v>
      </c>
      <c r="C8">
        <v>0</v>
      </c>
      <c r="D8">
        <v>0</v>
      </c>
      <c r="E8">
        <v>0</v>
      </c>
      <c r="F8">
        <v>74680</v>
      </c>
      <c r="G8">
        <v>0</v>
      </c>
      <c r="H8">
        <v>74030</v>
      </c>
      <c r="I8">
        <v>-650</v>
      </c>
      <c r="J8">
        <v>-0.87</v>
      </c>
      <c r="K8">
        <v>74680</v>
      </c>
      <c r="L8">
        <v>0</v>
      </c>
      <c r="M8">
        <v>0</v>
      </c>
      <c r="N8">
        <v>0</v>
      </c>
      <c r="O8">
        <v>0</v>
      </c>
      <c r="R8">
        <v>1</v>
      </c>
      <c r="S8">
        <v>3</v>
      </c>
      <c r="T8">
        <v>72226</v>
      </c>
      <c r="U8">
        <v>78400</v>
      </c>
      <c r="V8">
        <v>1</v>
      </c>
      <c r="W8">
        <v>1</v>
      </c>
    </row>
    <row r="9" spans="1:23" x14ac:dyDescent="0.25">
      <c r="A9" t="s">
        <v>259</v>
      </c>
      <c r="B9" t="s">
        <v>260</v>
      </c>
      <c r="C9">
        <v>0</v>
      </c>
      <c r="D9">
        <v>0</v>
      </c>
      <c r="E9">
        <v>0</v>
      </c>
      <c r="F9">
        <v>448759</v>
      </c>
      <c r="G9">
        <v>0</v>
      </c>
      <c r="H9">
        <v>450000</v>
      </c>
      <c r="I9">
        <v>1241</v>
      </c>
      <c r="J9">
        <v>0.28000000000000003</v>
      </c>
      <c r="K9">
        <v>448759</v>
      </c>
      <c r="L9">
        <v>0</v>
      </c>
      <c r="M9">
        <v>0</v>
      </c>
      <c r="N9">
        <v>0</v>
      </c>
      <c r="O9">
        <v>0</v>
      </c>
      <c r="R9">
        <v>0</v>
      </c>
      <c r="S9">
        <v>0</v>
      </c>
      <c r="T9">
        <v>0</v>
      </c>
      <c r="U9">
        <v>426322</v>
      </c>
      <c r="V9">
        <v>309</v>
      </c>
      <c r="W9">
        <v>12</v>
      </c>
    </row>
    <row r="10" spans="1:23" x14ac:dyDescent="0.25">
      <c r="A10" t="s">
        <v>261</v>
      </c>
      <c r="B10" t="s">
        <v>262</v>
      </c>
      <c r="C10">
        <v>0</v>
      </c>
      <c r="D10">
        <v>0</v>
      </c>
      <c r="E10">
        <v>0</v>
      </c>
      <c r="F10">
        <v>1</v>
      </c>
      <c r="G10">
        <v>0</v>
      </c>
      <c r="H10">
        <v>1</v>
      </c>
      <c r="I10">
        <v>0</v>
      </c>
      <c r="J10">
        <v>0</v>
      </c>
      <c r="K10">
        <v>1</v>
      </c>
      <c r="L10">
        <v>0</v>
      </c>
      <c r="M10">
        <v>0</v>
      </c>
      <c r="N10">
        <v>0</v>
      </c>
      <c r="O10">
        <v>0</v>
      </c>
      <c r="R10">
        <v>0</v>
      </c>
      <c r="S10">
        <v>0</v>
      </c>
      <c r="T10">
        <v>0</v>
      </c>
      <c r="U10">
        <v>1150</v>
      </c>
      <c r="V10">
        <v>2000</v>
      </c>
      <c r="W10">
        <v>20</v>
      </c>
    </row>
    <row r="11" spans="1:23" x14ac:dyDescent="0.25">
      <c r="A11" t="s">
        <v>263</v>
      </c>
      <c r="B11" t="s">
        <v>264</v>
      </c>
      <c r="C11">
        <v>1658</v>
      </c>
      <c r="D11">
        <v>25150867</v>
      </c>
      <c r="E11">
        <v>33077889996</v>
      </c>
      <c r="F11">
        <v>1206</v>
      </c>
      <c r="G11">
        <v>1261</v>
      </c>
      <c r="H11">
        <v>1326</v>
      </c>
      <c r="I11">
        <v>120</v>
      </c>
      <c r="J11">
        <v>9.9499999999999993</v>
      </c>
      <c r="K11">
        <v>1315</v>
      </c>
      <c r="L11">
        <v>109</v>
      </c>
      <c r="M11">
        <v>9.0399999999999991</v>
      </c>
      <c r="N11">
        <v>1241</v>
      </c>
      <c r="O11">
        <v>1326</v>
      </c>
      <c r="P11" t="s">
        <v>265</v>
      </c>
      <c r="Q11" t="s">
        <v>2792</v>
      </c>
      <c r="R11">
        <v>331</v>
      </c>
      <c r="S11">
        <v>9422570</v>
      </c>
      <c r="T11">
        <v>1326</v>
      </c>
      <c r="U11">
        <v>1338</v>
      </c>
      <c r="V11">
        <v>6000</v>
      </c>
      <c r="W11">
        <v>1</v>
      </c>
    </row>
    <row r="12" spans="1:23" x14ac:dyDescent="0.25">
      <c r="A12" t="s">
        <v>266</v>
      </c>
      <c r="B12" t="s">
        <v>2592</v>
      </c>
      <c r="C12">
        <v>0</v>
      </c>
      <c r="D12">
        <v>0</v>
      </c>
      <c r="E12">
        <v>0</v>
      </c>
      <c r="F12">
        <v>550</v>
      </c>
      <c r="G12">
        <v>0</v>
      </c>
      <c r="H12">
        <v>550</v>
      </c>
      <c r="I12">
        <v>0</v>
      </c>
      <c r="J12">
        <v>0</v>
      </c>
      <c r="K12">
        <v>550</v>
      </c>
      <c r="L12">
        <v>0</v>
      </c>
      <c r="M12">
        <v>0</v>
      </c>
      <c r="N12">
        <v>0</v>
      </c>
      <c r="O12">
        <v>0</v>
      </c>
      <c r="R12">
        <v>1</v>
      </c>
      <c r="S12">
        <v>1</v>
      </c>
      <c r="T12">
        <v>300</v>
      </c>
      <c r="U12">
        <v>0</v>
      </c>
      <c r="V12">
        <v>0</v>
      </c>
      <c r="W12">
        <v>0</v>
      </c>
    </row>
    <row r="13" spans="1:23" x14ac:dyDescent="0.25">
      <c r="A13" t="s">
        <v>267</v>
      </c>
      <c r="B13" t="s">
        <v>268</v>
      </c>
      <c r="C13">
        <v>33</v>
      </c>
      <c r="D13">
        <v>235</v>
      </c>
      <c r="E13">
        <v>95193184</v>
      </c>
      <c r="F13">
        <v>414413</v>
      </c>
      <c r="G13">
        <v>394005</v>
      </c>
      <c r="H13">
        <v>400000</v>
      </c>
      <c r="I13">
        <v>-14413</v>
      </c>
      <c r="J13">
        <v>-3.48</v>
      </c>
      <c r="K13">
        <v>405077</v>
      </c>
      <c r="L13">
        <v>-9336</v>
      </c>
      <c r="M13">
        <v>-2.25</v>
      </c>
      <c r="N13">
        <v>393693</v>
      </c>
      <c r="O13">
        <v>410000</v>
      </c>
      <c r="R13">
        <v>2</v>
      </c>
      <c r="S13">
        <v>17</v>
      </c>
      <c r="T13">
        <v>400000</v>
      </c>
      <c r="U13">
        <v>410000</v>
      </c>
      <c r="V13">
        <v>61</v>
      </c>
      <c r="W13">
        <v>4</v>
      </c>
    </row>
    <row r="14" spans="1:23" x14ac:dyDescent="0.25">
      <c r="A14" t="s">
        <v>269</v>
      </c>
      <c r="B14" t="s">
        <v>270</v>
      </c>
      <c r="C14">
        <v>105</v>
      </c>
      <c r="D14">
        <v>458153</v>
      </c>
      <c r="E14">
        <v>18947375468</v>
      </c>
      <c r="F14">
        <v>39387</v>
      </c>
      <c r="G14">
        <v>41356</v>
      </c>
      <c r="H14">
        <v>41356</v>
      </c>
      <c r="I14">
        <v>1969</v>
      </c>
      <c r="J14">
        <v>5</v>
      </c>
      <c r="K14">
        <v>41356</v>
      </c>
      <c r="L14">
        <v>1969</v>
      </c>
      <c r="M14">
        <v>5</v>
      </c>
      <c r="N14">
        <v>41356</v>
      </c>
      <c r="O14">
        <v>41356</v>
      </c>
      <c r="P14" t="s">
        <v>271</v>
      </c>
      <c r="Q14" t="s">
        <v>2640</v>
      </c>
      <c r="R14">
        <v>263</v>
      </c>
      <c r="S14">
        <v>582335</v>
      </c>
      <c r="T14">
        <v>41356</v>
      </c>
      <c r="U14">
        <v>75684</v>
      </c>
      <c r="V14">
        <v>3542</v>
      </c>
      <c r="W14">
        <v>1</v>
      </c>
    </row>
    <row r="15" spans="1:23" x14ac:dyDescent="0.25">
      <c r="A15" t="s">
        <v>273</v>
      </c>
      <c r="B15" t="s">
        <v>274</v>
      </c>
      <c r="C15">
        <v>35</v>
      </c>
      <c r="D15">
        <v>76969</v>
      </c>
      <c r="E15">
        <v>1639994466</v>
      </c>
      <c r="F15">
        <v>21685</v>
      </c>
      <c r="G15">
        <v>21685</v>
      </c>
      <c r="H15">
        <v>21100</v>
      </c>
      <c r="I15">
        <v>-585</v>
      </c>
      <c r="J15">
        <v>-2.7</v>
      </c>
      <c r="K15">
        <v>21307</v>
      </c>
      <c r="L15">
        <v>-378</v>
      </c>
      <c r="M15">
        <v>-1.74</v>
      </c>
      <c r="N15">
        <v>21021</v>
      </c>
      <c r="O15">
        <v>21800</v>
      </c>
      <c r="R15">
        <v>2</v>
      </c>
      <c r="S15">
        <v>1826</v>
      </c>
      <c r="T15">
        <v>21100</v>
      </c>
      <c r="U15">
        <v>21594</v>
      </c>
      <c r="V15">
        <v>174</v>
      </c>
      <c r="W15">
        <v>2</v>
      </c>
    </row>
    <row r="16" spans="1:23" x14ac:dyDescent="0.25">
      <c r="A16" t="s">
        <v>275</v>
      </c>
      <c r="B16" t="s">
        <v>276</v>
      </c>
      <c r="C16">
        <v>0</v>
      </c>
      <c r="D16">
        <v>0</v>
      </c>
      <c r="E16">
        <v>0</v>
      </c>
      <c r="F16">
        <v>1100</v>
      </c>
      <c r="G16">
        <v>0</v>
      </c>
      <c r="H16">
        <v>1100</v>
      </c>
      <c r="I16">
        <v>0</v>
      </c>
      <c r="J16">
        <v>0</v>
      </c>
      <c r="K16">
        <v>1100</v>
      </c>
      <c r="L16">
        <v>0</v>
      </c>
      <c r="M16">
        <v>0</v>
      </c>
      <c r="N16">
        <v>0</v>
      </c>
      <c r="O16">
        <v>0</v>
      </c>
      <c r="R16">
        <v>1</v>
      </c>
      <c r="S16">
        <v>10</v>
      </c>
      <c r="T16">
        <v>900</v>
      </c>
      <c r="U16">
        <v>1449</v>
      </c>
      <c r="V16">
        <v>100</v>
      </c>
      <c r="W16">
        <v>1</v>
      </c>
    </row>
    <row r="17" spans="1:23" x14ac:dyDescent="0.25">
      <c r="A17" t="s">
        <v>277</v>
      </c>
      <c r="B17" t="s">
        <v>278</v>
      </c>
      <c r="C17">
        <v>0</v>
      </c>
      <c r="D17">
        <v>0</v>
      </c>
      <c r="E17">
        <v>0</v>
      </c>
      <c r="F17">
        <v>868</v>
      </c>
      <c r="G17">
        <v>0</v>
      </c>
      <c r="H17">
        <v>868</v>
      </c>
      <c r="I17">
        <v>0</v>
      </c>
      <c r="J17">
        <v>0</v>
      </c>
      <c r="K17">
        <v>868</v>
      </c>
      <c r="L17">
        <v>0</v>
      </c>
      <c r="M17">
        <v>0</v>
      </c>
      <c r="N17">
        <v>0</v>
      </c>
      <c r="O17">
        <v>0</v>
      </c>
      <c r="R17">
        <v>1</v>
      </c>
      <c r="S17">
        <v>25</v>
      </c>
      <c r="T17">
        <v>601</v>
      </c>
      <c r="U17">
        <v>900</v>
      </c>
      <c r="V17">
        <v>100</v>
      </c>
      <c r="W17">
        <v>1</v>
      </c>
    </row>
    <row r="18" spans="1:23" x14ac:dyDescent="0.25">
      <c r="A18" t="s">
        <v>279</v>
      </c>
      <c r="B18" t="s">
        <v>280</v>
      </c>
      <c r="C18">
        <v>534</v>
      </c>
      <c r="D18">
        <v>2600931</v>
      </c>
      <c r="E18">
        <v>16951206859</v>
      </c>
      <c r="F18">
        <v>6303</v>
      </c>
      <c r="G18">
        <v>6607</v>
      </c>
      <c r="H18">
        <v>6350</v>
      </c>
      <c r="I18">
        <v>47</v>
      </c>
      <c r="J18">
        <v>0.75</v>
      </c>
      <c r="K18">
        <v>6517</v>
      </c>
      <c r="L18">
        <v>214</v>
      </c>
      <c r="M18">
        <v>3.4</v>
      </c>
      <c r="N18">
        <v>6333</v>
      </c>
      <c r="O18">
        <v>6615</v>
      </c>
      <c r="P18" t="s">
        <v>281</v>
      </c>
      <c r="Q18" t="s">
        <v>2726</v>
      </c>
      <c r="R18">
        <v>1</v>
      </c>
      <c r="S18">
        <v>330</v>
      </c>
      <c r="T18">
        <v>6350</v>
      </c>
      <c r="U18">
        <v>6380</v>
      </c>
      <c r="V18">
        <v>1500</v>
      </c>
      <c r="W18">
        <v>1</v>
      </c>
    </row>
    <row r="19" spans="1:23" x14ac:dyDescent="0.25">
      <c r="A19" t="s">
        <v>283</v>
      </c>
      <c r="B19" t="s">
        <v>284</v>
      </c>
      <c r="C19">
        <v>0</v>
      </c>
      <c r="D19">
        <v>0</v>
      </c>
      <c r="E19">
        <v>0</v>
      </c>
      <c r="F19">
        <v>945000</v>
      </c>
      <c r="G19">
        <v>0</v>
      </c>
      <c r="H19">
        <v>945000</v>
      </c>
      <c r="I19">
        <v>0</v>
      </c>
      <c r="J19">
        <v>0</v>
      </c>
      <c r="K19">
        <v>945000</v>
      </c>
      <c r="L19">
        <v>0</v>
      </c>
      <c r="M19">
        <v>0</v>
      </c>
      <c r="N19">
        <v>0</v>
      </c>
      <c r="O19">
        <v>0</v>
      </c>
      <c r="R19">
        <v>1</v>
      </c>
      <c r="S19">
        <v>1250</v>
      </c>
      <c r="T19">
        <v>950000</v>
      </c>
      <c r="U19">
        <v>0</v>
      </c>
      <c r="V19">
        <v>0</v>
      </c>
      <c r="W19">
        <v>0</v>
      </c>
    </row>
    <row r="20" spans="1:23" x14ac:dyDescent="0.25">
      <c r="A20" t="s">
        <v>285</v>
      </c>
      <c r="B20" t="s">
        <v>286</v>
      </c>
      <c r="C20">
        <v>0</v>
      </c>
      <c r="D20">
        <v>0</v>
      </c>
      <c r="E20">
        <v>0</v>
      </c>
      <c r="F20">
        <v>6124</v>
      </c>
      <c r="G20">
        <v>0</v>
      </c>
      <c r="H20">
        <v>6400</v>
      </c>
      <c r="I20">
        <v>276</v>
      </c>
      <c r="J20">
        <v>4.51</v>
      </c>
      <c r="K20">
        <v>6124</v>
      </c>
      <c r="L20">
        <v>0</v>
      </c>
      <c r="M20">
        <v>0</v>
      </c>
      <c r="N20">
        <v>0</v>
      </c>
      <c r="O20">
        <v>0</v>
      </c>
      <c r="P20" t="s">
        <v>287</v>
      </c>
      <c r="Q20" t="s">
        <v>2594</v>
      </c>
      <c r="R20">
        <v>1</v>
      </c>
      <c r="S20">
        <v>200</v>
      </c>
      <c r="T20">
        <v>6000</v>
      </c>
      <c r="U20">
        <v>7000</v>
      </c>
      <c r="V20">
        <v>3000</v>
      </c>
      <c r="W20">
        <v>1</v>
      </c>
    </row>
    <row r="21" spans="1:23" x14ac:dyDescent="0.25">
      <c r="A21" t="s">
        <v>288</v>
      </c>
      <c r="B21" t="s">
        <v>289</v>
      </c>
      <c r="C21">
        <v>1090</v>
      </c>
      <c r="D21">
        <v>7991240</v>
      </c>
      <c r="E21">
        <v>28400397480</v>
      </c>
      <c r="F21">
        <v>3480</v>
      </c>
      <c r="G21">
        <v>3550</v>
      </c>
      <c r="H21">
        <v>3625</v>
      </c>
      <c r="I21">
        <v>145</v>
      </c>
      <c r="J21">
        <v>4.17</v>
      </c>
      <c r="K21">
        <v>3554</v>
      </c>
      <c r="L21">
        <v>74</v>
      </c>
      <c r="M21">
        <v>2.13</v>
      </c>
      <c r="N21">
        <v>3400</v>
      </c>
      <c r="O21">
        <v>3681</v>
      </c>
      <c r="P21" t="s">
        <v>290</v>
      </c>
      <c r="Q21" t="s">
        <v>2793</v>
      </c>
      <c r="R21">
        <v>1</v>
      </c>
      <c r="S21">
        <v>1200</v>
      </c>
      <c r="T21">
        <v>3638</v>
      </c>
      <c r="U21">
        <v>3639</v>
      </c>
      <c r="V21">
        <v>67769</v>
      </c>
      <c r="W21">
        <v>3</v>
      </c>
    </row>
    <row r="22" spans="1:23" x14ac:dyDescent="0.25">
      <c r="A22" t="s">
        <v>291</v>
      </c>
      <c r="B22" t="s">
        <v>292</v>
      </c>
      <c r="C22">
        <v>0</v>
      </c>
      <c r="D22">
        <v>0</v>
      </c>
      <c r="E22">
        <v>0</v>
      </c>
      <c r="F22">
        <v>1000010</v>
      </c>
      <c r="G22">
        <v>0</v>
      </c>
      <c r="H22">
        <v>1000010</v>
      </c>
      <c r="I22">
        <v>0</v>
      </c>
      <c r="J22">
        <v>0</v>
      </c>
      <c r="K22">
        <v>1000010</v>
      </c>
      <c r="L22">
        <v>0</v>
      </c>
      <c r="M22">
        <v>0</v>
      </c>
      <c r="N22">
        <v>0</v>
      </c>
      <c r="O22">
        <v>0</v>
      </c>
      <c r="R22">
        <v>1</v>
      </c>
      <c r="S22">
        <v>1000</v>
      </c>
      <c r="T22">
        <v>1000010</v>
      </c>
      <c r="U22">
        <v>1020000</v>
      </c>
      <c r="V22">
        <v>3750</v>
      </c>
      <c r="W22">
        <v>1</v>
      </c>
    </row>
    <row r="23" spans="1:23" x14ac:dyDescent="0.25">
      <c r="A23" t="s">
        <v>293</v>
      </c>
      <c r="B23" t="s">
        <v>294</v>
      </c>
      <c r="C23">
        <v>334</v>
      </c>
      <c r="D23">
        <v>977995</v>
      </c>
      <c r="E23">
        <v>15088551843</v>
      </c>
      <c r="F23">
        <v>14695</v>
      </c>
      <c r="G23">
        <v>15429</v>
      </c>
      <c r="H23">
        <v>15429</v>
      </c>
      <c r="I23">
        <v>734</v>
      </c>
      <c r="J23">
        <v>4.99</v>
      </c>
      <c r="K23">
        <v>15428</v>
      </c>
      <c r="L23">
        <v>733</v>
      </c>
      <c r="M23">
        <v>4.99</v>
      </c>
      <c r="N23">
        <v>15025</v>
      </c>
      <c r="O23">
        <v>15429</v>
      </c>
      <c r="P23" t="s">
        <v>295</v>
      </c>
      <c r="Q23" t="s">
        <v>2794</v>
      </c>
      <c r="R23">
        <v>1</v>
      </c>
      <c r="S23">
        <v>500</v>
      </c>
      <c r="T23">
        <v>15427</v>
      </c>
      <c r="U23">
        <v>15429</v>
      </c>
      <c r="V23">
        <v>24801</v>
      </c>
      <c r="W23">
        <v>2</v>
      </c>
    </row>
    <row r="24" spans="1:23" x14ac:dyDescent="0.25">
      <c r="A24" t="s">
        <v>296</v>
      </c>
      <c r="B24" t="s">
        <v>297</v>
      </c>
      <c r="C24">
        <v>0</v>
      </c>
      <c r="D24">
        <v>0</v>
      </c>
      <c r="E24">
        <v>0</v>
      </c>
      <c r="F24">
        <v>247</v>
      </c>
      <c r="G24">
        <v>0</v>
      </c>
      <c r="H24">
        <v>250</v>
      </c>
      <c r="I24">
        <v>3</v>
      </c>
      <c r="J24">
        <v>1.21</v>
      </c>
      <c r="K24">
        <v>247</v>
      </c>
      <c r="L24">
        <v>0</v>
      </c>
      <c r="M24">
        <v>0</v>
      </c>
      <c r="N24">
        <v>0</v>
      </c>
      <c r="O24">
        <v>0</v>
      </c>
      <c r="R24">
        <v>0</v>
      </c>
      <c r="S24">
        <v>0</v>
      </c>
      <c r="T24">
        <v>0</v>
      </c>
      <c r="U24">
        <v>300</v>
      </c>
      <c r="V24">
        <v>50</v>
      </c>
      <c r="W24">
        <v>1</v>
      </c>
    </row>
    <row r="25" spans="1:23" x14ac:dyDescent="0.25">
      <c r="A25" t="s">
        <v>298</v>
      </c>
      <c r="B25" t="s">
        <v>299</v>
      </c>
      <c r="C25">
        <v>0</v>
      </c>
      <c r="D25">
        <v>0</v>
      </c>
      <c r="E25">
        <v>0</v>
      </c>
      <c r="F25">
        <v>1067040</v>
      </c>
      <c r="G25">
        <v>0</v>
      </c>
      <c r="H25">
        <v>1067040</v>
      </c>
      <c r="I25">
        <v>0</v>
      </c>
      <c r="J25">
        <v>0</v>
      </c>
      <c r="K25">
        <v>1067040</v>
      </c>
      <c r="L25">
        <v>0</v>
      </c>
      <c r="M25">
        <v>0</v>
      </c>
      <c r="N25">
        <v>0</v>
      </c>
      <c r="O25">
        <v>0</v>
      </c>
      <c r="R25">
        <v>1</v>
      </c>
      <c r="S25">
        <v>9000</v>
      </c>
      <c r="T25">
        <v>960000</v>
      </c>
      <c r="U25">
        <v>1067040</v>
      </c>
      <c r="V25">
        <v>13</v>
      </c>
      <c r="W25">
        <v>1</v>
      </c>
    </row>
    <row r="26" spans="1:23" x14ac:dyDescent="0.25">
      <c r="A26" t="s">
        <v>300</v>
      </c>
      <c r="B26" t="s">
        <v>301</v>
      </c>
      <c r="C26">
        <v>0</v>
      </c>
      <c r="D26">
        <v>0</v>
      </c>
      <c r="E26">
        <v>0</v>
      </c>
      <c r="F26">
        <v>1</v>
      </c>
      <c r="G26">
        <v>0</v>
      </c>
      <c r="H26">
        <v>1</v>
      </c>
      <c r="I26">
        <v>0</v>
      </c>
      <c r="J26">
        <v>0</v>
      </c>
      <c r="K26">
        <v>1</v>
      </c>
      <c r="L26">
        <v>0</v>
      </c>
      <c r="M26">
        <v>0</v>
      </c>
      <c r="N26">
        <v>0</v>
      </c>
      <c r="O26">
        <v>0</v>
      </c>
      <c r="R26">
        <v>1</v>
      </c>
      <c r="S26">
        <v>45</v>
      </c>
      <c r="T26">
        <v>200</v>
      </c>
      <c r="U26">
        <v>0</v>
      </c>
      <c r="V26">
        <v>0</v>
      </c>
      <c r="W26">
        <v>0</v>
      </c>
    </row>
    <row r="27" spans="1:23" x14ac:dyDescent="0.25">
      <c r="A27" t="s">
        <v>2795</v>
      </c>
      <c r="B27" t="s">
        <v>2796</v>
      </c>
      <c r="C27">
        <v>0</v>
      </c>
      <c r="D27">
        <v>0</v>
      </c>
      <c r="E27">
        <v>0</v>
      </c>
      <c r="F27">
        <v>198955</v>
      </c>
      <c r="G27">
        <v>0</v>
      </c>
      <c r="H27">
        <v>198955</v>
      </c>
      <c r="I27">
        <v>0</v>
      </c>
      <c r="J27">
        <v>0</v>
      </c>
      <c r="K27">
        <v>198955</v>
      </c>
      <c r="L27">
        <v>0</v>
      </c>
      <c r="M27">
        <v>0</v>
      </c>
      <c r="N27">
        <v>0</v>
      </c>
      <c r="O27">
        <v>0</v>
      </c>
      <c r="R27">
        <v>1</v>
      </c>
      <c r="S27">
        <v>6</v>
      </c>
      <c r="T27">
        <v>189008</v>
      </c>
      <c r="U27">
        <v>0</v>
      </c>
      <c r="V27">
        <v>0</v>
      </c>
      <c r="W27">
        <v>0</v>
      </c>
    </row>
    <row r="28" spans="1:23" x14ac:dyDescent="0.25">
      <c r="A28" t="s">
        <v>302</v>
      </c>
      <c r="B28" t="s">
        <v>303</v>
      </c>
      <c r="C28">
        <v>461</v>
      </c>
      <c r="D28">
        <v>777731</v>
      </c>
      <c r="E28">
        <v>10644837128</v>
      </c>
      <c r="F28">
        <v>14326</v>
      </c>
      <c r="G28">
        <v>14598</v>
      </c>
      <c r="H28">
        <v>13850</v>
      </c>
      <c r="I28">
        <v>-476</v>
      </c>
      <c r="J28">
        <v>-3.32</v>
      </c>
      <c r="K28">
        <v>13687</v>
      </c>
      <c r="L28">
        <v>-639</v>
      </c>
      <c r="M28">
        <v>-4.46</v>
      </c>
      <c r="N28">
        <v>13610</v>
      </c>
      <c r="O28">
        <v>14598</v>
      </c>
      <c r="P28" t="s">
        <v>304</v>
      </c>
      <c r="Q28" t="s">
        <v>2797</v>
      </c>
      <c r="R28">
        <v>1</v>
      </c>
      <c r="S28">
        <v>1647</v>
      </c>
      <c r="T28">
        <v>13850</v>
      </c>
      <c r="U28">
        <v>13949</v>
      </c>
      <c r="V28">
        <v>200</v>
      </c>
      <c r="W28">
        <v>1</v>
      </c>
    </row>
    <row r="29" spans="1:23" x14ac:dyDescent="0.25">
      <c r="A29" t="s">
        <v>305</v>
      </c>
      <c r="B29" t="s">
        <v>1148</v>
      </c>
      <c r="C29">
        <v>0</v>
      </c>
      <c r="D29">
        <v>0</v>
      </c>
      <c r="E29">
        <v>0</v>
      </c>
      <c r="F29">
        <v>1</v>
      </c>
      <c r="G29">
        <v>0</v>
      </c>
      <c r="H29">
        <v>1</v>
      </c>
      <c r="I29">
        <v>0</v>
      </c>
      <c r="J29">
        <v>0</v>
      </c>
      <c r="K29">
        <v>1</v>
      </c>
      <c r="L29">
        <v>0</v>
      </c>
      <c r="M29">
        <v>0</v>
      </c>
      <c r="N29">
        <v>0</v>
      </c>
      <c r="O29">
        <v>0</v>
      </c>
      <c r="R29">
        <v>1</v>
      </c>
      <c r="S29">
        <v>100</v>
      </c>
      <c r="T29">
        <v>16</v>
      </c>
      <c r="U29">
        <v>0</v>
      </c>
      <c r="V29">
        <v>0</v>
      </c>
      <c r="W29">
        <v>0</v>
      </c>
    </row>
    <row r="30" spans="1:23" x14ac:dyDescent="0.25">
      <c r="A30" t="s">
        <v>307</v>
      </c>
      <c r="B30" t="s">
        <v>308</v>
      </c>
      <c r="C30">
        <v>1</v>
      </c>
      <c r="D30">
        <v>24</v>
      </c>
      <c r="E30">
        <v>22776000</v>
      </c>
      <c r="F30">
        <v>958500</v>
      </c>
      <c r="G30">
        <v>949000</v>
      </c>
      <c r="H30">
        <v>949000</v>
      </c>
      <c r="I30">
        <v>-9500</v>
      </c>
      <c r="J30">
        <v>-0.99</v>
      </c>
      <c r="K30">
        <v>949000</v>
      </c>
      <c r="L30">
        <v>-9500</v>
      </c>
      <c r="M30">
        <v>-0.99</v>
      </c>
      <c r="N30">
        <v>949000</v>
      </c>
      <c r="O30">
        <v>949000</v>
      </c>
      <c r="R30">
        <v>1</v>
      </c>
      <c r="S30">
        <v>2976</v>
      </c>
      <c r="T30">
        <v>949000</v>
      </c>
      <c r="U30">
        <v>958500</v>
      </c>
      <c r="V30">
        <v>3000</v>
      </c>
      <c r="W30">
        <v>1</v>
      </c>
    </row>
    <row r="31" spans="1:23" x14ac:dyDescent="0.25">
      <c r="A31" t="s">
        <v>309</v>
      </c>
      <c r="B31" t="s">
        <v>310</v>
      </c>
      <c r="C31">
        <v>0</v>
      </c>
      <c r="D31">
        <v>0</v>
      </c>
      <c r="E31">
        <v>0</v>
      </c>
      <c r="F31">
        <v>203421</v>
      </c>
      <c r="G31">
        <v>0</v>
      </c>
      <c r="H31">
        <v>203421</v>
      </c>
      <c r="I31">
        <v>0</v>
      </c>
      <c r="J31">
        <v>0</v>
      </c>
      <c r="K31">
        <v>203421</v>
      </c>
      <c r="L31">
        <v>0</v>
      </c>
      <c r="M31">
        <v>0</v>
      </c>
      <c r="N31">
        <v>0</v>
      </c>
      <c r="O31">
        <v>0</v>
      </c>
      <c r="R31">
        <v>1</v>
      </c>
      <c r="S31">
        <v>6</v>
      </c>
      <c r="T31">
        <v>193250</v>
      </c>
      <c r="U31">
        <v>214127</v>
      </c>
      <c r="V31">
        <v>52</v>
      </c>
      <c r="W31">
        <v>1</v>
      </c>
    </row>
    <row r="32" spans="1:23" x14ac:dyDescent="0.25">
      <c r="A32" t="s">
        <v>311</v>
      </c>
      <c r="B32" t="s">
        <v>312</v>
      </c>
      <c r="C32">
        <v>0</v>
      </c>
      <c r="D32">
        <v>0</v>
      </c>
      <c r="E32">
        <v>0</v>
      </c>
      <c r="F32">
        <v>1000000</v>
      </c>
      <c r="G32">
        <v>0</v>
      </c>
      <c r="H32">
        <v>1000000</v>
      </c>
      <c r="I32">
        <v>0</v>
      </c>
      <c r="J32">
        <v>0</v>
      </c>
      <c r="K32">
        <v>1000000</v>
      </c>
      <c r="L32">
        <v>0</v>
      </c>
      <c r="M32">
        <v>0</v>
      </c>
      <c r="N32">
        <v>0</v>
      </c>
      <c r="O32">
        <v>0</v>
      </c>
      <c r="R32">
        <v>1</v>
      </c>
      <c r="S32">
        <v>1399</v>
      </c>
      <c r="T32">
        <v>980392</v>
      </c>
      <c r="U32">
        <v>1000000</v>
      </c>
      <c r="V32">
        <v>1399</v>
      </c>
      <c r="W32">
        <v>1</v>
      </c>
    </row>
    <row r="33" spans="1:23" x14ac:dyDescent="0.25">
      <c r="A33" t="s">
        <v>313</v>
      </c>
      <c r="B33" t="s">
        <v>314</v>
      </c>
      <c r="C33">
        <v>226</v>
      </c>
      <c r="D33">
        <v>1683</v>
      </c>
      <c r="E33">
        <v>701489538</v>
      </c>
      <c r="F33">
        <v>426420</v>
      </c>
      <c r="G33">
        <v>405222</v>
      </c>
      <c r="H33">
        <v>410000</v>
      </c>
      <c r="I33">
        <v>-16420</v>
      </c>
      <c r="J33">
        <v>-3.85</v>
      </c>
      <c r="K33">
        <v>416809</v>
      </c>
      <c r="L33">
        <v>-9611</v>
      </c>
      <c r="M33">
        <v>-2.25</v>
      </c>
      <c r="N33">
        <v>405222</v>
      </c>
      <c r="O33">
        <v>435000</v>
      </c>
      <c r="R33">
        <v>1</v>
      </c>
      <c r="S33">
        <v>37</v>
      </c>
      <c r="T33">
        <v>407122</v>
      </c>
      <c r="U33">
        <v>410000</v>
      </c>
      <c r="V33">
        <v>1</v>
      </c>
      <c r="W33">
        <v>1</v>
      </c>
    </row>
    <row r="34" spans="1:23" x14ac:dyDescent="0.25">
      <c r="A34" t="s">
        <v>315</v>
      </c>
      <c r="B34" t="s">
        <v>316</v>
      </c>
      <c r="C34">
        <v>76</v>
      </c>
      <c r="D34">
        <v>105425</v>
      </c>
      <c r="E34">
        <v>1471143278</v>
      </c>
      <c r="F34">
        <v>14220</v>
      </c>
      <c r="G34">
        <v>14301</v>
      </c>
      <c r="H34">
        <v>14399</v>
      </c>
      <c r="I34">
        <v>179</v>
      </c>
      <c r="J34">
        <v>1.26</v>
      </c>
      <c r="K34">
        <v>13954</v>
      </c>
      <c r="L34">
        <v>-266</v>
      </c>
      <c r="M34">
        <v>-1.87</v>
      </c>
      <c r="N34">
        <v>13909</v>
      </c>
      <c r="O34">
        <v>14750</v>
      </c>
      <c r="R34">
        <v>1</v>
      </c>
      <c r="S34">
        <v>1000</v>
      </c>
      <c r="T34">
        <v>13921</v>
      </c>
      <c r="U34">
        <v>14396</v>
      </c>
      <c r="V34">
        <v>100</v>
      </c>
      <c r="W34">
        <v>1</v>
      </c>
    </row>
    <row r="35" spans="1:23" x14ac:dyDescent="0.25">
      <c r="A35" t="s">
        <v>317</v>
      </c>
      <c r="B35" t="s">
        <v>318</v>
      </c>
      <c r="C35">
        <v>50</v>
      </c>
      <c r="D35">
        <v>395130</v>
      </c>
      <c r="E35">
        <v>1431596914</v>
      </c>
      <c r="F35">
        <v>3452</v>
      </c>
      <c r="G35">
        <v>3624</v>
      </c>
      <c r="H35">
        <v>3624</v>
      </c>
      <c r="I35">
        <v>172</v>
      </c>
      <c r="J35">
        <v>4.9800000000000004</v>
      </c>
      <c r="K35">
        <v>3623</v>
      </c>
      <c r="L35">
        <v>171</v>
      </c>
      <c r="M35">
        <v>4.95</v>
      </c>
      <c r="N35">
        <v>3600</v>
      </c>
      <c r="O35">
        <v>3624</v>
      </c>
      <c r="R35">
        <v>18</v>
      </c>
      <c r="S35">
        <v>452892</v>
      </c>
      <c r="T35">
        <v>3624</v>
      </c>
      <c r="U35">
        <v>0</v>
      </c>
      <c r="V35">
        <v>0</v>
      </c>
      <c r="W35">
        <v>0</v>
      </c>
    </row>
    <row r="36" spans="1:23" x14ac:dyDescent="0.25">
      <c r="A36" t="s">
        <v>319</v>
      </c>
      <c r="B36" t="s">
        <v>320</v>
      </c>
      <c r="C36">
        <v>0</v>
      </c>
      <c r="D36">
        <v>0</v>
      </c>
      <c r="E36">
        <v>0</v>
      </c>
      <c r="F36">
        <v>168000</v>
      </c>
      <c r="G36">
        <v>0</v>
      </c>
      <c r="H36">
        <v>168000</v>
      </c>
      <c r="I36">
        <v>0</v>
      </c>
      <c r="J36">
        <v>0</v>
      </c>
      <c r="K36">
        <v>168000</v>
      </c>
      <c r="L36">
        <v>0</v>
      </c>
      <c r="M36">
        <v>0</v>
      </c>
      <c r="N36">
        <v>0</v>
      </c>
      <c r="O36">
        <v>0</v>
      </c>
      <c r="R36">
        <v>1</v>
      </c>
      <c r="S36">
        <v>6</v>
      </c>
      <c r="T36">
        <v>176400</v>
      </c>
      <c r="U36">
        <v>228000</v>
      </c>
      <c r="V36">
        <v>67</v>
      </c>
      <c r="W36">
        <v>1</v>
      </c>
    </row>
    <row r="37" spans="1:23" x14ac:dyDescent="0.25">
      <c r="A37" t="s">
        <v>321</v>
      </c>
      <c r="B37" t="s">
        <v>322</v>
      </c>
      <c r="C37">
        <v>168</v>
      </c>
      <c r="D37">
        <v>99357</v>
      </c>
      <c r="E37">
        <v>4282800178</v>
      </c>
      <c r="F37">
        <v>41054</v>
      </c>
      <c r="G37">
        <v>43106</v>
      </c>
      <c r="H37">
        <v>43106</v>
      </c>
      <c r="I37">
        <v>2052</v>
      </c>
      <c r="J37">
        <v>5</v>
      </c>
      <c r="K37">
        <v>43105</v>
      </c>
      <c r="L37">
        <v>2051</v>
      </c>
      <c r="M37">
        <v>5</v>
      </c>
      <c r="N37">
        <v>43102</v>
      </c>
      <c r="O37">
        <v>43106</v>
      </c>
      <c r="P37" t="s">
        <v>323</v>
      </c>
      <c r="Q37" t="s">
        <v>2798</v>
      </c>
      <c r="R37">
        <v>25</v>
      </c>
      <c r="S37">
        <v>17845</v>
      </c>
      <c r="T37">
        <v>43106</v>
      </c>
      <c r="U37">
        <v>44320</v>
      </c>
      <c r="V37">
        <v>49</v>
      </c>
      <c r="W37">
        <v>1</v>
      </c>
    </row>
    <row r="38" spans="1:23" x14ac:dyDescent="0.25">
      <c r="A38" t="s">
        <v>324</v>
      </c>
      <c r="B38" t="s">
        <v>325</v>
      </c>
      <c r="C38">
        <v>308</v>
      </c>
      <c r="D38">
        <v>3461370</v>
      </c>
      <c r="E38">
        <v>10054855229</v>
      </c>
      <c r="F38">
        <v>2883</v>
      </c>
      <c r="G38">
        <v>2899</v>
      </c>
      <c r="H38">
        <v>2901</v>
      </c>
      <c r="I38">
        <v>18</v>
      </c>
      <c r="J38">
        <v>0.62</v>
      </c>
      <c r="K38">
        <v>2905</v>
      </c>
      <c r="L38">
        <v>22</v>
      </c>
      <c r="M38">
        <v>0.76</v>
      </c>
      <c r="N38">
        <v>2880</v>
      </c>
      <c r="O38">
        <v>2919</v>
      </c>
      <c r="P38" t="s">
        <v>326</v>
      </c>
      <c r="Q38" t="s">
        <v>2799</v>
      </c>
      <c r="R38">
        <v>5</v>
      </c>
      <c r="S38">
        <v>230877</v>
      </c>
      <c r="T38">
        <v>2900</v>
      </c>
      <c r="U38">
        <v>2901</v>
      </c>
      <c r="V38">
        <v>9867</v>
      </c>
      <c r="W38">
        <v>1</v>
      </c>
    </row>
    <row r="39" spans="1:23" x14ac:dyDescent="0.25">
      <c r="A39" t="s">
        <v>327</v>
      </c>
      <c r="B39" t="s">
        <v>328</v>
      </c>
      <c r="C39">
        <v>93</v>
      </c>
      <c r="D39">
        <v>133483</v>
      </c>
      <c r="E39">
        <v>8767563889</v>
      </c>
      <c r="F39">
        <v>62556</v>
      </c>
      <c r="G39">
        <v>65683</v>
      </c>
      <c r="H39">
        <v>65683</v>
      </c>
      <c r="I39">
        <v>3127</v>
      </c>
      <c r="J39">
        <v>5</v>
      </c>
      <c r="K39">
        <v>65683</v>
      </c>
      <c r="L39">
        <v>3127</v>
      </c>
      <c r="M39">
        <v>5</v>
      </c>
      <c r="N39">
        <v>65683</v>
      </c>
      <c r="O39">
        <v>65683</v>
      </c>
      <c r="P39" t="s">
        <v>2105</v>
      </c>
      <c r="Q39" t="s">
        <v>2800</v>
      </c>
      <c r="R39">
        <v>32</v>
      </c>
      <c r="S39">
        <v>214623</v>
      </c>
      <c r="T39">
        <v>65683</v>
      </c>
      <c r="U39">
        <v>0</v>
      </c>
      <c r="V39">
        <v>0</v>
      </c>
      <c r="W39">
        <v>0</v>
      </c>
    </row>
    <row r="40" spans="1:23" x14ac:dyDescent="0.25">
      <c r="A40" t="s">
        <v>329</v>
      </c>
      <c r="B40" t="s">
        <v>330</v>
      </c>
      <c r="C40">
        <v>3506</v>
      </c>
      <c r="D40">
        <v>84950134</v>
      </c>
      <c r="E40">
        <v>122617740199</v>
      </c>
      <c r="F40">
        <v>1387</v>
      </c>
      <c r="G40">
        <v>1392</v>
      </c>
      <c r="H40">
        <v>1440</v>
      </c>
      <c r="I40">
        <v>53</v>
      </c>
      <c r="J40">
        <v>3.82</v>
      </c>
      <c r="K40">
        <v>1443</v>
      </c>
      <c r="L40">
        <v>56</v>
      </c>
      <c r="M40">
        <v>4.04</v>
      </c>
      <c r="N40">
        <v>1375</v>
      </c>
      <c r="O40">
        <v>1456</v>
      </c>
      <c r="P40" t="s">
        <v>331</v>
      </c>
      <c r="Q40" t="s">
        <v>2801</v>
      </c>
      <c r="R40">
        <v>3</v>
      </c>
      <c r="S40">
        <v>44508</v>
      </c>
      <c r="T40">
        <v>1436</v>
      </c>
      <c r="U40">
        <v>1440</v>
      </c>
      <c r="V40">
        <v>46860</v>
      </c>
      <c r="W40">
        <v>4</v>
      </c>
    </row>
    <row r="41" spans="1:23" x14ac:dyDescent="0.25">
      <c r="A41" t="s">
        <v>332</v>
      </c>
      <c r="B41" t="s">
        <v>333</v>
      </c>
      <c r="C41">
        <v>0</v>
      </c>
      <c r="D41">
        <v>0</v>
      </c>
      <c r="E41">
        <v>0</v>
      </c>
      <c r="F41">
        <v>1000000</v>
      </c>
      <c r="G41">
        <v>0</v>
      </c>
      <c r="H41">
        <v>1000000</v>
      </c>
      <c r="I41">
        <v>0</v>
      </c>
      <c r="J41">
        <v>0</v>
      </c>
      <c r="K41">
        <v>1000000</v>
      </c>
      <c r="L41">
        <v>0</v>
      </c>
      <c r="M41">
        <v>0</v>
      </c>
      <c r="N41">
        <v>0</v>
      </c>
      <c r="O41">
        <v>0</v>
      </c>
      <c r="R41">
        <v>1</v>
      </c>
      <c r="S41">
        <v>3750</v>
      </c>
      <c r="T41">
        <v>990000</v>
      </c>
      <c r="U41">
        <v>0</v>
      </c>
      <c r="V41">
        <v>0</v>
      </c>
      <c r="W41">
        <v>0</v>
      </c>
    </row>
    <row r="42" spans="1:23" x14ac:dyDescent="0.25">
      <c r="A42" t="s">
        <v>334</v>
      </c>
      <c r="B42" t="s">
        <v>335</v>
      </c>
      <c r="C42">
        <v>2</v>
      </c>
      <c r="D42">
        <v>11100</v>
      </c>
      <c r="E42">
        <v>10985880000</v>
      </c>
      <c r="F42">
        <v>986000</v>
      </c>
      <c r="G42">
        <v>989700</v>
      </c>
      <c r="H42">
        <v>990000</v>
      </c>
      <c r="I42">
        <v>4000</v>
      </c>
      <c r="J42">
        <v>0.41</v>
      </c>
      <c r="K42">
        <v>989719</v>
      </c>
      <c r="L42">
        <v>3719</v>
      </c>
      <c r="M42">
        <v>0.38</v>
      </c>
      <c r="N42">
        <v>989700</v>
      </c>
      <c r="O42">
        <v>990000</v>
      </c>
      <c r="R42">
        <v>1</v>
      </c>
      <c r="S42">
        <v>700</v>
      </c>
      <c r="T42">
        <v>986000</v>
      </c>
      <c r="U42">
        <v>995000</v>
      </c>
      <c r="V42">
        <v>700</v>
      </c>
      <c r="W42">
        <v>1</v>
      </c>
    </row>
    <row r="43" spans="1:23" x14ac:dyDescent="0.25">
      <c r="A43" t="s">
        <v>336</v>
      </c>
      <c r="B43" t="s">
        <v>2595</v>
      </c>
      <c r="C43">
        <v>8</v>
      </c>
      <c r="D43">
        <v>425</v>
      </c>
      <c r="E43">
        <v>55925000</v>
      </c>
      <c r="F43">
        <v>110</v>
      </c>
      <c r="G43">
        <v>133</v>
      </c>
      <c r="H43">
        <v>130</v>
      </c>
      <c r="I43">
        <v>20</v>
      </c>
      <c r="J43">
        <v>18.18</v>
      </c>
      <c r="K43">
        <v>132</v>
      </c>
      <c r="L43">
        <v>22</v>
      </c>
      <c r="M43">
        <v>20</v>
      </c>
      <c r="N43">
        <v>130</v>
      </c>
      <c r="O43">
        <v>133</v>
      </c>
      <c r="R43">
        <v>1</v>
      </c>
      <c r="S43">
        <v>100</v>
      </c>
      <c r="T43">
        <v>90</v>
      </c>
      <c r="U43">
        <v>130</v>
      </c>
      <c r="V43">
        <v>250</v>
      </c>
      <c r="W43">
        <v>4</v>
      </c>
    </row>
    <row r="44" spans="1:23" x14ac:dyDescent="0.25">
      <c r="A44" t="s">
        <v>337</v>
      </c>
      <c r="B44" t="s">
        <v>338</v>
      </c>
      <c r="C44">
        <v>1</v>
      </c>
      <c r="D44">
        <v>300</v>
      </c>
      <c r="E44">
        <v>294000000</v>
      </c>
      <c r="F44">
        <v>952000</v>
      </c>
      <c r="G44">
        <v>980000</v>
      </c>
      <c r="H44">
        <v>980000</v>
      </c>
      <c r="I44">
        <v>28000</v>
      </c>
      <c r="J44">
        <v>2.94</v>
      </c>
      <c r="K44">
        <v>980000</v>
      </c>
      <c r="L44">
        <v>28000</v>
      </c>
      <c r="M44">
        <v>2.94</v>
      </c>
      <c r="N44">
        <v>980000</v>
      </c>
      <c r="O44">
        <v>980000</v>
      </c>
      <c r="R44">
        <v>1</v>
      </c>
      <c r="S44">
        <v>1695</v>
      </c>
      <c r="T44">
        <v>952000</v>
      </c>
      <c r="U44">
        <v>999997</v>
      </c>
      <c r="V44">
        <v>4708</v>
      </c>
      <c r="W44">
        <v>1</v>
      </c>
    </row>
    <row r="45" spans="1:23" x14ac:dyDescent="0.25">
      <c r="A45" t="s">
        <v>339</v>
      </c>
      <c r="B45" t="s">
        <v>340</v>
      </c>
      <c r="C45">
        <v>834</v>
      </c>
      <c r="D45">
        <v>5286698</v>
      </c>
      <c r="E45">
        <v>24652396590</v>
      </c>
      <c r="F45">
        <v>4486</v>
      </c>
      <c r="G45">
        <v>4710</v>
      </c>
      <c r="H45">
        <v>4531</v>
      </c>
      <c r="I45">
        <v>45</v>
      </c>
      <c r="J45">
        <v>1</v>
      </c>
      <c r="K45">
        <v>4663</v>
      </c>
      <c r="L45">
        <v>177</v>
      </c>
      <c r="M45">
        <v>3.95</v>
      </c>
      <c r="N45">
        <v>4500</v>
      </c>
      <c r="O45">
        <v>4710</v>
      </c>
      <c r="P45" t="s">
        <v>341</v>
      </c>
      <c r="Q45" t="s">
        <v>2691</v>
      </c>
      <c r="R45">
        <v>3</v>
      </c>
      <c r="S45">
        <v>2090</v>
      </c>
      <c r="T45">
        <v>4520</v>
      </c>
      <c r="U45">
        <v>4530</v>
      </c>
      <c r="V45">
        <v>1467</v>
      </c>
      <c r="W45">
        <v>1</v>
      </c>
    </row>
    <row r="46" spans="1:23" x14ac:dyDescent="0.25">
      <c r="A46" t="s">
        <v>343</v>
      </c>
      <c r="B46" t="s">
        <v>344</v>
      </c>
      <c r="C46">
        <v>625</v>
      </c>
      <c r="D46">
        <v>5185760</v>
      </c>
      <c r="E46">
        <v>11653647829</v>
      </c>
      <c r="F46">
        <v>2273</v>
      </c>
      <c r="G46">
        <v>2306</v>
      </c>
      <c r="H46">
        <v>2215</v>
      </c>
      <c r="I46">
        <v>-58</v>
      </c>
      <c r="J46">
        <v>-2.5499999999999998</v>
      </c>
      <c r="K46">
        <v>2247</v>
      </c>
      <c r="L46">
        <v>-26</v>
      </c>
      <c r="M46">
        <v>-1.1399999999999999</v>
      </c>
      <c r="N46">
        <v>2185</v>
      </c>
      <c r="O46">
        <v>2310</v>
      </c>
      <c r="P46" t="s">
        <v>345</v>
      </c>
      <c r="Q46" t="s">
        <v>2802</v>
      </c>
      <c r="R46">
        <v>2</v>
      </c>
      <c r="S46">
        <v>93254</v>
      </c>
      <c r="T46">
        <v>2214</v>
      </c>
      <c r="U46">
        <v>2215</v>
      </c>
      <c r="V46">
        <v>4365</v>
      </c>
      <c r="W46">
        <v>1</v>
      </c>
    </row>
    <row r="47" spans="1:23" x14ac:dyDescent="0.25">
      <c r="A47" t="s">
        <v>346</v>
      </c>
      <c r="B47" t="s">
        <v>347</v>
      </c>
      <c r="C47">
        <v>0</v>
      </c>
      <c r="D47">
        <v>0</v>
      </c>
      <c r="E47">
        <v>0</v>
      </c>
      <c r="F47">
        <v>1595</v>
      </c>
      <c r="G47">
        <v>0</v>
      </c>
      <c r="H47">
        <v>1616</v>
      </c>
      <c r="I47">
        <v>21</v>
      </c>
      <c r="J47">
        <v>1.32</v>
      </c>
      <c r="K47">
        <v>1595</v>
      </c>
      <c r="L47">
        <v>0</v>
      </c>
      <c r="M47">
        <v>0</v>
      </c>
      <c r="N47">
        <v>0</v>
      </c>
      <c r="O47">
        <v>0</v>
      </c>
      <c r="P47" t="s">
        <v>348</v>
      </c>
      <c r="Q47" t="s">
        <v>2596</v>
      </c>
      <c r="R47">
        <v>1</v>
      </c>
      <c r="S47">
        <v>1500</v>
      </c>
      <c r="T47">
        <v>1593</v>
      </c>
      <c r="U47">
        <v>1650</v>
      </c>
      <c r="V47">
        <v>30664</v>
      </c>
      <c r="W47">
        <v>5</v>
      </c>
    </row>
    <row r="48" spans="1:23" x14ac:dyDescent="0.25">
      <c r="A48" t="s">
        <v>349</v>
      </c>
      <c r="B48" t="s">
        <v>350</v>
      </c>
      <c r="C48">
        <v>0</v>
      </c>
      <c r="D48">
        <v>0</v>
      </c>
      <c r="E48">
        <v>0</v>
      </c>
      <c r="F48">
        <v>970000</v>
      </c>
      <c r="G48">
        <v>0</v>
      </c>
      <c r="H48">
        <v>970000</v>
      </c>
      <c r="I48">
        <v>0</v>
      </c>
      <c r="J48">
        <v>0</v>
      </c>
      <c r="K48">
        <v>970000</v>
      </c>
      <c r="L48">
        <v>0</v>
      </c>
      <c r="M48">
        <v>0</v>
      </c>
      <c r="N48">
        <v>0</v>
      </c>
      <c r="O48">
        <v>0</v>
      </c>
      <c r="R48">
        <v>1</v>
      </c>
      <c r="S48">
        <v>7500</v>
      </c>
      <c r="T48">
        <v>990000</v>
      </c>
      <c r="U48">
        <v>999900</v>
      </c>
      <c r="V48">
        <v>7500</v>
      </c>
      <c r="W48">
        <v>1</v>
      </c>
    </row>
    <row r="49" spans="1:23" x14ac:dyDescent="0.25">
      <c r="A49" t="s">
        <v>351</v>
      </c>
      <c r="B49" t="s">
        <v>352</v>
      </c>
      <c r="C49">
        <v>0</v>
      </c>
      <c r="D49">
        <v>0</v>
      </c>
      <c r="E49">
        <v>0</v>
      </c>
      <c r="F49">
        <v>348</v>
      </c>
      <c r="G49">
        <v>0</v>
      </c>
      <c r="H49">
        <v>344</v>
      </c>
      <c r="I49">
        <v>-4</v>
      </c>
      <c r="J49">
        <v>-1.1499999999999999</v>
      </c>
      <c r="K49">
        <v>348</v>
      </c>
      <c r="L49">
        <v>0</v>
      </c>
      <c r="M49">
        <v>0</v>
      </c>
      <c r="N49">
        <v>0</v>
      </c>
      <c r="O49">
        <v>0</v>
      </c>
      <c r="R49">
        <v>1</v>
      </c>
      <c r="S49">
        <v>100</v>
      </c>
      <c r="T49">
        <v>140</v>
      </c>
      <c r="U49">
        <v>330</v>
      </c>
      <c r="V49">
        <v>100</v>
      </c>
      <c r="W49">
        <v>1</v>
      </c>
    </row>
    <row r="50" spans="1:23" x14ac:dyDescent="0.25">
      <c r="A50" t="s">
        <v>353</v>
      </c>
      <c r="B50" t="s">
        <v>2597</v>
      </c>
      <c r="C50">
        <v>2</v>
      </c>
      <c r="D50">
        <v>60</v>
      </c>
      <c r="E50">
        <v>114000000</v>
      </c>
      <c r="F50">
        <v>1621</v>
      </c>
      <c r="G50">
        <v>1900</v>
      </c>
      <c r="H50">
        <v>1900</v>
      </c>
      <c r="I50">
        <v>279</v>
      </c>
      <c r="J50">
        <v>17.21</v>
      </c>
      <c r="K50">
        <v>1900</v>
      </c>
      <c r="L50">
        <v>279</v>
      </c>
      <c r="M50">
        <v>17.21</v>
      </c>
      <c r="N50">
        <v>1900</v>
      </c>
      <c r="O50">
        <v>1900</v>
      </c>
      <c r="R50">
        <v>1</v>
      </c>
      <c r="S50">
        <v>45</v>
      </c>
      <c r="T50">
        <v>1190</v>
      </c>
      <c r="U50">
        <v>1840</v>
      </c>
      <c r="V50">
        <v>100</v>
      </c>
      <c r="W50">
        <v>1</v>
      </c>
    </row>
    <row r="51" spans="1:23" x14ac:dyDescent="0.25">
      <c r="A51" t="s">
        <v>354</v>
      </c>
      <c r="B51" t="s">
        <v>355</v>
      </c>
      <c r="C51">
        <v>60</v>
      </c>
      <c r="D51">
        <v>179580</v>
      </c>
      <c r="E51">
        <v>2057627640</v>
      </c>
      <c r="F51">
        <v>10913</v>
      </c>
      <c r="G51">
        <v>11458</v>
      </c>
      <c r="H51">
        <v>11458</v>
      </c>
      <c r="I51">
        <v>545</v>
      </c>
      <c r="J51">
        <v>4.99</v>
      </c>
      <c r="K51">
        <v>11458</v>
      </c>
      <c r="L51">
        <v>545</v>
      </c>
      <c r="M51">
        <v>4.99</v>
      </c>
      <c r="N51">
        <v>11458</v>
      </c>
      <c r="O51">
        <v>11458</v>
      </c>
      <c r="P51" t="s">
        <v>356</v>
      </c>
      <c r="Q51" t="s">
        <v>2803</v>
      </c>
      <c r="R51">
        <v>142</v>
      </c>
      <c r="S51">
        <v>1013383</v>
      </c>
      <c r="T51">
        <v>11458</v>
      </c>
      <c r="U51">
        <v>0</v>
      </c>
      <c r="V51">
        <v>0</v>
      </c>
      <c r="W51">
        <v>0</v>
      </c>
    </row>
    <row r="52" spans="1:23" x14ac:dyDescent="0.25">
      <c r="A52" t="s">
        <v>357</v>
      </c>
      <c r="B52" t="s">
        <v>358</v>
      </c>
      <c r="C52">
        <v>375</v>
      </c>
      <c r="D52">
        <v>2556703</v>
      </c>
      <c r="E52">
        <v>30969595359</v>
      </c>
      <c r="F52">
        <v>12121</v>
      </c>
      <c r="G52">
        <v>12220</v>
      </c>
      <c r="H52">
        <v>12050</v>
      </c>
      <c r="I52">
        <v>-71</v>
      </c>
      <c r="J52">
        <v>-0.59</v>
      </c>
      <c r="K52">
        <v>12113</v>
      </c>
      <c r="L52">
        <v>-8</v>
      </c>
      <c r="M52">
        <v>-7.0000000000000007E-2</v>
      </c>
      <c r="N52">
        <v>11800</v>
      </c>
      <c r="O52">
        <v>12300</v>
      </c>
      <c r="P52" t="s">
        <v>359</v>
      </c>
      <c r="Q52" t="s">
        <v>2804</v>
      </c>
      <c r="R52">
        <v>1</v>
      </c>
      <c r="S52">
        <v>9887</v>
      </c>
      <c r="T52">
        <v>12000</v>
      </c>
      <c r="U52">
        <v>12040</v>
      </c>
      <c r="V52">
        <v>17262</v>
      </c>
      <c r="W52">
        <v>2</v>
      </c>
    </row>
    <row r="53" spans="1:23" x14ac:dyDescent="0.25">
      <c r="A53" t="s">
        <v>360</v>
      </c>
      <c r="B53" t="s">
        <v>361</v>
      </c>
      <c r="C53">
        <v>257</v>
      </c>
      <c r="D53">
        <v>97659</v>
      </c>
      <c r="E53">
        <v>5354429944</v>
      </c>
      <c r="F53">
        <v>52473</v>
      </c>
      <c r="G53">
        <v>55095</v>
      </c>
      <c r="H53">
        <v>54800</v>
      </c>
      <c r="I53">
        <v>2327</v>
      </c>
      <c r="J53">
        <v>4.43</v>
      </c>
      <c r="K53">
        <v>54828</v>
      </c>
      <c r="L53">
        <v>2355</v>
      </c>
      <c r="M53">
        <v>4.49</v>
      </c>
      <c r="N53">
        <v>52591</v>
      </c>
      <c r="O53">
        <v>55096</v>
      </c>
      <c r="P53" t="s">
        <v>362</v>
      </c>
      <c r="Q53" t="s">
        <v>2805</v>
      </c>
      <c r="R53">
        <v>1</v>
      </c>
      <c r="S53">
        <v>6</v>
      </c>
      <c r="T53">
        <v>54799</v>
      </c>
      <c r="U53">
        <v>54800</v>
      </c>
      <c r="V53">
        <v>84</v>
      </c>
      <c r="W53">
        <v>1</v>
      </c>
    </row>
    <row r="54" spans="1:23" x14ac:dyDescent="0.25">
      <c r="A54" t="s">
        <v>363</v>
      </c>
      <c r="B54" t="s">
        <v>364</v>
      </c>
      <c r="C54">
        <v>238</v>
      </c>
      <c r="D54">
        <v>928438</v>
      </c>
      <c r="E54">
        <v>4965014885</v>
      </c>
      <c r="F54">
        <v>5186</v>
      </c>
      <c r="G54">
        <v>5319</v>
      </c>
      <c r="H54">
        <v>5389</v>
      </c>
      <c r="I54">
        <v>203</v>
      </c>
      <c r="J54">
        <v>3.91</v>
      </c>
      <c r="K54">
        <v>5348</v>
      </c>
      <c r="L54">
        <v>162</v>
      </c>
      <c r="M54">
        <v>3.12</v>
      </c>
      <c r="N54">
        <v>5200</v>
      </c>
      <c r="O54">
        <v>5444</v>
      </c>
      <c r="P54" t="s">
        <v>365</v>
      </c>
      <c r="Q54" t="s">
        <v>2806</v>
      </c>
      <c r="R54">
        <v>1</v>
      </c>
      <c r="S54">
        <v>49258</v>
      </c>
      <c r="T54">
        <v>5362</v>
      </c>
      <c r="U54">
        <v>5389</v>
      </c>
      <c r="V54">
        <v>557</v>
      </c>
      <c r="W54">
        <v>1</v>
      </c>
    </row>
    <row r="55" spans="1:23" x14ac:dyDescent="0.25">
      <c r="A55" t="s">
        <v>366</v>
      </c>
      <c r="B55" t="s">
        <v>367</v>
      </c>
      <c r="C55">
        <v>202</v>
      </c>
      <c r="D55">
        <v>2763795</v>
      </c>
      <c r="E55">
        <v>49800822105</v>
      </c>
      <c r="F55">
        <v>17161</v>
      </c>
      <c r="G55">
        <v>18019</v>
      </c>
      <c r="H55">
        <v>18019</v>
      </c>
      <c r="I55">
        <v>858</v>
      </c>
      <c r="J55">
        <v>5</v>
      </c>
      <c r="K55">
        <v>18019</v>
      </c>
      <c r="L55">
        <v>858</v>
      </c>
      <c r="M55">
        <v>5</v>
      </c>
      <c r="N55">
        <v>18019</v>
      </c>
      <c r="O55">
        <v>18019</v>
      </c>
      <c r="P55" t="s">
        <v>368</v>
      </c>
      <c r="Q55" t="s">
        <v>2807</v>
      </c>
      <c r="R55">
        <v>63</v>
      </c>
      <c r="S55">
        <v>1009334</v>
      </c>
      <c r="T55">
        <v>18019</v>
      </c>
      <c r="U55">
        <v>21120</v>
      </c>
      <c r="V55">
        <v>1000</v>
      </c>
      <c r="W55">
        <v>1</v>
      </c>
    </row>
    <row r="56" spans="1:23" x14ac:dyDescent="0.25">
      <c r="A56" t="s">
        <v>370</v>
      </c>
      <c r="B56" t="s">
        <v>371</v>
      </c>
      <c r="C56">
        <v>0</v>
      </c>
      <c r="D56">
        <v>0</v>
      </c>
      <c r="E56">
        <v>0</v>
      </c>
      <c r="F56">
        <v>1</v>
      </c>
      <c r="G56">
        <v>0</v>
      </c>
      <c r="H56">
        <v>1</v>
      </c>
      <c r="I56">
        <v>0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R56">
        <v>1</v>
      </c>
      <c r="S56">
        <v>100</v>
      </c>
      <c r="T56">
        <v>5</v>
      </c>
      <c r="U56">
        <v>0</v>
      </c>
      <c r="V56">
        <v>0</v>
      </c>
      <c r="W56">
        <v>0</v>
      </c>
    </row>
    <row r="57" spans="1:23" x14ac:dyDescent="0.25">
      <c r="A57" t="s">
        <v>372</v>
      </c>
      <c r="B57" t="s">
        <v>373</v>
      </c>
      <c r="C57">
        <v>663</v>
      </c>
      <c r="D57">
        <v>1297388</v>
      </c>
      <c r="E57">
        <v>17313174005</v>
      </c>
      <c r="F57">
        <v>13804</v>
      </c>
      <c r="G57">
        <v>13122</v>
      </c>
      <c r="H57">
        <v>13450</v>
      </c>
      <c r="I57">
        <v>-354</v>
      </c>
      <c r="J57">
        <v>-2.56</v>
      </c>
      <c r="K57">
        <v>13345</v>
      </c>
      <c r="L57">
        <v>-459</v>
      </c>
      <c r="M57">
        <v>-3.33</v>
      </c>
      <c r="N57">
        <v>13120</v>
      </c>
      <c r="O57">
        <v>13690</v>
      </c>
      <c r="P57" t="s">
        <v>374</v>
      </c>
      <c r="Q57" t="s">
        <v>2808</v>
      </c>
      <c r="R57">
        <v>2</v>
      </c>
      <c r="S57">
        <v>2035</v>
      </c>
      <c r="T57">
        <v>13440</v>
      </c>
      <c r="U57">
        <v>13443</v>
      </c>
      <c r="V57">
        <v>5000</v>
      </c>
      <c r="W57">
        <v>1</v>
      </c>
    </row>
    <row r="58" spans="1:23" x14ac:dyDescent="0.25">
      <c r="A58" t="s">
        <v>375</v>
      </c>
      <c r="B58" t="s">
        <v>376</v>
      </c>
      <c r="C58">
        <v>0</v>
      </c>
      <c r="D58">
        <v>0</v>
      </c>
      <c r="E58">
        <v>0</v>
      </c>
      <c r="F58">
        <v>136500</v>
      </c>
      <c r="G58">
        <v>0</v>
      </c>
      <c r="H58">
        <v>136500</v>
      </c>
      <c r="I58">
        <v>0</v>
      </c>
      <c r="J58">
        <v>0</v>
      </c>
      <c r="K58">
        <v>136500</v>
      </c>
      <c r="L58">
        <v>0</v>
      </c>
      <c r="M58">
        <v>0</v>
      </c>
      <c r="N58">
        <v>0</v>
      </c>
      <c r="O58">
        <v>0</v>
      </c>
      <c r="R58">
        <v>2</v>
      </c>
      <c r="S58">
        <v>14</v>
      </c>
      <c r="T58">
        <v>143325</v>
      </c>
      <c r="U58">
        <v>0</v>
      </c>
      <c r="V58">
        <v>0</v>
      </c>
      <c r="W58">
        <v>0</v>
      </c>
    </row>
    <row r="59" spans="1:23" x14ac:dyDescent="0.25">
      <c r="A59" t="s">
        <v>377</v>
      </c>
      <c r="B59" t="s">
        <v>378</v>
      </c>
      <c r="C59">
        <v>0</v>
      </c>
      <c r="D59">
        <v>0</v>
      </c>
      <c r="E59">
        <v>0</v>
      </c>
      <c r="F59">
        <v>464</v>
      </c>
      <c r="G59">
        <v>0</v>
      </c>
      <c r="H59">
        <v>550</v>
      </c>
      <c r="I59">
        <v>86</v>
      </c>
      <c r="J59">
        <v>18.53</v>
      </c>
      <c r="K59">
        <v>464</v>
      </c>
      <c r="L59">
        <v>0</v>
      </c>
      <c r="M59">
        <v>0</v>
      </c>
      <c r="N59">
        <v>0</v>
      </c>
      <c r="O59">
        <v>0</v>
      </c>
      <c r="R59">
        <v>1</v>
      </c>
      <c r="S59">
        <v>50</v>
      </c>
      <c r="T59">
        <v>107</v>
      </c>
      <c r="U59">
        <v>0</v>
      </c>
      <c r="V59">
        <v>0</v>
      </c>
      <c r="W59">
        <v>0</v>
      </c>
    </row>
    <row r="60" spans="1:23" x14ac:dyDescent="0.25">
      <c r="A60" t="s">
        <v>379</v>
      </c>
      <c r="B60" t="s">
        <v>380</v>
      </c>
      <c r="C60">
        <v>2</v>
      </c>
      <c r="D60">
        <v>2</v>
      </c>
      <c r="E60">
        <v>1010000</v>
      </c>
      <c r="F60">
        <v>700</v>
      </c>
      <c r="G60">
        <v>510</v>
      </c>
      <c r="H60">
        <v>500</v>
      </c>
      <c r="I60">
        <v>-200</v>
      </c>
      <c r="J60">
        <v>-28.57</v>
      </c>
      <c r="K60">
        <v>505</v>
      </c>
      <c r="L60">
        <v>-195</v>
      </c>
      <c r="M60">
        <v>-27.86</v>
      </c>
      <c r="N60">
        <v>500</v>
      </c>
      <c r="O60">
        <v>510</v>
      </c>
      <c r="R60">
        <v>2</v>
      </c>
      <c r="S60">
        <v>27</v>
      </c>
      <c r="T60">
        <v>296</v>
      </c>
      <c r="U60">
        <v>0</v>
      </c>
      <c r="V60">
        <v>0</v>
      </c>
      <c r="W60">
        <v>0</v>
      </c>
    </row>
    <row r="61" spans="1:23" x14ac:dyDescent="0.25">
      <c r="A61" t="s">
        <v>381</v>
      </c>
      <c r="B61" t="s">
        <v>382</v>
      </c>
      <c r="C61">
        <v>1653</v>
      </c>
      <c r="D61">
        <v>40616932</v>
      </c>
      <c r="E61">
        <v>73241670290</v>
      </c>
      <c r="F61">
        <v>1719</v>
      </c>
      <c r="G61">
        <v>1800</v>
      </c>
      <c r="H61">
        <v>1786</v>
      </c>
      <c r="I61">
        <v>67</v>
      </c>
      <c r="J61">
        <v>3.9</v>
      </c>
      <c r="K61">
        <v>1803</v>
      </c>
      <c r="L61">
        <v>84</v>
      </c>
      <c r="M61">
        <v>4.8899999999999997</v>
      </c>
      <c r="N61">
        <v>1781</v>
      </c>
      <c r="O61">
        <v>1804</v>
      </c>
      <c r="P61" t="s">
        <v>383</v>
      </c>
      <c r="Q61" t="s">
        <v>2809</v>
      </c>
      <c r="R61">
        <v>3</v>
      </c>
      <c r="S61">
        <v>55266</v>
      </c>
      <c r="T61">
        <v>1786</v>
      </c>
      <c r="U61">
        <v>1790</v>
      </c>
      <c r="V61">
        <v>1896</v>
      </c>
      <c r="W61">
        <v>1</v>
      </c>
    </row>
    <row r="62" spans="1:23" x14ac:dyDescent="0.25">
      <c r="A62" t="s">
        <v>384</v>
      </c>
      <c r="B62" t="s">
        <v>385</v>
      </c>
      <c r="C62">
        <v>1</v>
      </c>
      <c r="D62">
        <v>4</v>
      </c>
      <c r="E62">
        <v>3640000</v>
      </c>
      <c r="F62">
        <v>907467</v>
      </c>
      <c r="G62">
        <v>910000</v>
      </c>
      <c r="H62">
        <v>910000</v>
      </c>
      <c r="I62">
        <v>2533</v>
      </c>
      <c r="J62">
        <v>0.28000000000000003</v>
      </c>
      <c r="K62">
        <v>910000</v>
      </c>
      <c r="L62">
        <v>2533</v>
      </c>
      <c r="M62">
        <v>0.28000000000000003</v>
      </c>
      <c r="N62">
        <v>910000</v>
      </c>
      <c r="O62">
        <v>910000</v>
      </c>
      <c r="R62">
        <v>1</v>
      </c>
      <c r="S62">
        <v>1</v>
      </c>
      <c r="T62">
        <v>910000</v>
      </c>
      <c r="U62">
        <v>945000</v>
      </c>
      <c r="V62">
        <v>2</v>
      </c>
      <c r="W62">
        <v>1</v>
      </c>
    </row>
    <row r="63" spans="1:23" x14ac:dyDescent="0.25">
      <c r="A63" t="s">
        <v>386</v>
      </c>
      <c r="B63" t="s">
        <v>387</v>
      </c>
      <c r="C63">
        <v>0</v>
      </c>
      <c r="D63">
        <v>0</v>
      </c>
      <c r="E63">
        <v>0</v>
      </c>
      <c r="F63">
        <v>1622</v>
      </c>
      <c r="G63">
        <v>0</v>
      </c>
      <c r="H63">
        <v>1622</v>
      </c>
      <c r="I63">
        <v>0</v>
      </c>
      <c r="J63">
        <v>0</v>
      </c>
      <c r="K63">
        <v>1622</v>
      </c>
      <c r="L63">
        <v>0</v>
      </c>
      <c r="M63">
        <v>0</v>
      </c>
      <c r="N63">
        <v>0</v>
      </c>
      <c r="O63">
        <v>0</v>
      </c>
      <c r="P63" t="s">
        <v>388</v>
      </c>
      <c r="Q63" t="s">
        <v>389</v>
      </c>
      <c r="R63">
        <v>2</v>
      </c>
      <c r="S63">
        <v>50341</v>
      </c>
      <c r="T63">
        <v>2900</v>
      </c>
      <c r="U63">
        <v>10000</v>
      </c>
      <c r="V63">
        <v>408</v>
      </c>
      <c r="W63">
        <v>1</v>
      </c>
    </row>
    <row r="64" spans="1:23" x14ac:dyDescent="0.25">
      <c r="A64" t="s">
        <v>390</v>
      </c>
      <c r="B64" t="s">
        <v>391</v>
      </c>
      <c r="C64">
        <v>385</v>
      </c>
      <c r="D64">
        <v>1283756</v>
      </c>
      <c r="E64">
        <v>8918774251</v>
      </c>
      <c r="F64">
        <v>6879</v>
      </c>
      <c r="G64">
        <v>6867</v>
      </c>
      <c r="H64">
        <v>6899</v>
      </c>
      <c r="I64">
        <v>20</v>
      </c>
      <c r="J64">
        <v>0.28999999999999998</v>
      </c>
      <c r="K64">
        <v>6947</v>
      </c>
      <c r="L64">
        <v>68</v>
      </c>
      <c r="M64">
        <v>0.99</v>
      </c>
      <c r="N64">
        <v>6849</v>
      </c>
      <c r="O64">
        <v>7100</v>
      </c>
      <c r="P64" t="s">
        <v>392</v>
      </c>
      <c r="Q64" t="s">
        <v>2810</v>
      </c>
      <c r="R64">
        <v>1</v>
      </c>
      <c r="S64">
        <v>3650</v>
      </c>
      <c r="T64">
        <v>6850</v>
      </c>
      <c r="U64">
        <v>6899</v>
      </c>
      <c r="V64">
        <v>10000</v>
      </c>
      <c r="W64">
        <v>1</v>
      </c>
    </row>
    <row r="65" spans="1:23" x14ac:dyDescent="0.25">
      <c r="A65" t="s">
        <v>393</v>
      </c>
      <c r="B65" t="s">
        <v>394</v>
      </c>
      <c r="C65">
        <v>0</v>
      </c>
      <c r="D65">
        <v>0</v>
      </c>
      <c r="E65">
        <v>0</v>
      </c>
      <c r="F65">
        <v>905000</v>
      </c>
      <c r="G65">
        <v>0</v>
      </c>
      <c r="H65">
        <v>905000</v>
      </c>
      <c r="I65">
        <v>0</v>
      </c>
      <c r="J65">
        <v>0</v>
      </c>
      <c r="K65">
        <v>905000</v>
      </c>
      <c r="L65">
        <v>0</v>
      </c>
      <c r="M65">
        <v>0</v>
      </c>
      <c r="N65">
        <v>0</v>
      </c>
      <c r="O65">
        <v>0</v>
      </c>
      <c r="R65">
        <v>1</v>
      </c>
      <c r="S65">
        <v>7</v>
      </c>
      <c r="T65">
        <v>900200</v>
      </c>
      <c r="U65">
        <v>0</v>
      </c>
      <c r="V65">
        <v>0</v>
      </c>
      <c r="W65">
        <v>0</v>
      </c>
    </row>
    <row r="66" spans="1:23" x14ac:dyDescent="0.25">
      <c r="A66" t="s">
        <v>395</v>
      </c>
      <c r="B66" t="s">
        <v>396</v>
      </c>
      <c r="C66">
        <v>242</v>
      </c>
      <c r="D66">
        <v>745220</v>
      </c>
      <c r="E66">
        <v>23390102846</v>
      </c>
      <c r="F66">
        <v>30112</v>
      </c>
      <c r="G66">
        <v>31000</v>
      </c>
      <c r="H66">
        <v>31617</v>
      </c>
      <c r="I66">
        <v>1505</v>
      </c>
      <c r="J66">
        <v>5</v>
      </c>
      <c r="K66">
        <v>31387</v>
      </c>
      <c r="L66">
        <v>1275</v>
      </c>
      <c r="M66">
        <v>4.2300000000000004</v>
      </c>
      <c r="N66">
        <v>30510</v>
      </c>
      <c r="O66">
        <v>31617</v>
      </c>
      <c r="P66" t="s">
        <v>397</v>
      </c>
      <c r="Q66" t="s">
        <v>2695</v>
      </c>
      <c r="R66">
        <v>3</v>
      </c>
      <c r="S66">
        <v>29563</v>
      </c>
      <c r="T66">
        <v>31617</v>
      </c>
      <c r="U66">
        <v>0</v>
      </c>
      <c r="V66">
        <v>0</v>
      </c>
      <c r="W66">
        <v>0</v>
      </c>
    </row>
    <row r="67" spans="1:23" x14ac:dyDescent="0.25">
      <c r="A67" t="s">
        <v>398</v>
      </c>
      <c r="B67" t="s">
        <v>399</v>
      </c>
      <c r="C67">
        <v>34</v>
      </c>
      <c r="D67">
        <v>34783</v>
      </c>
      <c r="E67">
        <v>846873851</v>
      </c>
      <c r="F67">
        <v>23219</v>
      </c>
      <c r="G67">
        <v>24379</v>
      </c>
      <c r="H67">
        <v>24379</v>
      </c>
      <c r="I67">
        <v>1160</v>
      </c>
      <c r="J67">
        <v>5</v>
      </c>
      <c r="K67">
        <v>24004</v>
      </c>
      <c r="L67">
        <v>785</v>
      </c>
      <c r="M67">
        <v>3.38</v>
      </c>
      <c r="N67">
        <v>23503</v>
      </c>
      <c r="O67">
        <v>24379</v>
      </c>
      <c r="P67" t="s">
        <v>400</v>
      </c>
      <c r="Q67" t="s">
        <v>2811</v>
      </c>
      <c r="R67">
        <v>10</v>
      </c>
      <c r="S67">
        <v>38022</v>
      </c>
      <c r="T67">
        <v>24379</v>
      </c>
      <c r="U67">
        <v>0</v>
      </c>
      <c r="V67">
        <v>0</v>
      </c>
      <c r="W67">
        <v>0</v>
      </c>
    </row>
    <row r="68" spans="1:23" x14ac:dyDescent="0.25">
      <c r="A68" t="s">
        <v>401</v>
      </c>
      <c r="B68" t="s">
        <v>402</v>
      </c>
      <c r="C68">
        <v>747</v>
      </c>
      <c r="D68">
        <v>1295814</v>
      </c>
      <c r="E68">
        <v>16212563877</v>
      </c>
      <c r="F68">
        <v>12885</v>
      </c>
      <c r="G68">
        <v>12802</v>
      </c>
      <c r="H68">
        <v>12721</v>
      </c>
      <c r="I68">
        <v>-164</v>
      </c>
      <c r="J68">
        <v>-1.27</v>
      </c>
      <c r="K68">
        <v>12511</v>
      </c>
      <c r="L68">
        <v>-374</v>
      </c>
      <c r="M68">
        <v>-2.9</v>
      </c>
      <c r="N68">
        <v>12360</v>
      </c>
      <c r="O68">
        <v>12885</v>
      </c>
      <c r="P68" t="s">
        <v>403</v>
      </c>
      <c r="Q68" t="s">
        <v>2809</v>
      </c>
      <c r="R68">
        <v>1</v>
      </c>
      <c r="S68">
        <v>219</v>
      </c>
      <c r="T68">
        <v>12721</v>
      </c>
      <c r="U68">
        <v>12750</v>
      </c>
      <c r="V68">
        <v>10451</v>
      </c>
      <c r="W68">
        <v>3</v>
      </c>
    </row>
    <row r="69" spans="1:23" x14ac:dyDescent="0.25">
      <c r="A69" t="s">
        <v>404</v>
      </c>
      <c r="B69" t="s">
        <v>405</v>
      </c>
      <c r="C69">
        <v>73</v>
      </c>
      <c r="D69">
        <v>1273614</v>
      </c>
      <c r="E69">
        <v>14822319732</v>
      </c>
      <c r="F69">
        <v>11084</v>
      </c>
      <c r="G69">
        <v>11638</v>
      </c>
      <c r="H69">
        <v>11638</v>
      </c>
      <c r="I69">
        <v>554</v>
      </c>
      <c r="J69">
        <v>5</v>
      </c>
      <c r="K69">
        <v>11638</v>
      </c>
      <c r="L69">
        <v>554</v>
      </c>
      <c r="M69">
        <v>5</v>
      </c>
      <c r="N69">
        <v>11638</v>
      </c>
      <c r="O69">
        <v>11638</v>
      </c>
      <c r="P69" t="s">
        <v>406</v>
      </c>
      <c r="Q69" t="s">
        <v>2812</v>
      </c>
      <c r="R69">
        <v>312</v>
      </c>
      <c r="S69">
        <v>6097882</v>
      </c>
      <c r="T69">
        <v>11638</v>
      </c>
      <c r="U69">
        <v>16500</v>
      </c>
      <c r="V69">
        <v>13000</v>
      </c>
      <c r="W69">
        <v>1</v>
      </c>
    </row>
    <row r="70" spans="1:23" x14ac:dyDescent="0.25">
      <c r="A70" t="s">
        <v>407</v>
      </c>
      <c r="B70" t="s">
        <v>408</v>
      </c>
      <c r="C70">
        <v>646</v>
      </c>
      <c r="D70">
        <v>3483708</v>
      </c>
      <c r="E70">
        <v>12780673873</v>
      </c>
      <c r="F70">
        <v>3723</v>
      </c>
      <c r="G70">
        <v>3776</v>
      </c>
      <c r="H70">
        <v>3630</v>
      </c>
      <c r="I70">
        <v>-93</v>
      </c>
      <c r="J70">
        <v>-2.5</v>
      </c>
      <c r="K70">
        <v>3669</v>
      </c>
      <c r="L70">
        <v>-54</v>
      </c>
      <c r="M70">
        <v>-1.45</v>
      </c>
      <c r="N70">
        <v>3601</v>
      </c>
      <c r="O70">
        <v>3830</v>
      </c>
      <c r="P70" t="s">
        <v>326</v>
      </c>
      <c r="Q70" t="s">
        <v>2813</v>
      </c>
      <c r="R70">
        <v>1</v>
      </c>
      <c r="S70">
        <v>11023</v>
      </c>
      <c r="T70">
        <v>3619</v>
      </c>
      <c r="U70">
        <v>3630</v>
      </c>
      <c r="V70">
        <v>7160</v>
      </c>
      <c r="W70">
        <v>1</v>
      </c>
    </row>
    <row r="71" spans="1:23" x14ac:dyDescent="0.25">
      <c r="A71" t="s">
        <v>409</v>
      </c>
      <c r="B71" t="s">
        <v>410</v>
      </c>
      <c r="C71">
        <v>1535</v>
      </c>
      <c r="D71">
        <v>9339634</v>
      </c>
      <c r="E71">
        <v>90345531609</v>
      </c>
      <c r="F71">
        <v>9324</v>
      </c>
      <c r="G71">
        <v>9450</v>
      </c>
      <c r="H71">
        <v>9760</v>
      </c>
      <c r="I71">
        <v>436</v>
      </c>
      <c r="J71">
        <v>4.68</v>
      </c>
      <c r="K71">
        <v>9673</v>
      </c>
      <c r="L71">
        <v>349</v>
      </c>
      <c r="M71">
        <v>3.74</v>
      </c>
      <c r="N71">
        <v>9361</v>
      </c>
      <c r="O71">
        <v>9790</v>
      </c>
      <c r="P71" t="s">
        <v>411</v>
      </c>
      <c r="Q71" t="s">
        <v>2814</v>
      </c>
      <c r="R71">
        <v>2</v>
      </c>
      <c r="S71">
        <v>3017</v>
      </c>
      <c r="T71">
        <v>9742</v>
      </c>
      <c r="U71">
        <v>9760</v>
      </c>
      <c r="V71">
        <v>25600</v>
      </c>
      <c r="W71">
        <v>5</v>
      </c>
    </row>
    <row r="72" spans="1:23" x14ac:dyDescent="0.25">
      <c r="A72" t="s">
        <v>412</v>
      </c>
      <c r="B72" t="s">
        <v>413</v>
      </c>
      <c r="C72">
        <v>0</v>
      </c>
      <c r="D72">
        <v>0</v>
      </c>
      <c r="E72">
        <v>0</v>
      </c>
      <c r="F72">
        <v>1005960</v>
      </c>
      <c r="G72">
        <v>0</v>
      </c>
      <c r="H72">
        <v>1005960</v>
      </c>
      <c r="I72">
        <v>0</v>
      </c>
      <c r="J72">
        <v>0</v>
      </c>
      <c r="K72">
        <v>1005960</v>
      </c>
      <c r="L72">
        <v>0</v>
      </c>
      <c r="M72">
        <v>0</v>
      </c>
      <c r="N72">
        <v>0</v>
      </c>
      <c r="O72">
        <v>0</v>
      </c>
      <c r="R72">
        <v>1</v>
      </c>
      <c r="S72">
        <v>250</v>
      </c>
      <c r="T72">
        <v>1005960</v>
      </c>
      <c r="U72">
        <v>1016019</v>
      </c>
      <c r="V72">
        <v>250</v>
      </c>
      <c r="W72">
        <v>1</v>
      </c>
    </row>
    <row r="73" spans="1:23" x14ac:dyDescent="0.25">
      <c r="A73" t="s">
        <v>414</v>
      </c>
      <c r="B73" t="s">
        <v>415</v>
      </c>
      <c r="C73">
        <v>232</v>
      </c>
      <c r="D73">
        <v>938100</v>
      </c>
      <c r="E73">
        <v>11948046163</v>
      </c>
      <c r="F73">
        <v>12525</v>
      </c>
      <c r="G73">
        <v>12846</v>
      </c>
      <c r="H73">
        <v>12894</v>
      </c>
      <c r="I73">
        <v>369</v>
      </c>
      <c r="J73">
        <v>2.95</v>
      </c>
      <c r="K73">
        <v>12736</v>
      </c>
      <c r="L73">
        <v>211</v>
      </c>
      <c r="M73">
        <v>1.68</v>
      </c>
      <c r="N73">
        <v>12449</v>
      </c>
      <c r="O73">
        <v>12894</v>
      </c>
      <c r="P73" t="s">
        <v>416</v>
      </c>
      <c r="Q73" t="s">
        <v>2815</v>
      </c>
      <c r="R73">
        <v>1</v>
      </c>
      <c r="S73">
        <v>250</v>
      </c>
      <c r="T73">
        <v>12792</v>
      </c>
      <c r="U73">
        <v>12894</v>
      </c>
      <c r="V73">
        <v>499</v>
      </c>
      <c r="W73">
        <v>2</v>
      </c>
    </row>
    <row r="74" spans="1:23" x14ac:dyDescent="0.25">
      <c r="A74" t="s">
        <v>417</v>
      </c>
      <c r="B74" t="s">
        <v>418</v>
      </c>
      <c r="C74">
        <v>54</v>
      </c>
      <c r="D74">
        <v>20709</v>
      </c>
      <c r="E74">
        <v>951832821</v>
      </c>
      <c r="F74">
        <v>45673</v>
      </c>
      <c r="G74">
        <v>47000</v>
      </c>
      <c r="H74">
        <v>45673</v>
      </c>
      <c r="I74">
        <v>0</v>
      </c>
      <c r="J74">
        <v>0</v>
      </c>
      <c r="K74">
        <v>45823</v>
      </c>
      <c r="L74">
        <v>150</v>
      </c>
      <c r="M74">
        <v>0.33</v>
      </c>
      <c r="N74">
        <v>45673</v>
      </c>
      <c r="O74">
        <v>47000</v>
      </c>
      <c r="P74" t="s">
        <v>419</v>
      </c>
      <c r="Q74" t="s">
        <v>2638</v>
      </c>
      <c r="R74">
        <v>1</v>
      </c>
      <c r="S74">
        <v>100</v>
      </c>
      <c r="T74">
        <v>45001</v>
      </c>
      <c r="U74">
        <v>45673</v>
      </c>
      <c r="V74">
        <v>1277</v>
      </c>
      <c r="W74">
        <v>1</v>
      </c>
    </row>
    <row r="75" spans="1:23" x14ac:dyDescent="0.25">
      <c r="A75" t="s">
        <v>420</v>
      </c>
      <c r="B75" t="s">
        <v>421</v>
      </c>
      <c r="C75">
        <v>908</v>
      </c>
      <c r="D75">
        <v>1619416</v>
      </c>
      <c r="E75">
        <v>24162066616</v>
      </c>
      <c r="F75">
        <v>14896</v>
      </c>
      <c r="G75">
        <v>15020</v>
      </c>
      <c r="H75">
        <v>14800</v>
      </c>
      <c r="I75">
        <v>-96</v>
      </c>
      <c r="J75">
        <v>-0.64</v>
      </c>
      <c r="K75">
        <v>14920</v>
      </c>
      <c r="L75">
        <v>24</v>
      </c>
      <c r="M75">
        <v>0.16</v>
      </c>
      <c r="N75">
        <v>14601</v>
      </c>
      <c r="O75">
        <v>15022</v>
      </c>
      <c r="P75" t="s">
        <v>422</v>
      </c>
      <c r="Q75" t="s">
        <v>2816</v>
      </c>
      <c r="R75">
        <v>3</v>
      </c>
      <c r="S75">
        <v>2844</v>
      </c>
      <c r="T75">
        <v>14790</v>
      </c>
      <c r="U75">
        <v>14800</v>
      </c>
      <c r="V75">
        <v>28013</v>
      </c>
      <c r="W75">
        <v>1</v>
      </c>
    </row>
    <row r="76" spans="1:23" x14ac:dyDescent="0.25">
      <c r="A76" t="s">
        <v>423</v>
      </c>
      <c r="B76" t="s">
        <v>424</v>
      </c>
      <c r="C76">
        <v>422</v>
      </c>
      <c r="D76">
        <v>706488</v>
      </c>
      <c r="E76">
        <v>7076189960</v>
      </c>
      <c r="F76">
        <v>9989</v>
      </c>
      <c r="G76">
        <v>10399</v>
      </c>
      <c r="H76">
        <v>10100</v>
      </c>
      <c r="I76">
        <v>111</v>
      </c>
      <c r="J76">
        <v>1.1100000000000001</v>
      </c>
      <c r="K76">
        <v>10016</v>
      </c>
      <c r="L76">
        <v>27</v>
      </c>
      <c r="M76">
        <v>0.27</v>
      </c>
      <c r="N76">
        <v>9770</v>
      </c>
      <c r="O76">
        <v>10400</v>
      </c>
      <c r="P76" t="s">
        <v>425</v>
      </c>
      <c r="Q76" t="s">
        <v>2817</v>
      </c>
      <c r="R76">
        <v>1</v>
      </c>
      <c r="S76">
        <v>3000</v>
      </c>
      <c r="T76">
        <v>10060</v>
      </c>
      <c r="U76">
        <v>10110</v>
      </c>
      <c r="V76">
        <v>1078</v>
      </c>
      <c r="W76">
        <v>1</v>
      </c>
    </row>
    <row r="77" spans="1:23" x14ac:dyDescent="0.25">
      <c r="A77" t="s">
        <v>426</v>
      </c>
      <c r="B77" t="s">
        <v>427</v>
      </c>
      <c r="C77">
        <v>64</v>
      </c>
      <c r="D77">
        <v>162720</v>
      </c>
      <c r="E77">
        <v>107739297318</v>
      </c>
      <c r="F77">
        <v>661819</v>
      </c>
      <c r="G77">
        <v>661101</v>
      </c>
      <c r="H77">
        <v>661501</v>
      </c>
      <c r="I77">
        <v>-318</v>
      </c>
      <c r="J77">
        <v>-0.05</v>
      </c>
      <c r="K77">
        <v>662115</v>
      </c>
      <c r="L77">
        <v>296</v>
      </c>
      <c r="M77">
        <v>0.04</v>
      </c>
      <c r="N77">
        <v>661101</v>
      </c>
      <c r="O77">
        <v>663000</v>
      </c>
      <c r="R77">
        <v>1</v>
      </c>
      <c r="S77">
        <v>1648</v>
      </c>
      <c r="T77">
        <v>661501</v>
      </c>
      <c r="U77">
        <v>662389</v>
      </c>
      <c r="V77">
        <v>15000</v>
      </c>
      <c r="W77">
        <v>1</v>
      </c>
    </row>
    <row r="78" spans="1:23" x14ac:dyDescent="0.25">
      <c r="A78" t="s">
        <v>428</v>
      </c>
      <c r="B78" t="s">
        <v>429</v>
      </c>
      <c r="C78">
        <v>140</v>
      </c>
      <c r="D78">
        <v>717521</v>
      </c>
      <c r="E78">
        <v>10130493100</v>
      </c>
      <c r="F78">
        <v>13447</v>
      </c>
      <c r="G78">
        <v>14119</v>
      </c>
      <c r="H78">
        <v>14118</v>
      </c>
      <c r="I78">
        <v>671</v>
      </c>
      <c r="J78">
        <v>4.99</v>
      </c>
      <c r="K78">
        <v>14119</v>
      </c>
      <c r="L78">
        <v>672</v>
      </c>
      <c r="M78">
        <v>5</v>
      </c>
      <c r="N78">
        <v>14080</v>
      </c>
      <c r="O78">
        <v>14119</v>
      </c>
      <c r="P78" t="s">
        <v>430</v>
      </c>
      <c r="Q78" t="s">
        <v>2689</v>
      </c>
      <c r="R78">
        <v>1</v>
      </c>
      <c r="S78">
        <v>5000</v>
      </c>
      <c r="T78">
        <v>13694</v>
      </c>
      <c r="U78">
        <v>14118</v>
      </c>
      <c r="V78">
        <v>27159</v>
      </c>
      <c r="W78">
        <v>1</v>
      </c>
    </row>
    <row r="79" spans="1:23" x14ac:dyDescent="0.25">
      <c r="A79" t="s">
        <v>431</v>
      </c>
      <c r="B79" t="s">
        <v>432</v>
      </c>
      <c r="C79">
        <v>680</v>
      </c>
      <c r="D79">
        <v>3551747</v>
      </c>
      <c r="E79">
        <v>19691799856</v>
      </c>
      <c r="F79">
        <v>5301</v>
      </c>
      <c r="G79">
        <v>5446</v>
      </c>
      <c r="H79">
        <v>5566</v>
      </c>
      <c r="I79">
        <v>265</v>
      </c>
      <c r="J79">
        <v>5</v>
      </c>
      <c r="K79">
        <v>5544</v>
      </c>
      <c r="L79">
        <v>243</v>
      </c>
      <c r="M79">
        <v>4.58</v>
      </c>
      <c r="N79">
        <v>5400</v>
      </c>
      <c r="O79">
        <v>5566</v>
      </c>
      <c r="P79" t="s">
        <v>433</v>
      </c>
      <c r="Q79" t="s">
        <v>2818</v>
      </c>
      <c r="R79">
        <v>39</v>
      </c>
      <c r="S79">
        <v>445905</v>
      </c>
      <c r="T79">
        <v>5566</v>
      </c>
      <c r="U79">
        <v>0</v>
      </c>
      <c r="V79">
        <v>0</v>
      </c>
      <c r="W79">
        <v>0</v>
      </c>
    </row>
    <row r="80" spans="1:23" x14ac:dyDescent="0.25">
      <c r="A80" t="s">
        <v>2819</v>
      </c>
      <c r="B80" t="s">
        <v>2820</v>
      </c>
      <c r="C80">
        <v>16712</v>
      </c>
      <c r="D80">
        <v>2404790</v>
      </c>
      <c r="E80">
        <v>75313727574</v>
      </c>
      <c r="F80">
        <v>28695</v>
      </c>
      <c r="G80">
        <v>30129</v>
      </c>
      <c r="H80">
        <v>31635</v>
      </c>
      <c r="I80">
        <v>2940</v>
      </c>
      <c r="J80">
        <v>10.25</v>
      </c>
      <c r="K80">
        <v>31318</v>
      </c>
      <c r="L80">
        <v>2623</v>
      </c>
      <c r="M80">
        <v>9.14</v>
      </c>
      <c r="N80">
        <v>30129</v>
      </c>
      <c r="O80">
        <v>31635</v>
      </c>
      <c r="P80" t="s">
        <v>2821</v>
      </c>
      <c r="Q80" t="s">
        <v>2149</v>
      </c>
      <c r="R80">
        <v>1822</v>
      </c>
      <c r="S80">
        <v>7418732</v>
      </c>
      <c r="T80">
        <v>31635</v>
      </c>
      <c r="U80">
        <v>0</v>
      </c>
      <c r="V80">
        <v>0</v>
      </c>
      <c r="W80">
        <v>0</v>
      </c>
    </row>
    <row r="81" spans="1:23" x14ac:dyDescent="0.25">
      <c r="A81" t="s">
        <v>434</v>
      </c>
      <c r="B81" t="s">
        <v>435</v>
      </c>
      <c r="C81">
        <v>0</v>
      </c>
      <c r="D81">
        <v>0</v>
      </c>
      <c r="E81">
        <v>0</v>
      </c>
      <c r="F81">
        <v>1</v>
      </c>
      <c r="G81">
        <v>0</v>
      </c>
      <c r="H81">
        <v>1</v>
      </c>
      <c r="I81">
        <v>0</v>
      </c>
      <c r="J81">
        <v>0</v>
      </c>
      <c r="K81">
        <v>1</v>
      </c>
      <c r="L81">
        <v>0</v>
      </c>
      <c r="M81">
        <v>0</v>
      </c>
      <c r="N81">
        <v>0</v>
      </c>
      <c r="O81">
        <v>0</v>
      </c>
      <c r="R81">
        <v>1</v>
      </c>
      <c r="S81">
        <v>50</v>
      </c>
      <c r="T81">
        <v>1</v>
      </c>
      <c r="U81">
        <v>533</v>
      </c>
      <c r="V81">
        <v>3000</v>
      </c>
      <c r="W81">
        <v>30</v>
      </c>
    </row>
    <row r="82" spans="1:23" x14ac:dyDescent="0.25">
      <c r="A82" t="s">
        <v>436</v>
      </c>
      <c r="B82" t="s">
        <v>437</v>
      </c>
      <c r="C82">
        <v>651</v>
      </c>
      <c r="D82">
        <v>742867</v>
      </c>
      <c r="E82">
        <v>13111486356</v>
      </c>
      <c r="F82">
        <v>17967</v>
      </c>
      <c r="G82">
        <v>17795</v>
      </c>
      <c r="H82">
        <v>17500</v>
      </c>
      <c r="I82">
        <v>-467</v>
      </c>
      <c r="J82">
        <v>-2.6</v>
      </c>
      <c r="K82">
        <v>17650</v>
      </c>
      <c r="L82">
        <v>-317</v>
      </c>
      <c r="M82">
        <v>-1.76</v>
      </c>
      <c r="N82">
        <v>17450</v>
      </c>
      <c r="O82">
        <v>17962</v>
      </c>
      <c r="P82" t="s">
        <v>438</v>
      </c>
      <c r="Q82" t="s">
        <v>2822</v>
      </c>
      <c r="R82">
        <v>5</v>
      </c>
      <c r="S82">
        <v>2560</v>
      </c>
      <c r="T82">
        <v>17480</v>
      </c>
      <c r="U82">
        <v>17500</v>
      </c>
      <c r="V82">
        <v>3225</v>
      </c>
      <c r="W82">
        <v>1</v>
      </c>
    </row>
    <row r="83" spans="1:23" x14ac:dyDescent="0.25">
      <c r="A83" t="s">
        <v>2823</v>
      </c>
      <c r="B83" t="s">
        <v>2824</v>
      </c>
      <c r="C83">
        <v>0</v>
      </c>
      <c r="D83">
        <v>0</v>
      </c>
      <c r="E83">
        <v>0</v>
      </c>
      <c r="F83">
        <v>1</v>
      </c>
      <c r="G83">
        <v>0</v>
      </c>
      <c r="H83">
        <v>1</v>
      </c>
      <c r="I83">
        <v>0</v>
      </c>
      <c r="J83">
        <v>0</v>
      </c>
      <c r="K83">
        <v>1</v>
      </c>
      <c r="L83">
        <v>0</v>
      </c>
      <c r="M83">
        <v>0</v>
      </c>
      <c r="N83">
        <v>0</v>
      </c>
      <c r="O83">
        <v>0</v>
      </c>
      <c r="R83">
        <v>0</v>
      </c>
      <c r="S83">
        <v>0</v>
      </c>
      <c r="T83">
        <v>0</v>
      </c>
      <c r="U83">
        <v>1000</v>
      </c>
      <c r="V83">
        <v>50</v>
      </c>
      <c r="W83">
        <v>1</v>
      </c>
    </row>
    <row r="84" spans="1:23" x14ac:dyDescent="0.25">
      <c r="A84" t="s">
        <v>439</v>
      </c>
      <c r="B84" t="s">
        <v>440</v>
      </c>
      <c r="C84">
        <v>620</v>
      </c>
      <c r="D84">
        <v>2868595</v>
      </c>
      <c r="E84">
        <v>32315194959</v>
      </c>
      <c r="F84">
        <v>10861</v>
      </c>
      <c r="G84">
        <v>11009</v>
      </c>
      <c r="H84">
        <v>11000</v>
      </c>
      <c r="I84">
        <v>139</v>
      </c>
      <c r="J84">
        <v>1.28</v>
      </c>
      <c r="K84">
        <v>11265</v>
      </c>
      <c r="L84">
        <v>404</v>
      </c>
      <c r="M84">
        <v>3.72</v>
      </c>
      <c r="N84">
        <v>10903</v>
      </c>
      <c r="O84">
        <v>11389</v>
      </c>
      <c r="P84" t="s">
        <v>441</v>
      </c>
      <c r="Q84" t="s">
        <v>2825</v>
      </c>
      <c r="R84">
        <v>1</v>
      </c>
      <c r="S84">
        <v>150</v>
      </c>
      <c r="T84">
        <v>11000</v>
      </c>
      <c r="U84">
        <v>11148</v>
      </c>
      <c r="V84">
        <v>1500</v>
      </c>
      <c r="W84">
        <v>1</v>
      </c>
    </row>
    <row r="85" spans="1:23" x14ac:dyDescent="0.25">
      <c r="A85" t="s">
        <v>442</v>
      </c>
      <c r="B85" t="s">
        <v>443</v>
      </c>
      <c r="C85">
        <v>2114</v>
      </c>
      <c r="D85">
        <v>16734137</v>
      </c>
      <c r="E85">
        <v>51951281250</v>
      </c>
      <c r="F85">
        <v>3017</v>
      </c>
      <c r="G85">
        <v>3118</v>
      </c>
      <c r="H85">
        <v>3056</v>
      </c>
      <c r="I85">
        <v>39</v>
      </c>
      <c r="J85">
        <v>1.29</v>
      </c>
      <c r="K85">
        <v>3105</v>
      </c>
      <c r="L85">
        <v>88</v>
      </c>
      <c r="M85">
        <v>2.92</v>
      </c>
      <c r="N85">
        <v>3030</v>
      </c>
      <c r="O85">
        <v>3165</v>
      </c>
      <c r="P85" t="s">
        <v>444</v>
      </c>
      <c r="Q85" t="s">
        <v>2826</v>
      </c>
      <c r="R85">
        <v>1</v>
      </c>
      <c r="S85">
        <v>1500</v>
      </c>
      <c r="T85">
        <v>3056</v>
      </c>
      <c r="U85">
        <v>3057</v>
      </c>
      <c r="V85">
        <v>109511</v>
      </c>
      <c r="W85">
        <v>5</v>
      </c>
    </row>
    <row r="86" spans="1:23" x14ac:dyDescent="0.25">
      <c r="A86" t="s">
        <v>445</v>
      </c>
      <c r="B86" t="s">
        <v>446</v>
      </c>
      <c r="C86">
        <v>187</v>
      </c>
      <c r="D86">
        <v>1641</v>
      </c>
      <c r="E86">
        <v>677126077</v>
      </c>
      <c r="F86">
        <v>426030</v>
      </c>
      <c r="G86">
        <v>405122</v>
      </c>
      <c r="H86">
        <v>410001</v>
      </c>
      <c r="I86">
        <v>-16029</v>
      </c>
      <c r="J86">
        <v>-3.76</v>
      </c>
      <c r="K86">
        <v>412630</v>
      </c>
      <c r="L86">
        <v>-13400</v>
      </c>
      <c r="M86">
        <v>-3.15</v>
      </c>
      <c r="N86">
        <v>404800</v>
      </c>
      <c r="O86">
        <v>430000</v>
      </c>
      <c r="R86">
        <v>1</v>
      </c>
      <c r="S86">
        <v>43</v>
      </c>
      <c r="T86">
        <v>410001</v>
      </c>
      <c r="U86">
        <v>419800</v>
      </c>
      <c r="V86">
        <v>16</v>
      </c>
      <c r="W86">
        <v>1</v>
      </c>
    </row>
    <row r="87" spans="1:23" x14ac:dyDescent="0.25">
      <c r="A87" t="s">
        <v>447</v>
      </c>
      <c r="B87" t="s">
        <v>448</v>
      </c>
      <c r="C87">
        <v>627</v>
      </c>
      <c r="D87">
        <v>1825291</v>
      </c>
      <c r="E87">
        <v>14569351686</v>
      </c>
      <c r="F87">
        <v>7695</v>
      </c>
      <c r="G87">
        <v>8079</v>
      </c>
      <c r="H87">
        <v>7896</v>
      </c>
      <c r="I87">
        <v>201</v>
      </c>
      <c r="J87">
        <v>2.61</v>
      </c>
      <c r="K87">
        <v>7982</v>
      </c>
      <c r="L87">
        <v>287</v>
      </c>
      <c r="M87">
        <v>3.73</v>
      </c>
      <c r="N87">
        <v>7851</v>
      </c>
      <c r="O87">
        <v>8079</v>
      </c>
      <c r="P87" t="s">
        <v>449</v>
      </c>
      <c r="Q87" t="s">
        <v>2827</v>
      </c>
      <c r="R87">
        <v>1</v>
      </c>
      <c r="S87">
        <v>782</v>
      </c>
      <c r="T87">
        <v>7895</v>
      </c>
      <c r="U87">
        <v>7896</v>
      </c>
      <c r="V87">
        <v>850</v>
      </c>
      <c r="W87">
        <v>1</v>
      </c>
    </row>
    <row r="88" spans="1:23" x14ac:dyDescent="0.25">
      <c r="A88" t="s">
        <v>450</v>
      </c>
      <c r="B88" t="s">
        <v>451</v>
      </c>
      <c r="C88">
        <v>0</v>
      </c>
      <c r="D88">
        <v>0</v>
      </c>
      <c r="E88">
        <v>0</v>
      </c>
      <c r="F88">
        <v>1153</v>
      </c>
      <c r="G88">
        <v>0</v>
      </c>
      <c r="H88">
        <v>1175</v>
      </c>
      <c r="I88">
        <v>22</v>
      </c>
      <c r="J88">
        <v>1.91</v>
      </c>
      <c r="K88">
        <v>1153</v>
      </c>
      <c r="L88">
        <v>0</v>
      </c>
      <c r="M88">
        <v>0</v>
      </c>
      <c r="N88">
        <v>0</v>
      </c>
      <c r="O88">
        <v>0</v>
      </c>
      <c r="R88">
        <v>1</v>
      </c>
      <c r="S88">
        <v>100</v>
      </c>
      <c r="T88">
        <v>100</v>
      </c>
      <c r="U88">
        <v>0</v>
      </c>
      <c r="V88">
        <v>0</v>
      </c>
      <c r="W88">
        <v>0</v>
      </c>
    </row>
    <row r="89" spans="1:23" x14ac:dyDescent="0.25">
      <c r="A89" t="s">
        <v>452</v>
      </c>
      <c r="B89" t="s">
        <v>453</v>
      </c>
      <c r="C89">
        <v>0</v>
      </c>
      <c r="D89">
        <v>0</v>
      </c>
      <c r="E89">
        <v>0</v>
      </c>
      <c r="F89">
        <v>53054</v>
      </c>
      <c r="G89">
        <v>0</v>
      </c>
      <c r="H89">
        <v>53800</v>
      </c>
      <c r="I89">
        <v>746</v>
      </c>
      <c r="J89">
        <v>1.41</v>
      </c>
      <c r="K89">
        <v>53054</v>
      </c>
      <c r="L89">
        <v>0</v>
      </c>
      <c r="M89">
        <v>0</v>
      </c>
      <c r="N89">
        <v>0</v>
      </c>
      <c r="O89">
        <v>0</v>
      </c>
      <c r="R89">
        <v>2</v>
      </c>
      <c r="S89">
        <v>2</v>
      </c>
      <c r="T89">
        <v>51500</v>
      </c>
      <c r="U89">
        <v>55700</v>
      </c>
      <c r="V89">
        <v>1</v>
      </c>
      <c r="W89">
        <v>1</v>
      </c>
    </row>
    <row r="90" spans="1:23" x14ac:dyDescent="0.25">
      <c r="A90" t="s">
        <v>454</v>
      </c>
      <c r="B90" t="s">
        <v>455</v>
      </c>
      <c r="C90">
        <v>624</v>
      </c>
      <c r="D90">
        <v>6182084</v>
      </c>
      <c r="E90">
        <v>13146730013</v>
      </c>
      <c r="F90">
        <v>2096</v>
      </c>
      <c r="G90">
        <v>2130</v>
      </c>
      <c r="H90">
        <v>2104</v>
      </c>
      <c r="I90">
        <v>8</v>
      </c>
      <c r="J90">
        <v>0.38</v>
      </c>
      <c r="K90">
        <v>2127</v>
      </c>
      <c r="L90">
        <v>31</v>
      </c>
      <c r="M90">
        <v>1.48</v>
      </c>
      <c r="N90">
        <v>2100</v>
      </c>
      <c r="O90">
        <v>2160</v>
      </c>
      <c r="P90" t="s">
        <v>456</v>
      </c>
      <c r="Q90" t="s">
        <v>2828</v>
      </c>
      <c r="R90">
        <v>2</v>
      </c>
      <c r="S90">
        <v>4720</v>
      </c>
      <c r="T90">
        <v>2104</v>
      </c>
      <c r="U90">
        <v>2109</v>
      </c>
      <c r="V90">
        <v>12992</v>
      </c>
      <c r="W90">
        <v>1</v>
      </c>
    </row>
    <row r="91" spans="1:23" x14ac:dyDescent="0.25">
      <c r="A91" t="s">
        <v>457</v>
      </c>
      <c r="B91" t="s">
        <v>458</v>
      </c>
      <c r="C91">
        <v>975</v>
      </c>
      <c r="D91">
        <v>896585</v>
      </c>
      <c r="E91">
        <v>38255676234</v>
      </c>
      <c r="F91">
        <v>41102</v>
      </c>
      <c r="G91">
        <v>42300</v>
      </c>
      <c r="H91">
        <v>42453</v>
      </c>
      <c r="I91">
        <v>1351</v>
      </c>
      <c r="J91">
        <v>3.29</v>
      </c>
      <c r="K91">
        <v>42668</v>
      </c>
      <c r="L91">
        <v>1566</v>
      </c>
      <c r="M91">
        <v>3.81</v>
      </c>
      <c r="N91">
        <v>41924</v>
      </c>
      <c r="O91">
        <v>43150</v>
      </c>
      <c r="P91" t="s">
        <v>459</v>
      </c>
      <c r="Q91" t="s">
        <v>2829</v>
      </c>
      <c r="R91">
        <v>1</v>
      </c>
      <c r="S91">
        <v>3200</v>
      </c>
      <c r="T91">
        <v>42454</v>
      </c>
      <c r="U91">
        <v>42555</v>
      </c>
      <c r="V91">
        <v>2200</v>
      </c>
      <c r="W91">
        <v>1</v>
      </c>
    </row>
    <row r="92" spans="1:23" x14ac:dyDescent="0.25">
      <c r="A92" t="s">
        <v>460</v>
      </c>
      <c r="B92" t="s">
        <v>461</v>
      </c>
      <c r="C92">
        <v>153</v>
      </c>
      <c r="D92">
        <v>93086</v>
      </c>
      <c r="E92">
        <v>2681848095</v>
      </c>
      <c r="F92">
        <v>28031</v>
      </c>
      <c r="G92">
        <v>29340</v>
      </c>
      <c r="H92">
        <v>28389</v>
      </c>
      <c r="I92">
        <v>358</v>
      </c>
      <c r="J92">
        <v>1.28</v>
      </c>
      <c r="K92">
        <v>28810</v>
      </c>
      <c r="L92">
        <v>779</v>
      </c>
      <c r="M92">
        <v>2.78</v>
      </c>
      <c r="N92">
        <v>28100</v>
      </c>
      <c r="O92">
        <v>29340</v>
      </c>
      <c r="P92" t="s">
        <v>462</v>
      </c>
      <c r="Q92" t="s">
        <v>2830</v>
      </c>
      <c r="R92">
        <v>3</v>
      </c>
      <c r="S92">
        <v>1720</v>
      </c>
      <c r="T92">
        <v>28106</v>
      </c>
      <c r="U92">
        <v>28389</v>
      </c>
      <c r="V92">
        <v>988</v>
      </c>
      <c r="W92">
        <v>1</v>
      </c>
    </row>
    <row r="93" spans="1:23" x14ac:dyDescent="0.25">
      <c r="A93" t="s">
        <v>463</v>
      </c>
      <c r="B93" t="s">
        <v>464</v>
      </c>
      <c r="C93">
        <v>0</v>
      </c>
      <c r="D93">
        <v>0</v>
      </c>
      <c r="E93">
        <v>0</v>
      </c>
      <c r="F93">
        <v>1</v>
      </c>
      <c r="G93">
        <v>0</v>
      </c>
      <c r="H93">
        <v>1</v>
      </c>
      <c r="I93">
        <v>0</v>
      </c>
      <c r="J93">
        <v>0</v>
      </c>
      <c r="K93">
        <v>1</v>
      </c>
      <c r="L93">
        <v>0</v>
      </c>
      <c r="M93">
        <v>0</v>
      </c>
      <c r="N93">
        <v>0</v>
      </c>
      <c r="O93">
        <v>0</v>
      </c>
      <c r="R93">
        <v>1</v>
      </c>
      <c r="S93">
        <v>100</v>
      </c>
      <c r="T93">
        <v>10</v>
      </c>
      <c r="U93">
        <v>0</v>
      </c>
      <c r="V93">
        <v>0</v>
      </c>
      <c r="W93">
        <v>0</v>
      </c>
    </row>
    <row r="94" spans="1:23" x14ac:dyDescent="0.25">
      <c r="A94" t="s">
        <v>465</v>
      </c>
      <c r="B94" t="s">
        <v>2602</v>
      </c>
      <c r="C94">
        <v>0</v>
      </c>
      <c r="D94">
        <v>0</v>
      </c>
      <c r="E94">
        <v>0</v>
      </c>
      <c r="F94">
        <v>1</v>
      </c>
      <c r="G94">
        <v>0</v>
      </c>
      <c r="H94">
        <v>1</v>
      </c>
      <c r="I94">
        <v>0</v>
      </c>
      <c r="J94">
        <v>0</v>
      </c>
      <c r="K94">
        <v>1</v>
      </c>
      <c r="L94">
        <v>0</v>
      </c>
      <c r="M94">
        <v>0</v>
      </c>
      <c r="N94">
        <v>0</v>
      </c>
      <c r="O94">
        <v>0</v>
      </c>
      <c r="R94">
        <v>1</v>
      </c>
      <c r="S94">
        <v>100</v>
      </c>
      <c r="T94">
        <v>60</v>
      </c>
      <c r="U94">
        <v>0</v>
      </c>
      <c r="V94">
        <v>0</v>
      </c>
      <c r="W94">
        <v>0</v>
      </c>
    </row>
    <row r="95" spans="1:23" x14ac:dyDescent="0.25">
      <c r="A95" t="s">
        <v>466</v>
      </c>
      <c r="B95" t="s">
        <v>467</v>
      </c>
      <c r="C95">
        <v>0</v>
      </c>
      <c r="D95">
        <v>0</v>
      </c>
      <c r="E95">
        <v>0</v>
      </c>
      <c r="F95">
        <v>4900</v>
      </c>
      <c r="G95">
        <v>0</v>
      </c>
      <c r="H95">
        <v>4900</v>
      </c>
      <c r="I95">
        <v>0</v>
      </c>
      <c r="J95">
        <v>0</v>
      </c>
      <c r="K95">
        <v>4900</v>
      </c>
      <c r="L95">
        <v>0</v>
      </c>
      <c r="M95">
        <v>0</v>
      </c>
      <c r="N95">
        <v>0</v>
      </c>
      <c r="O95">
        <v>0</v>
      </c>
      <c r="P95" t="s">
        <v>468</v>
      </c>
      <c r="Q95" t="s">
        <v>469</v>
      </c>
      <c r="R95">
        <v>1</v>
      </c>
      <c r="S95">
        <v>1840</v>
      </c>
      <c r="T95">
        <v>5400</v>
      </c>
      <c r="U95">
        <v>68000</v>
      </c>
      <c r="V95">
        <v>100</v>
      </c>
      <c r="W95">
        <v>1</v>
      </c>
    </row>
    <row r="96" spans="1:23" x14ac:dyDescent="0.25">
      <c r="A96" t="s">
        <v>470</v>
      </c>
      <c r="B96" t="s">
        <v>471</v>
      </c>
      <c r="C96">
        <v>1653</v>
      </c>
      <c r="D96">
        <v>2798368</v>
      </c>
      <c r="E96">
        <v>46667055432</v>
      </c>
      <c r="F96">
        <v>16674</v>
      </c>
      <c r="G96">
        <v>17000</v>
      </c>
      <c r="H96">
        <v>16830</v>
      </c>
      <c r="I96">
        <v>156</v>
      </c>
      <c r="J96">
        <v>0.94</v>
      </c>
      <c r="K96">
        <v>16677</v>
      </c>
      <c r="L96">
        <v>3</v>
      </c>
      <c r="M96">
        <v>0.02</v>
      </c>
      <c r="N96">
        <v>16000</v>
      </c>
      <c r="O96">
        <v>17057</v>
      </c>
      <c r="P96" t="s">
        <v>472</v>
      </c>
      <c r="Q96" t="s">
        <v>2603</v>
      </c>
      <c r="R96">
        <v>1</v>
      </c>
      <c r="S96">
        <v>4898</v>
      </c>
      <c r="T96">
        <v>16830</v>
      </c>
      <c r="U96">
        <v>16840</v>
      </c>
      <c r="V96">
        <v>1517</v>
      </c>
      <c r="W96">
        <v>1</v>
      </c>
    </row>
    <row r="97" spans="1:23" x14ac:dyDescent="0.25">
      <c r="A97" t="s">
        <v>2604</v>
      </c>
      <c r="B97" t="s">
        <v>2605</v>
      </c>
      <c r="C97">
        <v>0</v>
      </c>
      <c r="D97">
        <v>0</v>
      </c>
      <c r="E97">
        <v>0</v>
      </c>
      <c r="F97">
        <v>1823</v>
      </c>
      <c r="G97">
        <v>0</v>
      </c>
      <c r="H97">
        <v>1835</v>
      </c>
      <c r="I97">
        <v>12</v>
      </c>
      <c r="J97">
        <v>0.66</v>
      </c>
      <c r="K97">
        <v>1823</v>
      </c>
      <c r="L97">
        <v>0</v>
      </c>
      <c r="M97">
        <v>0</v>
      </c>
      <c r="N97">
        <v>0</v>
      </c>
      <c r="O97">
        <v>0</v>
      </c>
      <c r="P97" t="s">
        <v>2171</v>
      </c>
      <c r="Q97" t="s">
        <v>2606</v>
      </c>
      <c r="R97">
        <v>1</v>
      </c>
      <c r="S97">
        <v>1100</v>
      </c>
      <c r="T97">
        <v>1819</v>
      </c>
      <c r="U97">
        <v>1899</v>
      </c>
      <c r="V97">
        <v>100000</v>
      </c>
      <c r="W97">
        <v>2</v>
      </c>
    </row>
    <row r="98" spans="1:23" x14ac:dyDescent="0.25">
      <c r="A98" t="s">
        <v>2607</v>
      </c>
      <c r="B98" t="s">
        <v>2608</v>
      </c>
      <c r="C98">
        <v>1321</v>
      </c>
      <c r="D98">
        <v>15791</v>
      </c>
      <c r="E98">
        <v>6580503098</v>
      </c>
      <c r="F98">
        <v>419247</v>
      </c>
      <c r="G98">
        <v>405007</v>
      </c>
      <c r="H98">
        <v>410200</v>
      </c>
      <c r="I98">
        <v>-9047</v>
      </c>
      <c r="J98">
        <v>-2.16</v>
      </c>
      <c r="K98">
        <v>416725</v>
      </c>
      <c r="L98">
        <v>-2522</v>
      </c>
      <c r="M98">
        <v>-0.6</v>
      </c>
      <c r="N98">
        <v>405007</v>
      </c>
      <c r="O98">
        <v>424999</v>
      </c>
      <c r="R98">
        <v>1</v>
      </c>
      <c r="S98">
        <v>80</v>
      </c>
      <c r="T98">
        <v>410456</v>
      </c>
      <c r="U98">
        <v>413000</v>
      </c>
      <c r="V98">
        <v>1</v>
      </c>
      <c r="W98">
        <v>1</v>
      </c>
    </row>
    <row r="99" spans="1:23" x14ac:dyDescent="0.25">
      <c r="A99" t="s">
        <v>473</v>
      </c>
      <c r="B99" t="s">
        <v>474</v>
      </c>
      <c r="C99">
        <v>22</v>
      </c>
      <c r="D99">
        <v>316501</v>
      </c>
      <c r="E99">
        <v>1110918510</v>
      </c>
      <c r="F99">
        <v>3343</v>
      </c>
      <c r="G99">
        <v>3510</v>
      </c>
      <c r="H99">
        <v>3510</v>
      </c>
      <c r="I99">
        <v>167</v>
      </c>
      <c r="J99">
        <v>5</v>
      </c>
      <c r="K99">
        <v>3466</v>
      </c>
      <c r="L99">
        <v>123</v>
      </c>
      <c r="M99">
        <v>3.68</v>
      </c>
      <c r="N99">
        <v>3510</v>
      </c>
      <c r="O99">
        <v>3510</v>
      </c>
      <c r="P99" t="s">
        <v>2348</v>
      </c>
      <c r="Q99" t="s">
        <v>2831</v>
      </c>
      <c r="R99">
        <v>286</v>
      </c>
      <c r="S99">
        <v>14206373</v>
      </c>
      <c r="T99">
        <v>3510</v>
      </c>
      <c r="U99">
        <v>0</v>
      </c>
      <c r="V99">
        <v>0</v>
      </c>
      <c r="W99">
        <v>0</v>
      </c>
    </row>
    <row r="100" spans="1:23" x14ac:dyDescent="0.25">
      <c r="A100" t="s">
        <v>476</v>
      </c>
      <c r="B100" t="s">
        <v>477</v>
      </c>
      <c r="C100">
        <v>0</v>
      </c>
      <c r="D100">
        <v>0</v>
      </c>
      <c r="E100">
        <v>0</v>
      </c>
      <c r="F100">
        <v>1</v>
      </c>
      <c r="G100">
        <v>0</v>
      </c>
      <c r="H100">
        <v>1</v>
      </c>
      <c r="I100">
        <v>0</v>
      </c>
      <c r="J100">
        <v>0</v>
      </c>
      <c r="K100">
        <v>1</v>
      </c>
      <c r="L100">
        <v>0</v>
      </c>
      <c r="M100">
        <v>0</v>
      </c>
      <c r="N100">
        <v>0</v>
      </c>
      <c r="O100">
        <v>0</v>
      </c>
      <c r="R100">
        <v>1</v>
      </c>
      <c r="S100">
        <v>100</v>
      </c>
      <c r="T100">
        <v>10</v>
      </c>
      <c r="U100">
        <v>0</v>
      </c>
      <c r="V100">
        <v>0</v>
      </c>
      <c r="W100">
        <v>0</v>
      </c>
    </row>
    <row r="101" spans="1:23" x14ac:dyDescent="0.25">
      <c r="A101" t="s">
        <v>478</v>
      </c>
      <c r="B101" t="s">
        <v>479</v>
      </c>
      <c r="C101">
        <v>1041</v>
      </c>
      <c r="D101">
        <v>11316462</v>
      </c>
      <c r="E101">
        <v>47701984995</v>
      </c>
      <c r="F101">
        <v>4020</v>
      </c>
      <c r="G101">
        <v>4221</v>
      </c>
      <c r="H101">
        <v>4221</v>
      </c>
      <c r="I101">
        <v>201</v>
      </c>
      <c r="J101">
        <v>5</v>
      </c>
      <c r="K101">
        <v>4215</v>
      </c>
      <c r="L101">
        <v>195</v>
      </c>
      <c r="M101">
        <v>4.8499999999999996</v>
      </c>
      <c r="N101">
        <v>4124</v>
      </c>
      <c r="O101">
        <v>4221</v>
      </c>
      <c r="P101" t="s">
        <v>480</v>
      </c>
      <c r="Q101" t="s">
        <v>2832</v>
      </c>
      <c r="R101">
        <v>87</v>
      </c>
      <c r="S101">
        <v>2134688</v>
      </c>
      <c r="T101">
        <v>4221</v>
      </c>
      <c r="U101">
        <v>0</v>
      </c>
      <c r="V101">
        <v>0</v>
      </c>
      <c r="W101">
        <v>0</v>
      </c>
    </row>
    <row r="102" spans="1:23" x14ac:dyDescent="0.25">
      <c r="A102" t="s">
        <v>481</v>
      </c>
      <c r="B102" t="s">
        <v>482</v>
      </c>
      <c r="C102">
        <v>0</v>
      </c>
      <c r="D102">
        <v>0</v>
      </c>
      <c r="E102">
        <v>0</v>
      </c>
      <c r="F102">
        <v>986691</v>
      </c>
      <c r="G102">
        <v>0</v>
      </c>
      <c r="H102">
        <v>986691</v>
      </c>
      <c r="I102">
        <v>0</v>
      </c>
      <c r="J102">
        <v>0</v>
      </c>
      <c r="K102">
        <v>986691</v>
      </c>
      <c r="L102">
        <v>0</v>
      </c>
      <c r="M102">
        <v>0</v>
      </c>
      <c r="N102">
        <v>0</v>
      </c>
      <c r="O102">
        <v>0</v>
      </c>
      <c r="R102">
        <v>1</v>
      </c>
      <c r="S102">
        <v>5000</v>
      </c>
      <c r="T102">
        <v>986691</v>
      </c>
      <c r="U102">
        <v>1006424</v>
      </c>
      <c r="V102">
        <v>850</v>
      </c>
      <c r="W102">
        <v>1</v>
      </c>
    </row>
    <row r="103" spans="1:23" x14ac:dyDescent="0.25">
      <c r="A103" t="s">
        <v>483</v>
      </c>
      <c r="B103" t="s">
        <v>484</v>
      </c>
      <c r="C103">
        <v>106</v>
      </c>
      <c r="D103">
        <v>156043</v>
      </c>
      <c r="E103">
        <v>5086552057</v>
      </c>
      <c r="F103">
        <v>31754</v>
      </c>
      <c r="G103">
        <v>33341</v>
      </c>
      <c r="H103">
        <v>32780</v>
      </c>
      <c r="I103">
        <v>1026</v>
      </c>
      <c r="J103">
        <v>3.23</v>
      </c>
      <c r="K103">
        <v>32146</v>
      </c>
      <c r="L103">
        <v>392</v>
      </c>
      <c r="M103">
        <v>1.23</v>
      </c>
      <c r="N103">
        <v>32000</v>
      </c>
      <c r="O103">
        <v>33341</v>
      </c>
      <c r="P103" t="s">
        <v>485</v>
      </c>
      <c r="Q103" t="s">
        <v>2833</v>
      </c>
      <c r="R103">
        <v>3</v>
      </c>
      <c r="S103">
        <v>10336</v>
      </c>
      <c r="T103">
        <v>32551</v>
      </c>
      <c r="U103">
        <v>32777</v>
      </c>
      <c r="V103">
        <v>1474</v>
      </c>
      <c r="W103">
        <v>1</v>
      </c>
    </row>
    <row r="104" spans="1:23" x14ac:dyDescent="0.25">
      <c r="A104" t="s">
        <v>486</v>
      </c>
      <c r="B104" t="s">
        <v>487</v>
      </c>
      <c r="C104">
        <v>266</v>
      </c>
      <c r="D104">
        <v>602718</v>
      </c>
      <c r="E104">
        <v>3993265336</v>
      </c>
      <c r="F104">
        <v>6675</v>
      </c>
      <c r="G104">
        <v>6760</v>
      </c>
      <c r="H104">
        <v>6662</v>
      </c>
      <c r="I104">
        <v>-13</v>
      </c>
      <c r="J104">
        <v>-0.19</v>
      </c>
      <c r="K104">
        <v>6625</v>
      </c>
      <c r="L104">
        <v>-50</v>
      </c>
      <c r="M104">
        <v>-0.75</v>
      </c>
      <c r="N104">
        <v>6510</v>
      </c>
      <c r="O104">
        <v>6760</v>
      </c>
      <c r="P104" t="s">
        <v>488</v>
      </c>
      <c r="Q104" t="s">
        <v>2834</v>
      </c>
      <c r="R104">
        <v>1</v>
      </c>
      <c r="S104">
        <v>1000</v>
      </c>
      <c r="T104">
        <v>6675</v>
      </c>
      <c r="U104">
        <v>6689</v>
      </c>
      <c r="V104">
        <v>495</v>
      </c>
      <c r="W104">
        <v>1</v>
      </c>
    </row>
    <row r="105" spans="1:23" x14ac:dyDescent="0.25">
      <c r="A105" t="s">
        <v>489</v>
      </c>
      <c r="B105" t="s">
        <v>490</v>
      </c>
      <c r="C105">
        <v>100</v>
      </c>
      <c r="D105">
        <v>360623</v>
      </c>
      <c r="E105">
        <v>4971147875</v>
      </c>
      <c r="F105">
        <v>13129</v>
      </c>
      <c r="G105">
        <v>13785</v>
      </c>
      <c r="H105">
        <v>13785</v>
      </c>
      <c r="I105">
        <v>656</v>
      </c>
      <c r="J105">
        <v>5</v>
      </c>
      <c r="K105">
        <v>13785</v>
      </c>
      <c r="L105">
        <v>656</v>
      </c>
      <c r="M105">
        <v>5</v>
      </c>
      <c r="N105">
        <v>13743</v>
      </c>
      <c r="O105">
        <v>13785</v>
      </c>
      <c r="R105">
        <v>38</v>
      </c>
      <c r="S105">
        <v>177320</v>
      </c>
      <c r="T105">
        <v>13785</v>
      </c>
      <c r="U105">
        <v>0</v>
      </c>
      <c r="V105">
        <v>0</v>
      </c>
      <c r="W105">
        <v>0</v>
      </c>
    </row>
    <row r="106" spans="1:23" x14ac:dyDescent="0.25">
      <c r="A106" t="s">
        <v>491</v>
      </c>
      <c r="B106" t="s">
        <v>492</v>
      </c>
      <c r="C106">
        <v>0</v>
      </c>
      <c r="D106">
        <v>0</v>
      </c>
      <c r="E106">
        <v>0</v>
      </c>
      <c r="F106">
        <v>200</v>
      </c>
      <c r="G106">
        <v>0</v>
      </c>
      <c r="H106">
        <v>200</v>
      </c>
      <c r="I106">
        <v>0</v>
      </c>
      <c r="J106">
        <v>0</v>
      </c>
      <c r="K106">
        <v>200</v>
      </c>
      <c r="L106">
        <v>0</v>
      </c>
      <c r="M106">
        <v>0</v>
      </c>
      <c r="N106">
        <v>0</v>
      </c>
      <c r="O106">
        <v>0</v>
      </c>
      <c r="R106">
        <v>1</v>
      </c>
      <c r="S106">
        <v>10</v>
      </c>
      <c r="T106">
        <v>187</v>
      </c>
      <c r="U106">
        <v>0</v>
      </c>
      <c r="V106">
        <v>0</v>
      </c>
      <c r="W106">
        <v>0</v>
      </c>
    </row>
    <row r="107" spans="1:23" x14ac:dyDescent="0.25">
      <c r="A107" t="s">
        <v>493</v>
      </c>
      <c r="B107" t="s">
        <v>494</v>
      </c>
      <c r="C107">
        <v>310</v>
      </c>
      <c r="D107">
        <v>1059505</v>
      </c>
      <c r="E107">
        <v>11790105704</v>
      </c>
      <c r="F107">
        <v>10754</v>
      </c>
      <c r="G107">
        <v>11000</v>
      </c>
      <c r="H107">
        <v>11291</v>
      </c>
      <c r="I107">
        <v>537</v>
      </c>
      <c r="J107">
        <v>4.99</v>
      </c>
      <c r="K107">
        <v>11128</v>
      </c>
      <c r="L107">
        <v>374</v>
      </c>
      <c r="M107">
        <v>3.48</v>
      </c>
      <c r="N107">
        <v>10980</v>
      </c>
      <c r="O107">
        <v>11291</v>
      </c>
      <c r="P107" t="s">
        <v>495</v>
      </c>
      <c r="Q107" t="s">
        <v>1433</v>
      </c>
      <c r="R107">
        <v>3</v>
      </c>
      <c r="S107">
        <v>8610</v>
      </c>
      <c r="T107">
        <v>11291</v>
      </c>
      <c r="U107">
        <v>0</v>
      </c>
      <c r="V107">
        <v>0</v>
      </c>
      <c r="W107">
        <v>0</v>
      </c>
    </row>
    <row r="108" spans="1:23" x14ac:dyDescent="0.25">
      <c r="A108" t="s">
        <v>496</v>
      </c>
      <c r="B108" t="s">
        <v>497</v>
      </c>
      <c r="C108">
        <v>1787</v>
      </c>
      <c r="D108">
        <v>30164015</v>
      </c>
      <c r="E108">
        <v>42418336743</v>
      </c>
      <c r="F108">
        <v>1395</v>
      </c>
      <c r="G108">
        <v>1410</v>
      </c>
      <c r="H108">
        <v>1407</v>
      </c>
      <c r="I108">
        <v>12</v>
      </c>
      <c r="J108">
        <v>0.86</v>
      </c>
      <c r="K108">
        <v>1406</v>
      </c>
      <c r="L108">
        <v>11</v>
      </c>
      <c r="M108">
        <v>0.79</v>
      </c>
      <c r="N108">
        <v>1382</v>
      </c>
      <c r="O108">
        <v>1437</v>
      </c>
      <c r="P108" t="s">
        <v>498</v>
      </c>
      <c r="Q108" t="s">
        <v>2835</v>
      </c>
      <c r="R108">
        <v>1</v>
      </c>
      <c r="S108">
        <v>30000</v>
      </c>
      <c r="T108">
        <v>1401</v>
      </c>
      <c r="U108">
        <v>1407</v>
      </c>
      <c r="V108">
        <v>24844</v>
      </c>
      <c r="W108">
        <v>1</v>
      </c>
    </row>
    <row r="109" spans="1:23" x14ac:dyDescent="0.25">
      <c r="A109" t="s">
        <v>499</v>
      </c>
      <c r="B109" t="s">
        <v>500</v>
      </c>
      <c r="C109">
        <v>1499</v>
      </c>
      <c r="D109">
        <v>23539139</v>
      </c>
      <c r="E109">
        <v>40974418817</v>
      </c>
      <c r="F109">
        <v>1735</v>
      </c>
      <c r="G109">
        <v>1787</v>
      </c>
      <c r="H109">
        <v>1732</v>
      </c>
      <c r="I109">
        <v>-3</v>
      </c>
      <c r="J109">
        <v>-0.17</v>
      </c>
      <c r="K109">
        <v>1741</v>
      </c>
      <c r="L109">
        <v>6</v>
      </c>
      <c r="M109">
        <v>0.35</v>
      </c>
      <c r="N109">
        <v>1710</v>
      </c>
      <c r="O109">
        <v>1788</v>
      </c>
      <c r="P109" t="s">
        <v>501</v>
      </c>
      <c r="Q109" t="s">
        <v>2836</v>
      </c>
      <c r="R109">
        <v>1</v>
      </c>
      <c r="S109">
        <v>810</v>
      </c>
      <c r="T109">
        <v>1731</v>
      </c>
      <c r="U109">
        <v>1732</v>
      </c>
      <c r="V109">
        <v>18743</v>
      </c>
      <c r="W109">
        <v>1</v>
      </c>
    </row>
    <row r="110" spans="1:23" x14ac:dyDescent="0.25">
      <c r="A110" t="s">
        <v>502</v>
      </c>
      <c r="B110" t="s">
        <v>503</v>
      </c>
      <c r="C110">
        <v>186</v>
      </c>
      <c r="D110">
        <v>587307</v>
      </c>
      <c r="E110">
        <v>4192949806</v>
      </c>
      <c r="F110">
        <v>7196</v>
      </c>
      <c r="G110">
        <v>7386</v>
      </c>
      <c r="H110">
        <v>7042</v>
      </c>
      <c r="I110">
        <v>-154</v>
      </c>
      <c r="J110">
        <v>-2.14</v>
      </c>
      <c r="K110">
        <v>7139</v>
      </c>
      <c r="L110">
        <v>-57</v>
      </c>
      <c r="M110">
        <v>-0.79</v>
      </c>
      <c r="N110">
        <v>7030</v>
      </c>
      <c r="O110">
        <v>7386</v>
      </c>
      <c r="P110" t="s">
        <v>504</v>
      </c>
      <c r="Q110" t="s">
        <v>2837</v>
      </c>
      <c r="R110">
        <v>1</v>
      </c>
      <c r="S110">
        <v>1000</v>
      </c>
      <c r="T110">
        <v>7031</v>
      </c>
      <c r="U110">
        <v>7042</v>
      </c>
      <c r="V110">
        <v>5688</v>
      </c>
      <c r="W110">
        <v>1</v>
      </c>
    </row>
    <row r="111" spans="1:23" x14ac:dyDescent="0.25">
      <c r="A111" t="s">
        <v>2838</v>
      </c>
      <c r="B111" t="s">
        <v>2839</v>
      </c>
      <c r="C111">
        <v>293</v>
      </c>
      <c r="D111">
        <v>1286647</v>
      </c>
      <c r="E111">
        <v>6285975841</v>
      </c>
      <c r="F111">
        <v>4694</v>
      </c>
      <c r="G111">
        <v>4970</v>
      </c>
      <c r="H111">
        <v>4827</v>
      </c>
      <c r="I111">
        <v>133</v>
      </c>
      <c r="J111">
        <v>2.83</v>
      </c>
      <c r="K111">
        <v>4886</v>
      </c>
      <c r="L111">
        <v>192</v>
      </c>
      <c r="M111">
        <v>4.09</v>
      </c>
      <c r="N111">
        <v>4810</v>
      </c>
      <c r="O111">
        <v>4970</v>
      </c>
      <c r="P111" t="s">
        <v>505</v>
      </c>
      <c r="Q111" t="s">
        <v>2840</v>
      </c>
      <c r="R111">
        <v>1</v>
      </c>
      <c r="S111">
        <v>2000</v>
      </c>
      <c r="T111">
        <v>4828</v>
      </c>
      <c r="U111">
        <v>4830</v>
      </c>
      <c r="V111">
        <v>26573</v>
      </c>
      <c r="W111">
        <v>3</v>
      </c>
    </row>
    <row r="112" spans="1:23" x14ac:dyDescent="0.25">
      <c r="A112" t="s">
        <v>506</v>
      </c>
      <c r="B112" t="s">
        <v>507</v>
      </c>
      <c r="C112">
        <v>264</v>
      </c>
      <c r="D112">
        <v>578193</v>
      </c>
      <c r="E112">
        <v>4726650270</v>
      </c>
      <c r="F112">
        <v>8254</v>
      </c>
      <c r="G112">
        <v>8500</v>
      </c>
      <c r="H112">
        <v>8144</v>
      </c>
      <c r="I112">
        <v>-110</v>
      </c>
      <c r="J112">
        <v>-1.33</v>
      </c>
      <c r="K112">
        <v>8175</v>
      </c>
      <c r="L112">
        <v>-79</v>
      </c>
      <c r="M112">
        <v>-0.96</v>
      </c>
      <c r="N112">
        <v>8003</v>
      </c>
      <c r="O112">
        <v>8500</v>
      </c>
      <c r="P112" t="s">
        <v>508</v>
      </c>
      <c r="Q112" t="s">
        <v>2841</v>
      </c>
      <c r="R112">
        <v>1</v>
      </c>
      <c r="S112">
        <v>500</v>
      </c>
      <c r="T112">
        <v>8110</v>
      </c>
      <c r="U112">
        <v>8144</v>
      </c>
      <c r="V112">
        <v>789</v>
      </c>
      <c r="W112">
        <v>1</v>
      </c>
    </row>
    <row r="113" spans="1:23" x14ac:dyDescent="0.25">
      <c r="A113" t="s">
        <v>509</v>
      </c>
      <c r="B113" t="s">
        <v>510</v>
      </c>
      <c r="C113">
        <v>565</v>
      </c>
      <c r="D113">
        <v>3019267</v>
      </c>
      <c r="E113">
        <v>10839763512</v>
      </c>
      <c r="F113">
        <v>3720</v>
      </c>
      <c r="G113">
        <v>3603</v>
      </c>
      <c r="H113">
        <v>3628</v>
      </c>
      <c r="I113">
        <v>-92</v>
      </c>
      <c r="J113">
        <v>-2.4700000000000002</v>
      </c>
      <c r="K113">
        <v>3590</v>
      </c>
      <c r="L113">
        <v>-130</v>
      </c>
      <c r="M113">
        <v>-3.49</v>
      </c>
      <c r="N113">
        <v>3550</v>
      </c>
      <c r="O113">
        <v>3660</v>
      </c>
      <c r="P113" t="s">
        <v>511</v>
      </c>
      <c r="Q113" t="s">
        <v>2842</v>
      </c>
      <c r="R113">
        <v>5</v>
      </c>
      <c r="S113">
        <v>16500</v>
      </c>
      <c r="T113">
        <v>3601</v>
      </c>
      <c r="U113">
        <v>3625</v>
      </c>
      <c r="V113">
        <v>12610</v>
      </c>
      <c r="W113">
        <v>1</v>
      </c>
    </row>
    <row r="114" spans="1:23" x14ac:dyDescent="0.25">
      <c r="A114" t="s">
        <v>512</v>
      </c>
      <c r="B114" t="s">
        <v>513</v>
      </c>
      <c r="C114">
        <v>941</v>
      </c>
      <c r="D114">
        <v>4317912</v>
      </c>
      <c r="E114">
        <v>32322503099</v>
      </c>
      <c r="F114">
        <v>7403</v>
      </c>
      <c r="G114">
        <v>7450</v>
      </c>
      <c r="H114">
        <v>7450</v>
      </c>
      <c r="I114">
        <v>47</v>
      </c>
      <c r="J114">
        <v>0.63</v>
      </c>
      <c r="K114">
        <v>7486</v>
      </c>
      <c r="L114">
        <v>83</v>
      </c>
      <c r="M114">
        <v>1.1200000000000001</v>
      </c>
      <c r="N114">
        <v>7428</v>
      </c>
      <c r="O114">
        <v>7550</v>
      </c>
      <c r="P114" t="s">
        <v>514</v>
      </c>
      <c r="Q114" t="s">
        <v>2843</v>
      </c>
      <c r="R114">
        <v>2</v>
      </c>
      <c r="S114">
        <v>26519</v>
      </c>
      <c r="T114">
        <v>7447</v>
      </c>
      <c r="U114">
        <v>7450</v>
      </c>
      <c r="V114">
        <v>2525</v>
      </c>
      <c r="W114">
        <v>1</v>
      </c>
    </row>
    <row r="115" spans="1:23" x14ac:dyDescent="0.25">
      <c r="A115" t="s">
        <v>515</v>
      </c>
      <c r="B115" t="s">
        <v>516</v>
      </c>
      <c r="C115">
        <v>0</v>
      </c>
      <c r="D115">
        <v>0</v>
      </c>
      <c r="E115">
        <v>0</v>
      </c>
      <c r="F115">
        <v>995178</v>
      </c>
      <c r="G115">
        <v>0</v>
      </c>
      <c r="H115">
        <v>996600</v>
      </c>
      <c r="I115">
        <v>1422</v>
      </c>
      <c r="J115">
        <v>0.14000000000000001</v>
      </c>
      <c r="K115">
        <v>995178</v>
      </c>
      <c r="L115">
        <v>0</v>
      </c>
      <c r="M115">
        <v>0</v>
      </c>
      <c r="N115">
        <v>0</v>
      </c>
      <c r="O115">
        <v>0</v>
      </c>
      <c r="R115">
        <v>1</v>
      </c>
      <c r="S115">
        <v>500</v>
      </c>
      <c r="T115">
        <v>990900</v>
      </c>
      <c r="U115">
        <v>996600</v>
      </c>
      <c r="V115">
        <v>500</v>
      </c>
      <c r="W115">
        <v>1</v>
      </c>
    </row>
    <row r="116" spans="1:23" x14ac:dyDescent="0.25">
      <c r="A116" t="s">
        <v>517</v>
      </c>
      <c r="B116" t="s">
        <v>518</v>
      </c>
      <c r="C116">
        <v>1075</v>
      </c>
      <c r="D116">
        <v>4267988</v>
      </c>
      <c r="E116">
        <v>52690422873</v>
      </c>
      <c r="F116">
        <v>12181</v>
      </c>
      <c r="G116">
        <v>12401</v>
      </c>
      <c r="H116">
        <v>12330</v>
      </c>
      <c r="I116">
        <v>149</v>
      </c>
      <c r="J116">
        <v>1.22</v>
      </c>
      <c r="K116">
        <v>12345</v>
      </c>
      <c r="L116">
        <v>164</v>
      </c>
      <c r="M116">
        <v>1.35</v>
      </c>
      <c r="N116">
        <v>12260</v>
      </c>
      <c r="O116">
        <v>12480</v>
      </c>
      <c r="P116" t="s">
        <v>519</v>
      </c>
      <c r="Q116" t="s">
        <v>2844</v>
      </c>
      <c r="R116">
        <v>5</v>
      </c>
      <c r="S116">
        <v>14810</v>
      </c>
      <c r="T116">
        <v>12330</v>
      </c>
      <c r="U116">
        <v>12350</v>
      </c>
      <c r="V116">
        <v>6815</v>
      </c>
      <c r="W116">
        <v>1</v>
      </c>
    </row>
    <row r="117" spans="1:23" x14ac:dyDescent="0.25">
      <c r="A117" t="s">
        <v>520</v>
      </c>
      <c r="B117" t="s">
        <v>521</v>
      </c>
      <c r="C117">
        <v>0</v>
      </c>
      <c r="D117">
        <v>0</v>
      </c>
      <c r="E117">
        <v>0</v>
      </c>
      <c r="F117">
        <v>2415</v>
      </c>
      <c r="G117">
        <v>0</v>
      </c>
      <c r="H117">
        <v>2497</v>
      </c>
      <c r="I117">
        <v>82</v>
      </c>
      <c r="J117">
        <v>3.4</v>
      </c>
      <c r="K117">
        <v>2415</v>
      </c>
      <c r="L117">
        <v>0</v>
      </c>
      <c r="M117">
        <v>0</v>
      </c>
      <c r="N117">
        <v>0</v>
      </c>
      <c r="O117">
        <v>0</v>
      </c>
      <c r="P117" t="s">
        <v>522</v>
      </c>
      <c r="Q117" t="s">
        <v>2610</v>
      </c>
      <c r="R117">
        <v>1</v>
      </c>
      <c r="S117">
        <v>1000</v>
      </c>
      <c r="T117">
        <v>2496</v>
      </c>
      <c r="U117">
        <v>2501</v>
      </c>
      <c r="V117">
        <v>500</v>
      </c>
      <c r="W117">
        <v>1</v>
      </c>
    </row>
    <row r="118" spans="1:23" x14ac:dyDescent="0.25">
      <c r="A118" t="s">
        <v>523</v>
      </c>
      <c r="B118" t="s">
        <v>524</v>
      </c>
      <c r="C118">
        <v>0</v>
      </c>
      <c r="D118">
        <v>0</v>
      </c>
      <c r="E118">
        <v>0</v>
      </c>
      <c r="F118">
        <v>885001</v>
      </c>
      <c r="G118">
        <v>0</v>
      </c>
      <c r="H118">
        <v>885001</v>
      </c>
      <c r="I118">
        <v>0</v>
      </c>
      <c r="J118">
        <v>0</v>
      </c>
      <c r="K118">
        <v>885001</v>
      </c>
      <c r="L118">
        <v>0</v>
      </c>
      <c r="M118">
        <v>0</v>
      </c>
      <c r="N118">
        <v>0</v>
      </c>
      <c r="O118">
        <v>0</v>
      </c>
      <c r="R118">
        <v>1</v>
      </c>
      <c r="S118">
        <v>100</v>
      </c>
      <c r="T118">
        <v>880024</v>
      </c>
      <c r="U118">
        <v>918554</v>
      </c>
      <c r="V118">
        <v>100</v>
      </c>
      <c r="W118">
        <v>1</v>
      </c>
    </row>
    <row r="119" spans="1:23" x14ac:dyDescent="0.25">
      <c r="A119" t="s">
        <v>525</v>
      </c>
      <c r="B119" t="s">
        <v>526</v>
      </c>
      <c r="C119">
        <v>1067</v>
      </c>
      <c r="D119">
        <v>14566657</v>
      </c>
      <c r="E119">
        <v>28819459762</v>
      </c>
      <c r="F119">
        <v>1997</v>
      </c>
      <c r="G119">
        <v>1999</v>
      </c>
      <c r="H119">
        <v>1935</v>
      </c>
      <c r="I119">
        <v>-62</v>
      </c>
      <c r="J119">
        <v>-3.1</v>
      </c>
      <c r="K119">
        <v>1978</v>
      </c>
      <c r="L119">
        <v>-19</v>
      </c>
      <c r="M119">
        <v>-0.95</v>
      </c>
      <c r="N119">
        <v>1933</v>
      </c>
      <c r="O119">
        <v>2005</v>
      </c>
      <c r="P119" t="s">
        <v>527</v>
      </c>
      <c r="Q119" t="s">
        <v>2702</v>
      </c>
      <c r="R119">
        <v>2</v>
      </c>
      <c r="S119">
        <v>5639</v>
      </c>
      <c r="T119">
        <v>1933</v>
      </c>
      <c r="U119">
        <v>1940</v>
      </c>
      <c r="V119">
        <v>28609</v>
      </c>
      <c r="W119">
        <v>1</v>
      </c>
    </row>
    <row r="120" spans="1:23" x14ac:dyDescent="0.25">
      <c r="A120" t="s">
        <v>528</v>
      </c>
      <c r="B120" t="s">
        <v>529</v>
      </c>
      <c r="C120">
        <v>0</v>
      </c>
      <c r="D120">
        <v>0</v>
      </c>
      <c r="E120">
        <v>0</v>
      </c>
      <c r="F120">
        <v>1008931</v>
      </c>
      <c r="G120">
        <v>0</v>
      </c>
      <c r="H120">
        <v>1004002</v>
      </c>
      <c r="I120">
        <v>-4929</v>
      </c>
      <c r="J120">
        <v>-0.49</v>
      </c>
      <c r="K120">
        <v>1008931</v>
      </c>
      <c r="L120">
        <v>0</v>
      </c>
      <c r="M120">
        <v>0</v>
      </c>
      <c r="N120">
        <v>0</v>
      </c>
      <c r="O120">
        <v>0</v>
      </c>
      <c r="R120">
        <v>4</v>
      </c>
      <c r="S120">
        <v>71</v>
      </c>
      <c r="T120">
        <v>1005001</v>
      </c>
      <c r="U120">
        <v>1013016</v>
      </c>
      <c r="V120">
        <v>1516</v>
      </c>
      <c r="W120">
        <v>1</v>
      </c>
    </row>
    <row r="121" spans="1:23" x14ac:dyDescent="0.25">
      <c r="A121" t="s">
        <v>530</v>
      </c>
      <c r="B121" t="s">
        <v>531</v>
      </c>
      <c r="C121">
        <v>0</v>
      </c>
      <c r="D121">
        <v>0</v>
      </c>
      <c r="E121">
        <v>0</v>
      </c>
      <c r="F121">
        <v>1001000</v>
      </c>
      <c r="G121">
        <v>0</v>
      </c>
      <c r="H121">
        <v>1001000</v>
      </c>
      <c r="I121">
        <v>0</v>
      </c>
      <c r="J121">
        <v>0</v>
      </c>
      <c r="K121">
        <v>1001000</v>
      </c>
      <c r="L121">
        <v>0</v>
      </c>
      <c r="M121">
        <v>0</v>
      </c>
      <c r="N121">
        <v>0</v>
      </c>
      <c r="O121">
        <v>0</v>
      </c>
      <c r="R121">
        <v>1</v>
      </c>
      <c r="S121">
        <v>200</v>
      </c>
      <c r="T121">
        <v>990181</v>
      </c>
      <c r="U121">
        <v>1000990</v>
      </c>
      <c r="V121">
        <v>600</v>
      </c>
      <c r="W121">
        <v>1</v>
      </c>
    </row>
    <row r="122" spans="1:23" x14ac:dyDescent="0.25">
      <c r="A122" t="s">
        <v>532</v>
      </c>
      <c r="B122" t="s">
        <v>533</v>
      </c>
      <c r="C122">
        <v>0</v>
      </c>
      <c r="D122">
        <v>0</v>
      </c>
      <c r="E122">
        <v>0</v>
      </c>
      <c r="F122">
        <v>1</v>
      </c>
      <c r="G122">
        <v>0</v>
      </c>
      <c r="H122">
        <v>1</v>
      </c>
      <c r="I122">
        <v>0</v>
      </c>
      <c r="J122">
        <v>0</v>
      </c>
      <c r="K122">
        <v>1</v>
      </c>
      <c r="L122">
        <v>0</v>
      </c>
      <c r="M122">
        <v>0</v>
      </c>
      <c r="N122">
        <v>0</v>
      </c>
      <c r="O122">
        <v>0</v>
      </c>
      <c r="R122">
        <v>1</v>
      </c>
      <c r="S122">
        <v>100</v>
      </c>
      <c r="T122">
        <v>30</v>
      </c>
      <c r="U122">
        <v>0</v>
      </c>
      <c r="V122">
        <v>0</v>
      </c>
      <c r="W122">
        <v>0</v>
      </c>
    </row>
    <row r="123" spans="1:23" x14ac:dyDescent="0.25">
      <c r="A123" t="s">
        <v>534</v>
      </c>
      <c r="B123" t="s">
        <v>535</v>
      </c>
      <c r="C123">
        <v>0</v>
      </c>
      <c r="D123">
        <v>0</v>
      </c>
      <c r="E123">
        <v>0</v>
      </c>
      <c r="F123">
        <v>1012860</v>
      </c>
      <c r="G123">
        <v>0</v>
      </c>
      <c r="H123">
        <v>1012860</v>
      </c>
      <c r="I123">
        <v>0</v>
      </c>
      <c r="J123">
        <v>0</v>
      </c>
      <c r="K123">
        <v>1012860</v>
      </c>
      <c r="L123">
        <v>0</v>
      </c>
      <c r="M123">
        <v>0</v>
      </c>
      <c r="N123">
        <v>0</v>
      </c>
      <c r="O123">
        <v>0</v>
      </c>
      <c r="R123">
        <v>1</v>
      </c>
      <c r="S123">
        <v>1250</v>
      </c>
      <c r="T123">
        <v>993000</v>
      </c>
      <c r="U123">
        <v>1012860</v>
      </c>
      <c r="V123">
        <v>1250</v>
      </c>
      <c r="W123">
        <v>1</v>
      </c>
    </row>
    <row r="124" spans="1:23" x14ac:dyDescent="0.25">
      <c r="A124" t="s">
        <v>536</v>
      </c>
      <c r="B124" t="s">
        <v>537</v>
      </c>
      <c r="C124">
        <v>0</v>
      </c>
      <c r="D124">
        <v>0</v>
      </c>
      <c r="E124">
        <v>0</v>
      </c>
      <c r="F124">
        <v>338</v>
      </c>
      <c r="G124">
        <v>0</v>
      </c>
      <c r="H124">
        <v>399</v>
      </c>
      <c r="I124">
        <v>61</v>
      </c>
      <c r="J124">
        <v>18.05</v>
      </c>
      <c r="K124">
        <v>338</v>
      </c>
      <c r="L124">
        <v>0</v>
      </c>
      <c r="M124">
        <v>0</v>
      </c>
      <c r="N124">
        <v>0</v>
      </c>
      <c r="O124">
        <v>0</v>
      </c>
      <c r="R124">
        <v>1</v>
      </c>
      <c r="S124">
        <v>100</v>
      </c>
      <c r="T124">
        <v>31</v>
      </c>
      <c r="U124">
        <v>700</v>
      </c>
      <c r="V124">
        <v>100</v>
      </c>
      <c r="W124">
        <v>1</v>
      </c>
    </row>
    <row r="125" spans="1:23" x14ac:dyDescent="0.25">
      <c r="A125" t="s">
        <v>538</v>
      </c>
      <c r="B125" t="s">
        <v>539</v>
      </c>
      <c r="C125">
        <v>1</v>
      </c>
      <c r="D125">
        <v>2</v>
      </c>
      <c r="E125">
        <v>1982002</v>
      </c>
      <c r="F125">
        <v>991001</v>
      </c>
      <c r="G125">
        <v>991001</v>
      </c>
      <c r="H125">
        <v>991001</v>
      </c>
      <c r="I125">
        <v>0</v>
      </c>
      <c r="J125">
        <v>0</v>
      </c>
      <c r="K125">
        <v>991001</v>
      </c>
      <c r="L125">
        <v>0</v>
      </c>
      <c r="M125">
        <v>0</v>
      </c>
      <c r="N125">
        <v>991001</v>
      </c>
      <c r="O125">
        <v>991001</v>
      </c>
      <c r="R125">
        <v>1</v>
      </c>
      <c r="S125">
        <v>2000</v>
      </c>
      <c r="T125">
        <v>991001</v>
      </c>
      <c r="U125">
        <v>0</v>
      </c>
      <c r="V125">
        <v>0</v>
      </c>
      <c r="W125">
        <v>0</v>
      </c>
    </row>
    <row r="126" spans="1:23" x14ac:dyDescent="0.25">
      <c r="A126" t="s">
        <v>540</v>
      </c>
      <c r="B126" t="s">
        <v>541</v>
      </c>
      <c r="C126">
        <v>7</v>
      </c>
      <c r="D126">
        <v>510</v>
      </c>
      <c r="E126">
        <v>497180300</v>
      </c>
      <c r="F126">
        <v>974401</v>
      </c>
      <c r="G126">
        <v>974590</v>
      </c>
      <c r="H126">
        <v>974900</v>
      </c>
      <c r="I126">
        <v>499</v>
      </c>
      <c r="J126">
        <v>0.05</v>
      </c>
      <c r="K126">
        <v>974863</v>
      </c>
      <c r="L126">
        <v>462</v>
      </c>
      <c r="M126">
        <v>0.05</v>
      </c>
      <c r="N126">
        <v>974590</v>
      </c>
      <c r="O126">
        <v>974900</v>
      </c>
      <c r="R126">
        <v>2</v>
      </c>
      <c r="S126">
        <v>1595</v>
      </c>
      <c r="T126">
        <v>974900</v>
      </c>
      <c r="U126">
        <v>976000</v>
      </c>
      <c r="V126">
        <v>30</v>
      </c>
      <c r="W126">
        <v>1</v>
      </c>
    </row>
    <row r="127" spans="1:23" x14ac:dyDescent="0.25">
      <c r="A127" t="s">
        <v>542</v>
      </c>
      <c r="B127" t="s">
        <v>543</v>
      </c>
      <c r="C127">
        <v>0</v>
      </c>
      <c r="D127">
        <v>0</v>
      </c>
      <c r="E127">
        <v>0</v>
      </c>
      <c r="F127">
        <v>145</v>
      </c>
      <c r="G127">
        <v>0</v>
      </c>
      <c r="H127">
        <v>145</v>
      </c>
      <c r="I127">
        <v>0</v>
      </c>
      <c r="J127">
        <v>0</v>
      </c>
      <c r="K127">
        <v>145</v>
      </c>
      <c r="L127">
        <v>0</v>
      </c>
      <c r="M127">
        <v>0</v>
      </c>
      <c r="N127">
        <v>0</v>
      </c>
      <c r="O127">
        <v>0</v>
      </c>
      <c r="R127">
        <v>1</v>
      </c>
      <c r="S127">
        <v>26</v>
      </c>
      <c r="T127">
        <v>145</v>
      </c>
      <c r="U127">
        <v>190</v>
      </c>
      <c r="V127">
        <v>90</v>
      </c>
      <c r="W127">
        <v>2</v>
      </c>
    </row>
    <row r="128" spans="1:23" x14ac:dyDescent="0.25">
      <c r="A128" t="s">
        <v>544</v>
      </c>
      <c r="B128" t="s">
        <v>545</v>
      </c>
      <c r="C128">
        <v>380</v>
      </c>
      <c r="D128">
        <v>1150354</v>
      </c>
      <c r="E128">
        <v>12841169625</v>
      </c>
      <c r="F128">
        <v>10696</v>
      </c>
      <c r="G128">
        <v>10700</v>
      </c>
      <c r="H128">
        <v>11230</v>
      </c>
      <c r="I128">
        <v>534</v>
      </c>
      <c r="J128">
        <v>4.99</v>
      </c>
      <c r="K128">
        <v>11163</v>
      </c>
      <c r="L128">
        <v>467</v>
      </c>
      <c r="M128">
        <v>4.37</v>
      </c>
      <c r="N128">
        <v>10700</v>
      </c>
      <c r="O128">
        <v>11230</v>
      </c>
      <c r="P128" t="s">
        <v>546</v>
      </c>
      <c r="Q128" t="s">
        <v>2845</v>
      </c>
      <c r="R128">
        <v>21</v>
      </c>
      <c r="S128">
        <v>134626</v>
      </c>
      <c r="T128">
        <v>11230</v>
      </c>
      <c r="U128">
        <v>0</v>
      </c>
      <c r="V128">
        <v>0</v>
      </c>
      <c r="W128">
        <v>0</v>
      </c>
    </row>
    <row r="129" spans="1:23" x14ac:dyDescent="0.25">
      <c r="A129" t="s">
        <v>547</v>
      </c>
      <c r="B129" t="s">
        <v>548</v>
      </c>
      <c r="C129">
        <v>0</v>
      </c>
      <c r="D129">
        <v>0</v>
      </c>
      <c r="E129">
        <v>0</v>
      </c>
      <c r="F129">
        <v>17065</v>
      </c>
      <c r="G129">
        <v>0</v>
      </c>
      <c r="H129">
        <v>17190</v>
      </c>
      <c r="I129">
        <v>125</v>
      </c>
      <c r="J129">
        <v>0.73</v>
      </c>
      <c r="K129">
        <v>17065</v>
      </c>
      <c r="L129">
        <v>0</v>
      </c>
      <c r="M129">
        <v>0</v>
      </c>
      <c r="N129">
        <v>0</v>
      </c>
      <c r="O129">
        <v>0</v>
      </c>
      <c r="R129">
        <v>1</v>
      </c>
      <c r="S129">
        <v>1</v>
      </c>
      <c r="T129">
        <v>16701</v>
      </c>
      <c r="U129">
        <v>17910</v>
      </c>
      <c r="V129">
        <v>1</v>
      </c>
      <c r="W129">
        <v>1</v>
      </c>
    </row>
    <row r="130" spans="1:23" x14ac:dyDescent="0.25">
      <c r="A130" t="s">
        <v>549</v>
      </c>
      <c r="B130" t="s">
        <v>550</v>
      </c>
      <c r="C130">
        <v>239</v>
      </c>
      <c r="D130">
        <v>4771810</v>
      </c>
      <c r="E130">
        <v>23052614110</v>
      </c>
      <c r="F130">
        <v>4601</v>
      </c>
      <c r="G130">
        <v>4831</v>
      </c>
      <c r="H130">
        <v>4831</v>
      </c>
      <c r="I130">
        <v>230</v>
      </c>
      <c r="J130">
        <v>5</v>
      </c>
      <c r="K130">
        <v>4831</v>
      </c>
      <c r="L130">
        <v>230</v>
      </c>
      <c r="M130">
        <v>5</v>
      </c>
      <c r="N130">
        <v>4831</v>
      </c>
      <c r="O130">
        <v>4831</v>
      </c>
      <c r="P130" t="s">
        <v>551</v>
      </c>
      <c r="Q130" t="s">
        <v>2846</v>
      </c>
      <c r="R130">
        <v>772</v>
      </c>
      <c r="S130">
        <v>13423937</v>
      </c>
      <c r="T130">
        <v>4831</v>
      </c>
      <c r="U130">
        <v>5078</v>
      </c>
      <c r="V130">
        <v>4000</v>
      </c>
      <c r="W130">
        <v>2</v>
      </c>
    </row>
    <row r="131" spans="1:23" x14ac:dyDescent="0.25">
      <c r="A131" t="s">
        <v>552</v>
      </c>
      <c r="B131" t="s">
        <v>553</v>
      </c>
      <c r="C131">
        <v>318</v>
      </c>
      <c r="D131">
        <v>565118</v>
      </c>
      <c r="E131">
        <v>8026597308</v>
      </c>
      <c r="F131">
        <v>13794</v>
      </c>
      <c r="G131">
        <v>14000</v>
      </c>
      <c r="H131">
        <v>14250</v>
      </c>
      <c r="I131">
        <v>456</v>
      </c>
      <c r="J131">
        <v>3.31</v>
      </c>
      <c r="K131">
        <v>14203</v>
      </c>
      <c r="L131">
        <v>409</v>
      </c>
      <c r="M131">
        <v>2.97</v>
      </c>
      <c r="N131">
        <v>13812</v>
      </c>
      <c r="O131">
        <v>14400</v>
      </c>
      <c r="P131" t="s">
        <v>554</v>
      </c>
      <c r="Q131" t="s">
        <v>2847</v>
      </c>
      <c r="R131">
        <v>1</v>
      </c>
      <c r="S131">
        <v>100</v>
      </c>
      <c r="T131">
        <v>14210</v>
      </c>
      <c r="U131">
        <v>14250</v>
      </c>
      <c r="V131">
        <v>5590</v>
      </c>
      <c r="W131">
        <v>2</v>
      </c>
    </row>
    <row r="132" spans="1:23" x14ac:dyDescent="0.25">
      <c r="A132" t="s">
        <v>555</v>
      </c>
      <c r="B132" t="s">
        <v>556</v>
      </c>
      <c r="C132">
        <v>346</v>
      </c>
      <c r="D132">
        <v>680351</v>
      </c>
      <c r="E132">
        <v>8127299990</v>
      </c>
      <c r="F132">
        <v>11950</v>
      </c>
      <c r="G132">
        <v>12397</v>
      </c>
      <c r="H132">
        <v>11940</v>
      </c>
      <c r="I132">
        <v>-10</v>
      </c>
      <c r="J132">
        <v>-0.08</v>
      </c>
      <c r="K132">
        <v>11946</v>
      </c>
      <c r="L132">
        <v>-4</v>
      </c>
      <c r="M132">
        <v>-0.03</v>
      </c>
      <c r="N132">
        <v>11740</v>
      </c>
      <c r="O132">
        <v>12397</v>
      </c>
      <c r="P132" t="s">
        <v>557</v>
      </c>
      <c r="Q132" t="s">
        <v>2613</v>
      </c>
      <c r="R132">
        <v>1</v>
      </c>
      <c r="S132">
        <v>87</v>
      </c>
      <c r="T132">
        <v>11900</v>
      </c>
      <c r="U132">
        <v>11998</v>
      </c>
      <c r="V132">
        <v>2598</v>
      </c>
      <c r="W132">
        <v>1</v>
      </c>
    </row>
    <row r="133" spans="1:23" x14ac:dyDescent="0.25">
      <c r="A133" t="s">
        <v>558</v>
      </c>
      <c r="B133" t="s">
        <v>559</v>
      </c>
      <c r="C133">
        <v>429</v>
      </c>
      <c r="D133">
        <v>1507200</v>
      </c>
      <c r="E133">
        <v>11744974725</v>
      </c>
      <c r="F133">
        <v>7762</v>
      </c>
      <c r="G133">
        <v>8200</v>
      </c>
      <c r="H133">
        <v>7606</v>
      </c>
      <c r="I133">
        <v>-156</v>
      </c>
      <c r="J133">
        <v>-2.0099999999999998</v>
      </c>
      <c r="K133">
        <v>7793</v>
      </c>
      <c r="L133">
        <v>31</v>
      </c>
      <c r="M133">
        <v>0.4</v>
      </c>
      <c r="N133">
        <v>7407</v>
      </c>
      <c r="O133">
        <v>8200</v>
      </c>
      <c r="P133" t="s">
        <v>560</v>
      </c>
      <c r="Q133" t="s">
        <v>2848</v>
      </c>
      <c r="R133">
        <v>1</v>
      </c>
      <c r="S133">
        <v>1000</v>
      </c>
      <c r="T133">
        <v>7575</v>
      </c>
      <c r="U133">
        <v>7606</v>
      </c>
      <c r="V133">
        <v>4539</v>
      </c>
      <c r="W133">
        <v>1</v>
      </c>
    </row>
    <row r="134" spans="1:23" x14ac:dyDescent="0.25">
      <c r="A134" t="s">
        <v>561</v>
      </c>
      <c r="B134" t="s">
        <v>562</v>
      </c>
      <c r="C134">
        <v>10864</v>
      </c>
      <c r="D134">
        <v>267197314</v>
      </c>
      <c r="E134">
        <v>468118156389</v>
      </c>
      <c r="F134">
        <v>1670</v>
      </c>
      <c r="G134">
        <v>1753</v>
      </c>
      <c r="H134">
        <v>1753</v>
      </c>
      <c r="I134">
        <v>83</v>
      </c>
      <c r="J134">
        <v>4.97</v>
      </c>
      <c r="K134">
        <v>1752</v>
      </c>
      <c r="L134">
        <v>82</v>
      </c>
      <c r="M134">
        <v>4.91</v>
      </c>
      <c r="N134">
        <v>1720</v>
      </c>
      <c r="O134">
        <v>1753</v>
      </c>
      <c r="P134" t="s">
        <v>563</v>
      </c>
      <c r="Q134" t="s">
        <v>2849</v>
      </c>
      <c r="R134">
        <v>1925</v>
      </c>
      <c r="S134">
        <v>103218765</v>
      </c>
      <c r="T134">
        <v>1753</v>
      </c>
      <c r="U134">
        <v>0</v>
      </c>
      <c r="V134">
        <v>0</v>
      </c>
      <c r="W134">
        <v>0</v>
      </c>
    </row>
    <row r="135" spans="1:23" x14ac:dyDescent="0.25">
      <c r="A135" t="s">
        <v>564</v>
      </c>
      <c r="B135" t="s">
        <v>565</v>
      </c>
      <c r="C135">
        <v>0</v>
      </c>
      <c r="D135">
        <v>0</v>
      </c>
      <c r="E135">
        <v>0</v>
      </c>
      <c r="F135">
        <v>58085</v>
      </c>
      <c r="G135">
        <v>0</v>
      </c>
      <c r="H135">
        <v>59677</v>
      </c>
      <c r="I135">
        <v>1592</v>
      </c>
      <c r="J135">
        <v>2.74</v>
      </c>
      <c r="K135">
        <v>58085</v>
      </c>
      <c r="L135">
        <v>0</v>
      </c>
      <c r="M135">
        <v>0</v>
      </c>
      <c r="N135">
        <v>0</v>
      </c>
      <c r="O135">
        <v>0</v>
      </c>
      <c r="R135">
        <v>1</v>
      </c>
      <c r="S135">
        <v>1</v>
      </c>
      <c r="T135">
        <v>55181</v>
      </c>
      <c r="U135">
        <v>60500</v>
      </c>
      <c r="V135">
        <v>1</v>
      </c>
      <c r="W135">
        <v>1</v>
      </c>
    </row>
    <row r="136" spans="1:23" x14ac:dyDescent="0.25">
      <c r="A136" t="s">
        <v>566</v>
      </c>
      <c r="B136" t="s">
        <v>567</v>
      </c>
      <c r="C136">
        <v>44</v>
      </c>
      <c r="D136">
        <v>9373</v>
      </c>
      <c r="E136">
        <v>883835040</v>
      </c>
      <c r="F136">
        <v>97518</v>
      </c>
      <c r="G136">
        <v>94000</v>
      </c>
      <c r="H136">
        <v>95000</v>
      </c>
      <c r="I136">
        <v>-2518</v>
      </c>
      <c r="J136">
        <v>-2.58</v>
      </c>
      <c r="K136">
        <v>94296</v>
      </c>
      <c r="L136">
        <v>-3222</v>
      </c>
      <c r="M136">
        <v>-3.3</v>
      </c>
      <c r="N136">
        <v>93500</v>
      </c>
      <c r="O136">
        <v>97600</v>
      </c>
      <c r="R136">
        <v>2</v>
      </c>
      <c r="S136">
        <v>471</v>
      </c>
      <c r="T136">
        <v>94521</v>
      </c>
      <c r="U136">
        <v>95000</v>
      </c>
      <c r="V136">
        <v>3444</v>
      </c>
      <c r="W136">
        <v>4</v>
      </c>
    </row>
    <row r="137" spans="1:23" x14ac:dyDescent="0.25">
      <c r="A137" t="s">
        <v>568</v>
      </c>
      <c r="B137" t="s">
        <v>569</v>
      </c>
      <c r="C137">
        <v>324</v>
      </c>
      <c r="D137">
        <v>3232507</v>
      </c>
      <c r="E137">
        <v>8409703424</v>
      </c>
      <c r="F137">
        <v>2561</v>
      </c>
      <c r="G137">
        <v>2610</v>
      </c>
      <c r="H137">
        <v>2550</v>
      </c>
      <c r="I137">
        <v>-11</v>
      </c>
      <c r="J137">
        <v>-0.43</v>
      </c>
      <c r="K137">
        <v>2602</v>
      </c>
      <c r="L137">
        <v>41</v>
      </c>
      <c r="M137">
        <v>1.6</v>
      </c>
      <c r="N137">
        <v>2515</v>
      </c>
      <c r="O137">
        <v>2630</v>
      </c>
      <c r="P137" t="s">
        <v>570</v>
      </c>
      <c r="Q137" t="s">
        <v>662</v>
      </c>
      <c r="R137">
        <v>1</v>
      </c>
      <c r="S137">
        <v>931</v>
      </c>
      <c r="T137">
        <v>2550</v>
      </c>
      <c r="U137">
        <v>2587</v>
      </c>
      <c r="V137">
        <v>45000</v>
      </c>
      <c r="W137">
        <v>1</v>
      </c>
    </row>
    <row r="138" spans="1:23" x14ac:dyDescent="0.25">
      <c r="A138" t="s">
        <v>571</v>
      </c>
      <c r="B138" t="s">
        <v>572</v>
      </c>
      <c r="C138">
        <v>2291</v>
      </c>
      <c r="D138">
        <v>39361659</v>
      </c>
      <c r="E138">
        <v>76350025885</v>
      </c>
      <c r="F138">
        <v>1956</v>
      </c>
      <c r="G138">
        <v>1956</v>
      </c>
      <c r="H138">
        <v>1933</v>
      </c>
      <c r="I138">
        <v>-23</v>
      </c>
      <c r="J138">
        <v>-1.18</v>
      </c>
      <c r="K138">
        <v>1940</v>
      </c>
      <c r="L138">
        <v>-16</v>
      </c>
      <c r="M138">
        <v>-0.82</v>
      </c>
      <c r="N138">
        <v>1910</v>
      </c>
      <c r="O138">
        <v>1967</v>
      </c>
      <c r="P138" t="s">
        <v>573</v>
      </c>
      <c r="Q138" t="s">
        <v>2850</v>
      </c>
      <c r="R138">
        <v>4</v>
      </c>
      <c r="S138">
        <v>157960</v>
      </c>
      <c r="T138">
        <v>1932</v>
      </c>
      <c r="U138">
        <v>1933</v>
      </c>
      <c r="V138">
        <v>6816</v>
      </c>
      <c r="W138">
        <v>1</v>
      </c>
    </row>
    <row r="139" spans="1:23" x14ac:dyDescent="0.25">
      <c r="A139" t="s">
        <v>574</v>
      </c>
      <c r="B139" t="s">
        <v>575</v>
      </c>
      <c r="C139">
        <v>66</v>
      </c>
      <c r="D139">
        <v>87988</v>
      </c>
      <c r="E139">
        <v>76473824901</v>
      </c>
      <c r="F139">
        <v>867987</v>
      </c>
      <c r="G139">
        <v>860000</v>
      </c>
      <c r="H139">
        <v>870198</v>
      </c>
      <c r="I139">
        <v>2211</v>
      </c>
      <c r="J139">
        <v>0.25</v>
      </c>
      <c r="K139">
        <v>869139</v>
      </c>
      <c r="L139">
        <v>1152</v>
      </c>
      <c r="M139">
        <v>0.13</v>
      </c>
      <c r="N139">
        <v>860000</v>
      </c>
      <c r="O139">
        <v>871000</v>
      </c>
      <c r="R139">
        <v>1</v>
      </c>
      <c r="S139">
        <v>1370</v>
      </c>
      <c r="T139">
        <v>869724</v>
      </c>
      <c r="U139">
        <v>870290</v>
      </c>
      <c r="V139">
        <v>156</v>
      </c>
      <c r="W139">
        <v>1</v>
      </c>
    </row>
    <row r="140" spans="1:23" x14ac:dyDescent="0.25">
      <c r="A140" t="s">
        <v>576</v>
      </c>
      <c r="B140" t="s">
        <v>577</v>
      </c>
      <c r="C140">
        <v>163</v>
      </c>
      <c r="D140">
        <v>2484036</v>
      </c>
      <c r="E140">
        <v>45254167848</v>
      </c>
      <c r="F140">
        <v>17351</v>
      </c>
      <c r="G140">
        <v>18218</v>
      </c>
      <c r="H140">
        <v>18218</v>
      </c>
      <c r="I140">
        <v>867</v>
      </c>
      <c r="J140">
        <v>5</v>
      </c>
      <c r="K140">
        <v>18218</v>
      </c>
      <c r="L140">
        <v>867</v>
      </c>
      <c r="M140">
        <v>5</v>
      </c>
      <c r="N140">
        <v>18218</v>
      </c>
      <c r="O140">
        <v>18218</v>
      </c>
      <c r="P140" t="s">
        <v>578</v>
      </c>
      <c r="Q140" t="s">
        <v>2851</v>
      </c>
      <c r="R140">
        <v>144</v>
      </c>
      <c r="S140">
        <v>4047286</v>
      </c>
      <c r="T140">
        <v>18218</v>
      </c>
      <c r="U140">
        <v>23013</v>
      </c>
      <c r="V140">
        <v>1013</v>
      </c>
      <c r="W140">
        <v>1</v>
      </c>
    </row>
    <row r="141" spans="1:23" x14ac:dyDescent="0.25">
      <c r="A141" t="s">
        <v>580</v>
      </c>
      <c r="B141" t="s">
        <v>581</v>
      </c>
      <c r="C141">
        <v>0</v>
      </c>
      <c r="D141">
        <v>0</v>
      </c>
      <c r="E141">
        <v>0</v>
      </c>
      <c r="F141">
        <v>3647</v>
      </c>
      <c r="G141">
        <v>0</v>
      </c>
      <c r="H141">
        <v>3812</v>
      </c>
      <c r="I141">
        <v>165</v>
      </c>
      <c r="J141">
        <v>4.5199999999999996</v>
      </c>
      <c r="K141">
        <v>3647</v>
      </c>
      <c r="L141">
        <v>0</v>
      </c>
      <c r="M141">
        <v>0</v>
      </c>
      <c r="N141">
        <v>0</v>
      </c>
      <c r="O141">
        <v>0</v>
      </c>
      <c r="P141" t="s">
        <v>582</v>
      </c>
      <c r="Q141" t="s">
        <v>2614</v>
      </c>
      <c r="R141">
        <v>1</v>
      </c>
      <c r="S141">
        <v>2000</v>
      </c>
      <c r="T141">
        <v>3700</v>
      </c>
      <c r="U141">
        <v>4822</v>
      </c>
      <c r="V141">
        <v>47684</v>
      </c>
      <c r="W141">
        <v>2</v>
      </c>
    </row>
    <row r="142" spans="1:23" x14ac:dyDescent="0.25">
      <c r="A142" t="s">
        <v>583</v>
      </c>
      <c r="B142" t="s">
        <v>584</v>
      </c>
      <c r="C142">
        <v>23</v>
      </c>
      <c r="D142">
        <v>12724</v>
      </c>
      <c r="E142">
        <v>1165381161</v>
      </c>
      <c r="F142">
        <v>93762</v>
      </c>
      <c r="G142">
        <v>91450</v>
      </c>
      <c r="H142">
        <v>91444</v>
      </c>
      <c r="I142">
        <v>-2318</v>
      </c>
      <c r="J142">
        <v>-2.4700000000000002</v>
      </c>
      <c r="K142">
        <v>91589</v>
      </c>
      <c r="L142">
        <v>-2173</v>
      </c>
      <c r="M142">
        <v>-2.3199999999999998</v>
      </c>
      <c r="N142">
        <v>91444</v>
      </c>
      <c r="O142">
        <v>93000</v>
      </c>
      <c r="R142">
        <v>2</v>
      </c>
      <c r="S142">
        <v>3020</v>
      </c>
      <c r="T142">
        <v>91200</v>
      </c>
      <c r="U142">
        <v>91500</v>
      </c>
      <c r="V142">
        <v>600</v>
      </c>
      <c r="W142">
        <v>1</v>
      </c>
    </row>
    <row r="143" spans="1:23" x14ac:dyDescent="0.25">
      <c r="A143" t="s">
        <v>585</v>
      </c>
      <c r="B143" t="s">
        <v>586</v>
      </c>
      <c r="C143">
        <v>267</v>
      </c>
      <c r="D143">
        <v>3398126</v>
      </c>
      <c r="E143">
        <v>9743155492</v>
      </c>
      <c r="F143">
        <v>2785</v>
      </c>
      <c r="G143">
        <v>2880</v>
      </c>
      <c r="H143">
        <v>2840</v>
      </c>
      <c r="I143">
        <v>55</v>
      </c>
      <c r="J143">
        <v>1.97</v>
      </c>
      <c r="K143">
        <v>2867</v>
      </c>
      <c r="L143">
        <v>82</v>
      </c>
      <c r="M143">
        <v>2.94</v>
      </c>
      <c r="N143">
        <v>2820</v>
      </c>
      <c r="O143">
        <v>2910</v>
      </c>
      <c r="R143">
        <v>1</v>
      </c>
      <c r="S143">
        <v>10000</v>
      </c>
      <c r="T143">
        <v>2840</v>
      </c>
      <c r="U143">
        <v>2888</v>
      </c>
      <c r="V143">
        <v>12927</v>
      </c>
      <c r="W143">
        <v>2</v>
      </c>
    </row>
    <row r="144" spans="1:23" x14ac:dyDescent="0.25">
      <c r="A144" t="s">
        <v>2615</v>
      </c>
      <c r="B144" t="s">
        <v>2616</v>
      </c>
      <c r="C144">
        <v>1593</v>
      </c>
      <c r="D144">
        <v>3716081</v>
      </c>
      <c r="E144">
        <v>44562238396</v>
      </c>
      <c r="F144">
        <v>11606</v>
      </c>
      <c r="G144">
        <v>10446</v>
      </c>
      <c r="H144">
        <v>11930</v>
      </c>
      <c r="I144">
        <v>324</v>
      </c>
      <c r="J144">
        <v>2.79</v>
      </c>
      <c r="K144">
        <v>11992</v>
      </c>
      <c r="L144">
        <v>386</v>
      </c>
      <c r="M144">
        <v>3.33</v>
      </c>
      <c r="N144">
        <v>10446</v>
      </c>
      <c r="O144">
        <v>12598</v>
      </c>
      <c r="P144" t="s">
        <v>2617</v>
      </c>
      <c r="Q144" t="s">
        <v>2852</v>
      </c>
      <c r="R144">
        <v>3</v>
      </c>
      <c r="S144">
        <v>3084</v>
      </c>
      <c r="T144">
        <v>11920</v>
      </c>
      <c r="U144">
        <v>11930</v>
      </c>
      <c r="V144">
        <v>785</v>
      </c>
      <c r="W144">
        <v>1</v>
      </c>
    </row>
    <row r="145" spans="1:23" x14ac:dyDescent="0.25">
      <c r="A145" t="s">
        <v>587</v>
      </c>
      <c r="B145" t="s">
        <v>588</v>
      </c>
      <c r="C145">
        <v>198</v>
      </c>
      <c r="D145">
        <v>114135</v>
      </c>
      <c r="E145">
        <v>1862543373</v>
      </c>
      <c r="F145">
        <v>16033</v>
      </c>
      <c r="G145">
        <v>16400</v>
      </c>
      <c r="H145">
        <v>16220</v>
      </c>
      <c r="I145">
        <v>187</v>
      </c>
      <c r="J145">
        <v>1.17</v>
      </c>
      <c r="K145">
        <v>16319</v>
      </c>
      <c r="L145">
        <v>286</v>
      </c>
      <c r="M145">
        <v>1.78</v>
      </c>
      <c r="N145">
        <v>16200</v>
      </c>
      <c r="O145">
        <v>16700</v>
      </c>
      <c r="P145" t="s">
        <v>589</v>
      </c>
      <c r="Q145" t="s">
        <v>2853</v>
      </c>
      <c r="R145">
        <v>1</v>
      </c>
      <c r="S145">
        <v>63</v>
      </c>
      <c r="T145">
        <v>16217</v>
      </c>
      <c r="U145">
        <v>16220</v>
      </c>
      <c r="V145">
        <v>9028</v>
      </c>
      <c r="W145">
        <v>1</v>
      </c>
    </row>
    <row r="146" spans="1:23" x14ac:dyDescent="0.25">
      <c r="A146" t="s">
        <v>590</v>
      </c>
      <c r="B146" t="s">
        <v>591</v>
      </c>
      <c r="C146">
        <v>373</v>
      </c>
      <c r="D146">
        <v>1526613</v>
      </c>
      <c r="E146">
        <v>11789869441</v>
      </c>
      <c r="F146">
        <v>7463</v>
      </c>
      <c r="G146">
        <v>7650</v>
      </c>
      <c r="H146">
        <v>7836</v>
      </c>
      <c r="I146">
        <v>373</v>
      </c>
      <c r="J146">
        <v>5</v>
      </c>
      <c r="K146">
        <v>7723</v>
      </c>
      <c r="L146">
        <v>260</v>
      </c>
      <c r="M146">
        <v>3.48</v>
      </c>
      <c r="N146">
        <v>7505</v>
      </c>
      <c r="O146">
        <v>7836</v>
      </c>
      <c r="P146" t="s">
        <v>592</v>
      </c>
      <c r="Q146" t="s">
        <v>2854</v>
      </c>
      <c r="R146">
        <v>88</v>
      </c>
      <c r="S146">
        <v>1403963</v>
      </c>
      <c r="T146">
        <v>7836</v>
      </c>
      <c r="U146">
        <v>7880</v>
      </c>
      <c r="V146">
        <v>300</v>
      </c>
      <c r="W146">
        <v>1</v>
      </c>
    </row>
    <row r="147" spans="1:23" x14ac:dyDescent="0.25">
      <c r="A147" t="s">
        <v>593</v>
      </c>
      <c r="B147" t="s">
        <v>594</v>
      </c>
      <c r="C147">
        <v>0</v>
      </c>
      <c r="D147">
        <v>0</v>
      </c>
      <c r="E147">
        <v>0</v>
      </c>
      <c r="F147">
        <v>14810</v>
      </c>
      <c r="G147">
        <v>0</v>
      </c>
      <c r="H147">
        <v>14812</v>
      </c>
      <c r="I147">
        <v>2</v>
      </c>
      <c r="J147">
        <v>0.01</v>
      </c>
      <c r="K147">
        <v>14810</v>
      </c>
      <c r="L147">
        <v>0</v>
      </c>
      <c r="M147">
        <v>0</v>
      </c>
      <c r="N147">
        <v>0</v>
      </c>
      <c r="O147">
        <v>0</v>
      </c>
      <c r="R147">
        <v>1</v>
      </c>
      <c r="S147">
        <v>30000</v>
      </c>
      <c r="T147">
        <v>14810</v>
      </c>
      <c r="U147">
        <v>15254</v>
      </c>
      <c r="V147">
        <v>30000</v>
      </c>
      <c r="W147">
        <v>1</v>
      </c>
    </row>
    <row r="148" spans="1:23" x14ac:dyDescent="0.25">
      <c r="A148" t="s">
        <v>595</v>
      </c>
      <c r="B148" t="s">
        <v>596</v>
      </c>
      <c r="C148">
        <v>1</v>
      </c>
      <c r="D148">
        <v>1</v>
      </c>
      <c r="E148">
        <v>1000001</v>
      </c>
      <c r="F148">
        <v>1001000</v>
      </c>
      <c r="G148">
        <v>1000001</v>
      </c>
      <c r="H148">
        <v>1000001</v>
      </c>
      <c r="I148">
        <v>-999</v>
      </c>
      <c r="J148">
        <v>-0.1</v>
      </c>
      <c r="K148">
        <v>1000001</v>
      </c>
      <c r="L148">
        <v>-999</v>
      </c>
      <c r="M148">
        <v>-0.1</v>
      </c>
      <c r="N148">
        <v>1000001</v>
      </c>
      <c r="O148">
        <v>1000001</v>
      </c>
      <c r="R148">
        <v>1</v>
      </c>
      <c r="S148">
        <v>4929</v>
      </c>
      <c r="T148">
        <v>1000001</v>
      </c>
      <c r="U148">
        <v>1001000</v>
      </c>
      <c r="V148">
        <v>2831</v>
      </c>
      <c r="W148">
        <v>1</v>
      </c>
    </row>
    <row r="149" spans="1:23" x14ac:dyDescent="0.25">
      <c r="A149" t="s">
        <v>597</v>
      </c>
      <c r="B149" t="s">
        <v>598</v>
      </c>
      <c r="C149">
        <v>13</v>
      </c>
      <c r="D149">
        <v>126153</v>
      </c>
      <c r="E149">
        <v>3162403404</v>
      </c>
      <c r="F149">
        <v>23875</v>
      </c>
      <c r="G149">
        <v>25068</v>
      </c>
      <c r="H149">
        <v>25068</v>
      </c>
      <c r="I149">
        <v>1193</v>
      </c>
      <c r="J149">
        <v>5</v>
      </c>
      <c r="K149">
        <v>25068</v>
      </c>
      <c r="L149">
        <v>1193</v>
      </c>
      <c r="M149">
        <v>5</v>
      </c>
      <c r="N149">
        <v>25068</v>
      </c>
      <c r="O149">
        <v>25068</v>
      </c>
      <c r="P149" t="s">
        <v>599</v>
      </c>
      <c r="Q149" t="s">
        <v>2855</v>
      </c>
      <c r="R149">
        <v>88</v>
      </c>
      <c r="S149">
        <v>1530729</v>
      </c>
      <c r="T149">
        <v>25068</v>
      </c>
      <c r="U149">
        <v>0</v>
      </c>
      <c r="V149">
        <v>0</v>
      </c>
      <c r="W149">
        <v>0</v>
      </c>
    </row>
    <row r="150" spans="1:23" x14ac:dyDescent="0.25">
      <c r="A150" t="s">
        <v>600</v>
      </c>
      <c r="B150" t="s">
        <v>601</v>
      </c>
      <c r="C150">
        <v>101</v>
      </c>
      <c r="D150">
        <v>877</v>
      </c>
      <c r="E150">
        <v>356613479</v>
      </c>
      <c r="F150">
        <v>413878</v>
      </c>
      <c r="G150">
        <v>395000</v>
      </c>
      <c r="H150">
        <v>410000</v>
      </c>
      <c r="I150">
        <v>-3878</v>
      </c>
      <c r="J150">
        <v>-0.94</v>
      </c>
      <c r="K150">
        <v>406629</v>
      </c>
      <c r="L150">
        <v>-7249</v>
      </c>
      <c r="M150">
        <v>-1.75</v>
      </c>
      <c r="N150">
        <v>393185</v>
      </c>
      <c r="O150">
        <v>420000</v>
      </c>
      <c r="R150">
        <v>1</v>
      </c>
      <c r="S150">
        <v>55</v>
      </c>
      <c r="T150">
        <v>410000</v>
      </c>
      <c r="U150">
        <v>419999</v>
      </c>
      <c r="V150">
        <v>22</v>
      </c>
      <c r="W150">
        <v>2</v>
      </c>
    </row>
    <row r="151" spans="1:23" x14ac:dyDescent="0.25">
      <c r="A151" t="s">
        <v>602</v>
      </c>
      <c r="B151" t="s">
        <v>603</v>
      </c>
      <c r="C151">
        <v>0</v>
      </c>
      <c r="D151">
        <v>0</v>
      </c>
      <c r="E151">
        <v>0</v>
      </c>
      <c r="F151">
        <v>2949</v>
      </c>
      <c r="G151">
        <v>0</v>
      </c>
      <c r="H151">
        <v>2850</v>
      </c>
      <c r="I151">
        <v>-99</v>
      </c>
      <c r="J151">
        <v>-3.36</v>
      </c>
      <c r="K151">
        <v>2949</v>
      </c>
      <c r="L151">
        <v>0</v>
      </c>
      <c r="M151">
        <v>0</v>
      </c>
      <c r="N151">
        <v>0</v>
      </c>
      <c r="O151">
        <v>0</v>
      </c>
      <c r="P151" t="s">
        <v>604</v>
      </c>
      <c r="Q151" t="s">
        <v>2618</v>
      </c>
      <c r="R151">
        <v>3</v>
      </c>
      <c r="S151">
        <v>3200</v>
      </c>
      <c r="T151">
        <v>2701</v>
      </c>
      <c r="U151">
        <v>2950</v>
      </c>
      <c r="V151">
        <v>16699</v>
      </c>
      <c r="W151">
        <v>1</v>
      </c>
    </row>
    <row r="152" spans="1:23" x14ac:dyDescent="0.25">
      <c r="A152" t="s">
        <v>606</v>
      </c>
      <c r="B152" t="s">
        <v>607</v>
      </c>
      <c r="C152">
        <v>0</v>
      </c>
      <c r="D152">
        <v>0</v>
      </c>
      <c r="E152">
        <v>0</v>
      </c>
      <c r="F152">
        <v>790</v>
      </c>
      <c r="G152">
        <v>0</v>
      </c>
      <c r="H152">
        <v>790</v>
      </c>
      <c r="I152">
        <v>0</v>
      </c>
      <c r="J152">
        <v>0</v>
      </c>
      <c r="K152">
        <v>790</v>
      </c>
      <c r="L152">
        <v>0</v>
      </c>
      <c r="M152">
        <v>0</v>
      </c>
      <c r="N152">
        <v>0</v>
      </c>
      <c r="O152">
        <v>0</v>
      </c>
      <c r="R152">
        <v>2</v>
      </c>
      <c r="S152">
        <v>33</v>
      </c>
      <c r="T152">
        <v>532</v>
      </c>
      <c r="U152">
        <v>888</v>
      </c>
      <c r="V152">
        <v>10</v>
      </c>
      <c r="W152">
        <v>1</v>
      </c>
    </row>
    <row r="153" spans="1:23" x14ac:dyDescent="0.25">
      <c r="A153" t="s">
        <v>608</v>
      </c>
      <c r="B153" t="s">
        <v>609</v>
      </c>
      <c r="C153">
        <v>25</v>
      </c>
      <c r="D153">
        <v>320703</v>
      </c>
      <c r="E153">
        <v>4889920814</v>
      </c>
      <c r="F153">
        <v>15232</v>
      </c>
      <c r="G153">
        <v>15248</v>
      </c>
      <c r="H153">
        <v>15238</v>
      </c>
      <c r="I153">
        <v>6</v>
      </c>
      <c r="J153">
        <v>0.04</v>
      </c>
      <c r="K153">
        <v>15248</v>
      </c>
      <c r="L153">
        <v>16</v>
      </c>
      <c r="M153">
        <v>0.11</v>
      </c>
      <c r="N153">
        <v>15238</v>
      </c>
      <c r="O153">
        <v>15248</v>
      </c>
      <c r="R153">
        <v>22</v>
      </c>
      <c r="S153">
        <v>1991705</v>
      </c>
      <c r="T153">
        <v>15238</v>
      </c>
      <c r="U153">
        <v>15248</v>
      </c>
      <c r="V153">
        <v>195150</v>
      </c>
      <c r="W153">
        <v>2</v>
      </c>
    </row>
    <row r="154" spans="1:23" x14ac:dyDescent="0.25">
      <c r="A154" t="s">
        <v>610</v>
      </c>
      <c r="B154" t="s">
        <v>611</v>
      </c>
      <c r="C154">
        <v>0</v>
      </c>
      <c r="D154">
        <v>0</v>
      </c>
      <c r="E154">
        <v>0</v>
      </c>
      <c r="F154">
        <v>3487</v>
      </c>
      <c r="G154">
        <v>0</v>
      </c>
      <c r="H154">
        <v>3487</v>
      </c>
      <c r="I154">
        <v>0</v>
      </c>
      <c r="J154">
        <v>0</v>
      </c>
      <c r="K154">
        <v>3487</v>
      </c>
      <c r="L154">
        <v>0</v>
      </c>
      <c r="M154">
        <v>0</v>
      </c>
      <c r="N154">
        <v>0</v>
      </c>
      <c r="O154">
        <v>0</v>
      </c>
      <c r="P154" t="s">
        <v>612</v>
      </c>
      <c r="Q154" t="s">
        <v>613</v>
      </c>
      <c r="R154">
        <v>1</v>
      </c>
      <c r="S154">
        <v>11060</v>
      </c>
      <c r="T154">
        <v>4500</v>
      </c>
      <c r="U154">
        <v>999980</v>
      </c>
      <c r="V154">
        <v>1</v>
      </c>
      <c r="W154">
        <v>1</v>
      </c>
    </row>
    <row r="155" spans="1:23" x14ac:dyDescent="0.25">
      <c r="A155" t="s">
        <v>614</v>
      </c>
      <c r="B155" t="s">
        <v>615</v>
      </c>
      <c r="C155">
        <v>62</v>
      </c>
      <c r="D155">
        <v>604</v>
      </c>
      <c r="E155">
        <v>243232152</v>
      </c>
      <c r="F155">
        <v>410493</v>
      </c>
      <c r="G155">
        <v>395515</v>
      </c>
      <c r="H155">
        <v>400314</v>
      </c>
      <c r="I155">
        <v>-10179</v>
      </c>
      <c r="J155">
        <v>-2.48</v>
      </c>
      <c r="K155">
        <v>402702</v>
      </c>
      <c r="L155">
        <v>-7791</v>
      </c>
      <c r="M155">
        <v>-1.9</v>
      </c>
      <c r="N155">
        <v>395515</v>
      </c>
      <c r="O155">
        <v>410000</v>
      </c>
      <c r="R155">
        <v>1</v>
      </c>
      <c r="S155">
        <v>9</v>
      </c>
      <c r="T155">
        <v>400444</v>
      </c>
      <c r="U155">
        <v>407000</v>
      </c>
      <c r="V155">
        <v>3</v>
      </c>
      <c r="W155">
        <v>1</v>
      </c>
    </row>
    <row r="156" spans="1:23" x14ac:dyDescent="0.25">
      <c r="A156" t="s">
        <v>616</v>
      </c>
      <c r="B156" t="s">
        <v>617</v>
      </c>
      <c r="C156">
        <v>0</v>
      </c>
      <c r="D156">
        <v>0</v>
      </c>
      <c r="E156">
        <v>0</v>
      </c>
      <c r="F156">
        <v>986830</v>
      </c>
      <c r="G156">
        <v>0</v>
      </c>
      <c r="H156">
        <v>986830</v>
      </c>
      <c r="I156">
        <v>0</v>
      </c>
      <c r="J156">
        <v>0</v>
      </c>
      <c r="K156">
        <v>986830</v>
      </c>
      <c r="L156">
        <v>0</v>
      </c>
      <c r="M156">
        <v>0</v>
      </c>
      <c r="N156">
        <v>0</v>
      </c>
      <c r="O156">
        <v>0</v>
      </c>
      <c r="R156">
        <v>1</v>
      </c>
      <c r="S156">
        <v>200</v>
      </c>
      <c r="T156">
        <v>965002</v>
      </c>
      <c r="U156">
        <v>0</v>
      </c>
      <c r="V156">
        <v>0</v>
      </c>
      <c r="W156">
        <v>0</v>
      </c>
    </row>
    <row r="157" spans="1:23" x14ac:dyDescent="0.25">
      <c r="A157" t="s">
        <v>618</v>
      </c>
      <c r="B157" t="s">
        <v>619</v>
      </c>
      <c r="C157">
        <v>321</v>
      </c>
      <c r="D157">
        <v>3335825</v>
      </c>
      <c r="E157">
        <v>6342624404</v>
      </c>
      <c r="F157">
        <v>1854</v>
      </c>
      <c r="G157">
        <v>1894</v>
      </c>
      <c r="H157">
        <v>1896</v>
      </c>
      <c r="I157">
        <v>42</v>
      </c>
      <c r="J157">
        <v>2.27</v>
      </c>
      <c r="K157">
        <v>1901</v>
      </c>
      <c r="L157">
        <v>47</v>
      </c>
      <c r="M157">
        <v>2.54</v>
      </c>
      <c r="N157">
        <v>1857</v>
      </c>
      <c r="O157">
        <v>1930</v>
      </c>
      <c r="P157" t="s">
        <v>620</v>
      </c>
      <c r="Q157" t="s">
        <v>2702</v>
      </c>
      <c r="R157">
        <v>1</v>
      </c>
      <c r="S157">
        <v>3000</v>
      </c>
      <c r="T157">
        <v>1893</v>
      </c>
      <c r="U157">
        <v>1896</v>
      </c>
      <c r="V157">
        <v>24678</v>
      </c>
      <c r="W157">
        <v>1</v>
      </c>
    </row>
    <row r="158" spans="1:23" x14ac:dyDescent="0.25">
      <c r="A158" t="s">
        <v>621</v>
      </c>
      <c r="B158" t="s">
        <v>622</v>
      </c>
      <c r="C158">
        <v>36</v>
      </c>
      <c r="D158">
        <v>283</v>
      </c>
      <c r="E158">
        <v>113244129</v>
      </c>
      <c r="F158">
        <v>412714</v>
      </c>
      <c r="G158">
        <v>393010</v>
      </c>
      <c r="H158">
        <v>400000</v>
      </c>
      <c r="I158">
        <v>-12714</v>
      </c>
      <c r="J158">
        <v>-3.08</v>
      </c>
      <c r="K158">
        <v>400156</v>
      </c>
      <c r="L158">
        <v>-12558</v>
      </c>
      <c r="M158">
        <v>-3.04</v>
      </c>
      <c r="N158">
        <v>393000</v>
      </c>
      <c r="O158">
        <v>410000</v>
      </c>
      <c r="R158">
        <v>1</v>
      </c>
      <c r="S158">
        <v>16</v>
      </c>
      <c r="T158">
        <v>400000</v>
      </c>
      <c r="U158">
        <v>411990</v>
      </c>
      <c r="V158">
        <v>14</v>
      </c>
      <c r="W158">
        <v>1</v>
      </c>
    </row>
    <row r="159" spans="1:23" x14ac:dyDescent="0.25">
      <c r="A159" t="s">
        <v>623</v>
      </c>
      <c r="B159" t="s">
        <v>624</v>
      </c>
      <c r="C159">
        <v>367</v>
      </c>
      <c r="D159">
        <v>2555705</v>
      </c>
      <c r="E159">
        <v>9969362273</v>
      </c>
      <c r="F159">
        <v>3785</v>
      </c>
      <c r="G159">
        <v>3973</v>
      </c>
      <c r="H159">
        <v>3830</v>
      </c>
      <c r="I159">
        <v>45</v>
      </c>
      <c r="J159">
        <v>1.19</v>
      </c>
      <c r="K159">
        <v>3901</v>
      </c>
      <c r="L159">
        <v>116</v>
      </c>
      <c r="M159">
        <v>3.06</v>
      </c>
      <c r="N159">
        <v>3751</v>
      </c>
      <c r="O159">
        <v>3974</v>
      </c>
      <c r="R159">
        <v>1</v>
      </c>
      <c r="S159">
        <v>3725</v>
      </c>
      <c r="T159">
        <v>3831</v>
      </c>
      <c r="U159">
        <v>3848</v>
      </c>
      <c r="V159">
        <v>50000</v>
      </c>
      <c r="W159">
        <v>1</v>
      </c>
    </row>
    <row r="160" spans="1:23" x14ac:dyDescent="0.25">
      <c r="A160" t="s">
        <v>625</v>
      </c>
      <c r="B160" t="s">
        <v>626</v>
      </c>
      <c r="C160">
        <v>239</v>
      </c>
      <c r="D160">
        <v>1808619</v>
      </c>
      <c r="E160">
        <v>4999333369</v>
      </c>
      <c r="F160">
        <v>2727</v>
      </c>
      <c r="G160">
        <v>2863</v>
      </c>
      <c r="H160">
        <v>2735</v>
      </c>
      <c r="I160">
        <v>8</v>
      </c>
      <c r="J160">
        <v>0.28999999999999998</v>
      </c>
      <c r="K160">
        <v>2764</v>
      </c>
      <c r="L160">
        <v>37</v>
      </c>
      <c r="M160">
        <v>1.36</v>
      </c>
      <c r="N160">
        <v>2601</v>
      </c>
      <c r="O160">
        <v>2863</v>
      </c>
      <c r="P160" t="s">
        <v>342</v>
      </c>
      <c r="Q160" t="s">
        <v>2856</v>
      </c>
      <c r="R160">
        <v>2</v>
      </c>
      <c r="S160">
        <v>9133</v>
      </c>
      <c r="T160">
        <v>2732</v>
      </c>
      <c r="U160">
        <v>2735</v>
      </c>
      <c r="V160">
        <v>69544</v>
      </c>
      <c r="W160">
        <v>2</v>
      </c>
    </row>
    <row r="161" spans="1:23" x14ac:dyDescent="0.25">
      <c r="A161" t="s">
        <v>627</v>
      </c>
      <c r="B161" t="s">
        <v>628</v>
      </c>
      <c r="C161">
        <v>24</v>
      </c>
      <c r="D161">
        <v>17624</v>
      </c>
      <c r="E161">
        <v>722571585</v>
      </c>
      <c r="F161">
        <v>39921</v>
      </c>
      <c r="G161">
        <v>40554</v>
      </c>
      <c r="H161">
        <v>41275</v>
      </c>
      <c r="I161">
        <v>1354</v>
      </c>
      <c r="J161">
        <v>3.39</v>
      </c>
      <c r="K161">
        <v>40999</v>
      </c>
      <c r="L161">
        <v>1078</v>
      </c>
      <c r="M161">
        <v>2.7</v>
      </c>
      <c r="N161">
        <v>40050</v>
      </c>
      <c r="O161">
        <v>41275</v>
      </c>
      <c r="R161">
        <v>2</v>
      </c>
      <c r="S161">
        <v>900</v>
      </c>
      <c r="T161">
        <v>41000</v>
      </c>
      <c r="U161">
        <v>42098</v>
      </c>
      <c r="V161">
        <v>80</v>
      </c>
      <c r="W161">
        <v>2</v>
      </c>
    </row>
    <row r="162" spans="1:23" x14ac:dyDescent="0.25">
      <c r="A162" t="s">
        <v>629</v>
      </c>
      <c r="B162" t="s">
        <v>630</v>
      </c>
      <c r="C162">
        <v>61</v>
      </c>
      <c r="D162">
        <v>52104</v>
      </c>
      <c r="E162">
        <v>857325482</v>
      </c>
      <c r="F162">
        <v>16438</v>
      </c>
      <c r="G162">
        <v>16400</v>
      </c>
      <c r="H162">
        <v>16500</v>
      </c>
      <c r="I162">
        <v>62</v>
      </c>
      <c r="J162">
        <v>0.38</v>
      </c>
      <c r="K162">
        <v>16441</v>
      </c>
      <c r="L162">
        <v>3</v>
      </c>
      <c r="M162">
        <v>0.02</v>
      </c>
      <c r="N162">
        <v>16277</v>
      </c>
      <c r="O162">
        <v>16999</v>
      </c>
      <c r="P162" t="s">
        <v>631</v>
      </c>
      <c r="Q162" t="s">
        <v>2619</v>
      </c>
      <c r="R162">
        <v>1</v>
      </c>
      <c r="S162">
        <v>854</v>
      </c>
      <c r="T162">
        <v>16302</v>
      </c>
      <c r="U162">
        <v>16689</v>
      </c>
      <c r="V162">
        <v>1012</v>
      </c>
      <c r="W162">
        <v>1</v>
      </c>
    </row>
    <row r="163" spans="1:23" x14ac:dyDescent="0.25">
      <c r="A163" t="s">
        <v>632</v>
      </c>
      <c r="B163" t="s">
        <v>633</v>
      </c>
      <c r="C163">
        <v>0</v>
      </c>
      <c r="D163">
        <v>0</v>
      </c>
      <c r="E163">
        <v>0</v>
      </c>
      <c r="F163">
        <v>520</v>
      </c>
      <c r="G163">
        <v>0</v>
      </c>
      <c r="H163">
        <v>520</v>
      </c>
      <c r="I163">
        <v>0</v>
      </c>
      <c r="J163">
        <v>0</v>
      </c>
      <c r="K163">
        <v>520</v>
      </c>
      <c r="L163">
        <v>0</v>
      </c>
      <c r="M163">
        <v>0</v>
      </c>
      <c r="N163">
        <v>0</v>
      </c>
      <c r="O163">
        <v>0</v>
      </c>
      <c r="R163">
        <v>1</v>
      </c>
      <c r="S163">
        <v>100</v>
      </c>
      <c r="T163">
        <v>101</v>
      </c>
      <c r="U163">
        <v>0</v>
      </c>
      <c r="V163">
        <v>0</v>
      </c>
      <c r="W163">
        <v>0</v>
      </c>
    </row>
    <row r="164" spans="1:23" x14ac:dyDescent="0.25">
      <c r="A164" t="s">
        <v>2857</v>
      </c>
      <c r="B164" t="s">
        <v>2858</v>
      </c>
      <c r="C164">
        <v>92</v>
      </c>
      <c r="D164">
        <v>403129</v>
      </c>
      <c r="E164">
        <v>1923994702</v>
      </c>
      <c r="F164">
        <v>4249</v>
      </c>
      <c r="G164">
        <v>4673</v>
      </c>
      <c r="H164">
        <v>4740</v>
      </c>
      <c r="I164">
        <v>491</v>
      </c>
      <c r="J164">
        <v>11.56</v>
      </c>
      <c r="K164">
        <v>4773</v>
      </c>
      <c r="L164">
        <v>524</v>
      </c>
      <c r="M164">
        <v>12.33</v>
      </c>
      <c r="N164">
        <v>4673</v>
      </c>
      <c r="O164">
        <v>5140</v>
      </c>
      <c r="P164" t="s">
        <v>365</v>
      </c>
      <c r="Q164" t="s">
        <v>2859</v>
      </c>
      <c r="R164">
        <v>2</v>
      </c>
      <c r="S164">
        <v>15000</v>
      </c>
      <c r="T164">
        <v>4740</v>
      </c>
      <c r="U164">
        <v>4750</v>
      </c>
      <c r="V164">
        <v>58705</v>
      </c>
      <c r="W164">
        <v>3</v>
      </c>
    </row>
    <row r="165" spans="1:23" x14ac:dyDescent="0.25">
      <c r="A165" t="s">
        <v>634</v>
      </c>
      <c r="B165" t="s">
        <v>635</v>
      </c>
      <c r="C165">
        <v>565</v>
      </c>
      <c r="D165">
        <v>2144679</v>
      </c>
      <c r="E165">
        <v>26656211088</v>
      </c>
      <c r="F165">
        <v>11888</v>
      </c>
      <c r="G165">
        <v>12482</v>
      </c>
      <c r="H165">
        <v>12266</v>
      </c>
      <c r="I165">
        <v>378</v>
      </c>
      <c r="J165">
        <v>3.18</v>
      </c>
      <c r="K165">
        <v>12429</v>
      </c>
      <c r="L165">
        <v>541</v>
      </c>
      <c r="M165">
        <v>4.55</v>
      </c>
      <c r="N165">
        <v>12002</v>
      </c>
      <c r="O165">
        <v>12482</v>
      </c>
      <c r="P165" t="s">
        <v>636</v>
      </c>
      <c r="Q165" t="s">
        <v>2860</v>
      </c>
      <c r="R165">
        <v>1</v>
      </c>
      <c r="S165">
        <v>8500</v>
      </c>
      <c r="T165">
        <v>12270</v>
      </c>
      <c r="U165">
        <v>12297</v>
      </c>
      <c r="V165">
        <v>34195</v>
      </c>
      <c r="W165">
        <v>4</v>
      </c>
    </row>
    <row r="166" spans="1:23" x14ac:dyDescent="0.25">
      <c r="A166" t="s">
        <v>637</v>
      </c>
      <c r="B166" t="s">
        <v>638</v>
      </c>
      <c r="C166">
        <v>0</v>
      </c>
      <c r="D166">
        <v>0</v>
      </c>
      <c r="E166">
        <v>0</v>
      </c>
      <c r="F166">
        <v>171675</v>
      </c>
      <c r="G166">
        <v>0</v>
      </c>
      <c r="H166">
        <v>171675</v>
      </c>
      <c r="I166">
        <v>0</v>
      </c>
      <c r="J166">
        <v>0</v>
      </c>
      <c r="K166">
        <v>171675</v>
      </c>
      <c r="L166">
        <v>0</v>
      </c>
      <c r="M166">
        <v>0</v>
      </c>
      <c r="N166">
        <v>0</v>
      </c>
      <c r="O166">
        <v>0</v>
      </c>
      <c r="R166">
        <v>1</v>
      </c>
      <c r="S166">
        <v>2</v>
      </c>
      <c r="T166">
        <v>166670</v>
      </c>
      <c r="U166">
        <v>180245</v>
      </c>
      <c r="V166">
        <v>1</v>
      </c>
      <c r="W166">
        <v>1</v>
      </c>
    </row>
    <row r="167" spans="1:23" x14ac:dyDescent="0.25">
      <c r="A167" t="s">
        <v>639</v>
      </c>
      <c r="B167" t="s">
        <v>640</v>
      </c>
      <c r="C167">
        <v>1826</v>
      </c>
      <c r="D167">
        <v>9895859</v>
      </c>
      <c r="E167">
        <v>59183739315</v>
      </c>
      <c r="F167">
        <v>5795</v>
      </c>
      <c r="G167">
        <v>5910</v>
      </c>
      <c r="H167">
        <v>6084</v>
      </c>
      <c r="I167">
        <v>289</v>
      </c>
      <c r="J167">
        <v>4.99</v>
      </c>
      <c r="K167">
        <v>5981</v>
      </c>
      <c r="L167">
        <v>186</v>
      </c>
      <c r="M167">
        <v>3.21</v>
      </c>
      <c r="N167">
        <v>5823</v>
      </c>
      <c r="O167">
        <v>6084</v>
      </c>
      <c r="P167" t="s">
        <v>641</v>
      </c>
      <c r="Q167" t="s">
        <v>2861</v>
      </c>
      <c r="R167">
        <v>213</v>
      </c>
      <c r="S167">
        <v>2492103</v>
      </c>
      <c r="T167">
        <v>6084</v>
      </c>
      <c r="U167">
        <v>6090</v>
      </c>
      <c r="V167">
        <v>200</v>
      </c>
      <c r="W167">
        <v>1</v>
      </c>
    </row>
    <row r="168" spans="1:23" x14ac:dyDescent="0.25">
      <c r="A168" t="s">
        <v>642</v>
      </c>
      <c r="B168" t="s">
        <v>643</v>
      </c>
      <c r="C168">
        <v>3</v>
      </c>
      <c r="D168">
        <v>25</v>
      </c>
      <c r="E168">
        <v>4500000</v>
      </c>
      <c r="F168">
        <v>101</v>
      </c>
      <c r="G168">
        <v>180</v>
      </c>
      <c r="H168">
        <v>180</v>
      </c>
      <c r="I168">
        <v>79</v>
      </c>
      <c r="J168">
        <v>78.22</v>
      </c>
      <c r="K168">
        <v>180</v>
      </c>
      <c r="L168">
        <v>79</v>
      </c>
      <c r="M168">
        <v>78.22</v>
      </c>
      <c r="N168">
        <v>180</v>
      </c>
      <c r="O168">
        <v>180</v>
      </c>
      <c r="R168">
        <v>1</v>
      </c>
      <c r="S168">
        <v>30</v>
      </c>
      <c r="T168">
        <v>140</v>
      </c>
      <c r="U168">
        <v>180</v>
      </c>
      <c r="V168">
        <v>476</v>
      </c>
      <c r="W168">
        <v>5</v>
      </c>
    </row>
    <row r="169" spans="1:23" x14ac:dyDescent="0.25">
      <c r="A169" t="s">
        <v>644</v>
      </c>
      <c r="B169" t="s">
        <v>645</v>
      </c>
      <c r="C169">
        <v>0</v>
      </c>
      <c r="D169">
        <v>0</v>
      </c>
      <c r="E169">
        <v>0</v>
      </c>
      <c r="F169">
        <v>360</v>
      </c>
      <c r="G169">
        <v>0</v>
      </c>
      <c r="H169">
        <v>360</v>
      </c>
      <c r="I169">
        <v>0</v>
      </c>
      <c r="J169">
        <v>0</v>
      </c>
      <c r="K169">
        <v>360</v>
      </c>
      <c r="L169">
        <v>0</v>
      </c>
      <c r="M169">
        <v>0</v>
      </c>
      <c r="N169">
        <v>0</v>
      </c>
      <c r="O169">
        <v>0</v>
      </c>
      <c r="R169">
        <v>1</v>
      </c>
      <c r="S169">
        <v>40</v>
      </c>
      <c r="T169">
        <v>211</v>
      </c>
      <c r="U169">
        <v>500</v>
      </c>
      <c r="V169">
        <v>170</v>
      </c>
      <c r="W169">
        <v>2</v>
      </c>
    </row>
    <row r="170" spans="1:23" x14ac:dyDescent="0.25">
      <c r="A170" t="s">
        <v>646</v>
      </c>
      <c r="B170" t="s">
        <v>647</v>
      </c>
      <c r="C170">
        <v>0</v>
      </c>
      <c r="D170">
        <v>0</v>
      </c>
      <c r="E170">
        <v>0</v>
      </c>
      <c r="F170">
        <v>910000</v>
      </c>
      <c r="G170">
        <v>0</v>
      </c>
      <c r="H170">
        <v>910000</v>
      </c>
      <c r="I170">
        <v>0</v>
      </c>
      <c r="J170">
        <v>0</v>
      </c>
      <c r="K170">
        <v>910000</v>
      </c>
      <c r="L170">
        <v>0</v>
      </c>
      <c r="M170">
        <v>0</v>
      </c>
      <c r="N170">
        <v>0</v>
      </c>
      <c r="O170">
        <v>0</v>
      </c>
      <c r="R170">
        <v>1</v>
      </c>
      <c r="S170">
        <v>50</v>
      </c>
      <c r="T170">
        <v>910001</v>
      </c>
      <c r="U170">
        <v>975000</v>
      </c>
      <c r="V170">
        <v>300</v>
      </c>
      <c r="W170">
        <v>1</v>
      </c>
    </row>
    <row r="171" spans="1:23" x14ac:dyDescent="0.25">
      <c r="A171" t="s">
        <v>648</v>
      </c>
      <c r="B171" t="s">
        <v>649</v>
      </c>
      <c r="C171">
        <v>258</v>
      </c>
      <c r="D171">
        <v>3190460</v>
      </c>
      <c r="E171">
        <v>12854027456</v>
      </c>
      <c r="F171">
        <v>3838</v>
      </c>
      <c r="G171">
        <v>4029</v>
      </c>
      <c r="H171">
        <v>4029</v>
      </c>
      <c r="I171">
        <v>191</v>
      </c>
      <c r="J171">
        <v>4.9800000000000004</v>
      </c>
      <c r="K171">
        <v>4029</v>
      </c>
      <c r="L171">
        <v>191</v>
      </c>
      <c r="M171">
        <v>4.9800000000000004</v>
      </c>
      <c r="N171">
        <v>3900</v>
      </c>
      <c r="O171">
        <v>4029</v>
      </c>
      <c r="P171" t="s">
        <v>650</v>
      </c>
      <c r="Q171" t="s">
        <v>2862</v>
      </c>
      <c r="R171">
        <v>124</v>
      </c>
      <c r="S171">
        <v>4808517</v>
      </c>
      <c r="T171">
        <v>4029</v>
      </c>
      <c r="U171">
        <v>0</v>
      </c>
      <c r="V171">
        <v>0</v>
      </c>
      <c r="W171">
        <v>0</v>
      </c>
    </row>
    <row r="172" spans="1:23" x14ac:dyDescent="0.25">
      <c r="A172" t="s">
        <v>651</v>
      </c>
      <c r="B172" t="s">
        <v>652</v>
      </c>
      <c r="C172">
        <v>1713</v>
      </c>
      <c r="D172">
        <v>12232535</v>
      </c>
      <c r="E172">
        <v>39933016908</v>
      </c>
      <c r="F172">
        <v>3190</v>
      </c>
      <c r="G172">
        <v>3240</v>
      </c>
      <c r="H172">
        <v>3320</v>
      </c>
      <c r="I172">
        <v>130</v>
      </c>
      <c r="J172">
        <v>4.08</v>
      </c>
      <c r="K172">
        <v>3264</v>
      </c>
      <c r="L172">
        <v>74</v>
      </c>
      <c r="M172">
        <v>2.3199999999999998</v>
      </c>
      <c r="N172">
        <v>3100</v>
      </c>
      <c r="O172">
        <v>3400</v>
      </c>
      <c r="P172" t="s">
        <v>579</v>
      </c>
      <c r="Q172" t="s">
        <v>2863</v>
      </c>
      <c r="R172">
        <v>1</v>
      </c>
      <c r="S172">
        <v>2100</v>
      </c>
      <c r="T172">
        <v>3315</v>
      </c>
      <c r="U172">
        <v>3320</v>
      </c>
      <c r="V172">
        <v>51065</v>
      </c>
      <c r="W172">
        <v>2</v>
      </c>
    </row>
    <row r="173" spans="1:23" x14ac:dyDescent="0.25">
      <c r="A173" t="s">
        <v>653</v>
      </c>
      <c r="B173" t="s">
        <v>654</v>
      </c>
      <c r="C173">
        <v>292</v>
      </c>
      <c r="D173">
        <v>624966</v>
      </c>
      <c r="E173">
        <v>6039911714</v>
      </c>
      <c r="F173">
        <v>9769</v>
      </c>
      <c r="G173">
        <v>9750</v>
      </c>
      <c r="H173">
        <v>9679</v>
      </c>
      <c r="I173">
        <v>-90</v>
      </c>
      <c r="J173">
        <v>-0.92</v>
      </c>
      <c r="K173">
        <v>9664</v>
      </c>
      <c r="L173">
        <v>-105</v>
      </c>
      <c r="M173">
        <v>-1.07</v>
      </c>
      <c r="N173">
        <v>9600</v>
      </c>
      <c r="O173">
        <v>9760</v>
      </c>
      <c r="P173" t="s">
        <v>655</v>
      </c>
      <c r="Q173" t="s">
        <v>2864</v>
      </c>
      <c r="R173">
        <v>4</v>
      </c>
      <c r="S173">
        <v>8635</v>
      </c>
      <c r="T173">
        <v>9679</v>
      </c>
      <c r="U173">
        <v>9680</v>
      </c>
      <c r="V173">
        <v>7151</v>
      </c>
      <c r="W173">
        <v>4</v>
      </c>
    </row>
    <row r="174" spans="1:23" x14ac:dyDescent="0.25">
      <c r="A174" t="s">
        <v>656</v>
      </c>
      <c r="B174" t="s">
        <v>657</v>
      </c>
      <c r="C174">
        <v>1953</v>
      </c>
      <c r="D174">
        <v>8641405</v>
      </c>
      <c r="E174">
        <v>52960682128</v>
      </c>
      <c r="F174">
        <v>6184</v>
      </c>
      <c r="G174">
        <v>6190</v>
      </c>
      <c r="H174">
        <v>6152</v>
      </c>
      <c r="I174">
        <v>-32</v>
      </c>
      <c r="J174">
        <v>-0.52</v>
      </c>
      <c r="K174">
        <v>6129</v>
      </c>
      <c r="L174">
        <v>-55</v>
      </c>
      <c r="M174">
        <v>-0.89</v>
      </c>
      <c r="N174">
        <v>6091</v>
      </c>
      <c r="O174">
        <v>6240</v>
      </c>
      <c r="P174" t="s">
        <v>658</v>
      </c>
      <c r="Q174" t="s">
        <v>2603</v>
      </c>
      <c r="R174">
        <v>2</v>
      </c>
      <c r="S174">
        <v>1046</v>
      </c>
      <c r="T174">
        <v>6152</v>
      </c>
      <c r="U174">
        <v>6155</v>
      </c>
      <c r="V174">
        <v>17552</v>
      </c>
      <c r="W174">
        <v>3</v>
      </c>
    </row>
    <row r="175" spans="1:23" x14ac:dyDescent="0.25">
      <c r="A175" t="s">
        <v>659</v>
      </c>
      <c r="B175" t="s">
        <v>660</v>
      </c>
      <c r="C175">
        <v>40</v>
      </c>
      <c r="D175">
        <v>54770</v>
      </c>
      <c r="E175">
        <v>800354010</v>
      </c>
      <c r="F175">
        <v>13918</v>
      </c>
      <c r="G175">
        <v>14613</v>
      </c>
      <c r="H175">
        <v>14613</v>
      </c>
      <c r="I175">
        <v>695</v>
      </c>
      <c r="J175">
        <v>4.99</v>
      </c>
      <c r="K175">
        <v>14045</v>
      </c>
      <c r="L175">
        <v>127</v>
      </c>
      <c r="M175">
        <v>0.91</v>
      </c>
      <c r="N175">
        <v>14613</v>
      </c>
      <c r="O175">
        <v>14613</v>
      </c>
      <c r="P175" t="s">
        <v>661</v>
      </c>
      <c r="Q175" t="s">
        <v>2865</v>
      </c>
      <c r="R175">
        <v>108</v>
      </c>
      <c r="S175">
        <v>1552338</v>
      </c>
      <c r="T175">
        <v>14613</v>
      </c>
      <c r="U175">
        <v>0</v>
      </c>
      <c r="V175">
        <v>0</v>
      </c>
      <c r="W175">
        <v>0</v>
      </c>
    </row>
    <row r="176" spans="1:23" x14ac:dyDescent="0.25">
      <c r="A176" t="s">
        <v>665</v>
      </c>
      <c r="B176" t="s">
        <v>666</v>
      </c>
      <c r="C176">
        <v>218</v>
      </c>
      <c r="D176">
        <v>967038</v>
      </c>
      <c r="E176">
        <v>13600332816</v>
      </c>
      <c r="F176">
        <v>13396</v>
      </c>
      <c r="G176">
        <v>14065</v>
      </c>
      <c r="H176">
        <v>14065</v>
      </c>
      <c r="I176">
        <v>669</v>
      </c>
      <c r="J176">
        <v>4.99</v>
      </c>
      <c r="K176">
        <v>14064</v>
      </c>
      <c r="L176">
        <v>668</v>
      </c>
      <c r="M176">
        <v>4.99</v>
      </c>
      <c r="N176">
        <v>14005</v>
      </c>
      <c r="O176">
        <v>14065</v>
      </c>
      <c r="P176" t="s">
        <v>667</v>
      </c>
      <c r="Q176" t="s">
        <v>2866</v>
      </c>
      <c r="R176">
        <v>112</v>
      </c>
      <c r="S176">
        <v>434368</v>
      </c>
      <c r="T176">
        <v>14065</v>
      </c>
      <c r="U176">
        <v>0</v>
      </c>
      <c r="V176">
        <v>0</v>
      </c>
      <c r="W176">
        <v>0</v>
      </c>
    </row>
    <row r="177" spans="1:23" x14ac:dyDescent="0.25">
      <c r="A177" t="s">
        <v>668</v>
      </c>
      <c r="B177" t="s">
        <v>669</v>
      </c>
      <c r="C177">
        <v>364</v>
      </c>
      <c r="D177">
        <v>2957738</v>
      </c>
      <c r="E177">
        <v>33567999736</v>
      </c>
      <c r="F177">
        <v>11152</v>
      </c>
      <c r="G177">
        <v>11287</v>
      </c>
      <c r="H177">
        <v>11200</v>
      </c>
      <c r="I177">
        <v>48</v>
      </c>
      <c r="J177">
        <v>0.43</v>
      </c>
      <c r="K177">
        <v>11349</v>
      </c>
      <c r="L177">
        <v>197</v>
      </c>
      <c r="M177">
        <v>1.77</v>
      </c>
      <c r="N177">
        <v>11150</v>
      </c>
      <c r="O177">
        <v>11501</v>
      </c>
      <c r="P177" t="s">
        <v>670</v>
      </c>
      <c r="Q177" t="s">
        <v>2867</v>
      </c>
      <c r="R177">
        <v>2</v>
      </c>
      <c r="S177">
        <v>1150</v>
      </c>
      <c r="T177">
        <v>11165</v>
      </c>
      <c r="U177">
        <v>11460</v>
      </c>
      <c r="V177">
        <v>1000</v>
      </c>
      <c r="W177">
        <v>1</v>
      </c>
    </row>
    <row r="178" spans="1:23" x14ac:dyDescent="0.25">
      <c r="A178" t="s">
        <v>671</v>
      </c>
      <c r="B178" t="s">
        <v>672</v>
      </c>
      <c r="C178">
        <v>934</v>
      </c>
      <c r="D178">
        <v>12865609</v>
      </c>
      <c r="E178">
        <v>20343574379</v>
      </c>
      <c r="F178">
        <v>1575</v>
      </c>
      <c r="G178">
        <v>1580</v>
      </c>
      <c r="H178">
        <v>1548</v>
      </c>
      <c r="I178">
        <v>-27</v>
      </c>
      <c r="J178">
        <v>-1.71</v>
      </c>
      <c r="K178">
        <v>1581</v>
      </c>
      <c r="L178">
        <v>6</v>
      </c>
      <c r="M178">
        <v>0.38</v>
      </c>
      <c r="N178">
        <v>1530</v>
      </c>
      <c r="O178">
        <v>1619</v>
      </c>
      <c r="P178" t="s">
        <v>673</v>
      </c>
      <c r="Q178" t="s">
        <v>2868</v>
      </c>
      <c r="R178">
        <v>2</v>
      </c>
      <c r="S178">
        <v>27187</v>
      </c>
      <c r="T178">
        <v>1548</v>
      </c>
      <c r="U178">
        <v>1550</v>
      </c>
      <c r="V178">
        <v>55086</v>
      </c>
      <c r="W178">
        <v>2</v>
      </c>
    </row>
    <row r="179" spans="1:23" x14ac:dyDescent="0.25">
      <c r="A179" t="s">
        <v>2620</v>
      </c>
      <c r="B179" t="s">
        <v>2621</v>
      </c>
      <c r="C179">
        <v>1557</v>
      </c>
      <c r="D179">
        <v>176698</v>
      </c>
      <c r="E179">
        <v>1857449376</v>
      </c>
      <c r="F179">
        <v>10012</v>
      </c>
      <c r="G179">
        <v>10512</v>
      </c>
      <c r="H179">
        <v>10512</v>
      </c>
      <c r="I179">
        <v>500</v>
      </c>
      <c r="J179">
        <v>4.99</v>
      </c>
      <c r="K179">
        <v>10512</v>
      </c>
      <c r="L179">
        <v>500</v>
      </c>
      <c r="M179">
        <v>4.99</v>
      </c>
      <c r="N179">
        <v>10512</v>
      </c>
      <c r="O179">
        <v>10512</v>
      </c>
      <c r="P179" t="s">
        <v>2622</v>
      </c>
      <c r="Q179" t="s">
        <v>306</v>
      </c>
      <c r="R179">
        <v>5992</v>
      </c>
      <c r="S179">
        <v>41542009</v>
      </c>
      <c r="T179">
        <v>10512</v>
      </c>
      <c r="U179">
        <v>0</v>
      </c>
      <c r="V179">
        <v>0</v>
      </c>
      <c r="W179">
        <v>0</v>
      </c>
    </row>
    <row r="180" spans="1:23" x14ac:dyDescent="0.25">
      <c r="A180" t="s">
        <v>674</v>
      </c>
      <c r="B180" t="s">
        <v>675</v>
      </c>
      <c r="C180">
        <v>0</v>
      </c>
      <c r="D180">
        <v>0</v>
      </c>
      <c r="E180">
        <v>0</v>
      </c>
      <c r="F180">
        <v>6113</v>
      </c>
      <c r="G180">
        <v>0</v>
      </c>
      <c r="H180">
        <v>6150</v>
      </c>
      <c r="I180">
        <v>37</v>
      </c>
      <c r="J180">
        <v>0.61</v>
      </c>
      <c r="K180">
        <v>6113</v>
      </c>
      <c r="L180">
        <v>0</v>
      </c>
      <c r="M180">
        <v>0</v>
      </c>
      <c r="N180">
        <v>0</v>
      </c>
      <c r="O180">
        <v>0</v>
      </c>
      <c r="P180" t="s">
        <v>676</v>
      </c>
      <c r="Q180" t="s">
        <v>2623</v>
      </c>
      <c r="R180">
        <v>1</v>
      </c>
      <c r="S180">
        <v>300</v>
      </c>
      <c r="T180">
        <v>6111</v>
      </c>
      <c r="U180">
        <v>6500</v>
      </c>
      <c r="V180">
        <v>38000</v>
      </c>
      <c r="W180">
        <v>2</v>
      </c>
    </row>
    <row r="181" spans="1:23" x14ac:dyDescent="0.25">
      <c r="A181" t="s">
        <v>677</v>
      </c>
      <c r="B181" t="s">
        <v>678</v>
      </c>
      <c r="C181">
        <v>199</v>
      </c>
      <c r="D181">
        <v>1448111</v>
      </c>
      <c r="E181">
        <v>5251535263</v>
      </c>
      <c r="F181">
        <v>3488</v>
      </c>
      <c r="G181">
        <v>3660</v>
      </c>
      <c r="H181">
        <v>3630</v>
      </c>
      <c r="I181">
        <v>142</v>
      </c>
      <c r="J181">
        <v>4.07</v>
      </c>
      <c r="K181">
        <v>3626</v>
      </c>
      <c r="L181">
        <v>138</v>
      </c>
      <c r="M181">
        <v>3.96</v>
      </c>
      <c r="N181">
        <v>3556</v>
      </c>
      <c r="O181">
        <v>3660</v>
      </c>
      <c r="P181" t="s">
        <v>679</v>
      </c>
      <c r="Q181" t="s">
        <v>2869</v>
      </c>
      <c r="R181">
        <v>1</v>
      </c>
      <c r="S181">
        <v>7871</v>
      </c>
      <c r="T181">
        <v>3587</v>
      </c>
      <c r="U181">
        <v>3630</v>
      </c>
      <c r="V181">
        <v>57000</v>
      </c>
      <c r="W181">
        <v>2</v>
      </c>
    </row>
    <row r="182" spans="1:23" x14ac:dyDescent="0.25">
      <c r="A182" t="s">
        <v>680</v>
      </c>
      <c r="B182" t="s">
        <v>681</v>
      </c>
      <c r="C182">
        <v>1622</v>
      </c>
      <c r="D182">
        <v>3934246</v>
      </c>
      <c r="E182">
        <v>257799047914</v>
      </c>
      <c r="F182">
        <v>62420</v>
      </c>
      <c r="G182">
        <v>65470</v>
      </c>
      <c r="H182">
        <v>65541</v>
      </c>
      <c r="I182">
        <v>3121</v>
      </c>
      <c r="J182">
        <v>5</v>
      </c>
      <c r="K182">
        <v>65527</v>
      </c>
      <c r="L182">
        <v>3107</v>
      </c>
      <c r="M182">
        <v>4.9800000000000004</v>
      </c>
      <c r="N182">
        <v>64450</v>
      </c>
      <c r="O182">
        <v>65541</v>
      </c>
      <c r="P182" t="s">
        <v>682</v>
      </c>
      <c r="Q182" t="s">
        <v>2870</v>
      </c>
      <c r="R182">
        <v>168</v>
      </c>
      <c r="S182">
        <v>447446</v>
      </c>
      <c r="T182">
        <v>65541</v>
      </c>
      <c r="U182">
        <v>65580</v>
      </c>
      <c r="V182">
        <v>520</v>
      </c>
      <c r="W182">
        <v>2</v>
      </c>
    </row>
    <row r="183" spans="1:23" x14ac:dyDescent="0.25">
      <c r="A183" t="s">
        <v>683</v>
      </c>
      <c r="B183" t="s">
        <v>684</v>
      </c>
      <c r="C183">
        <v>2335</v>
      </c>
      <c r="D183">
        <v>4067633</v>
      </c>
      <c r="E183">
        <v>41421048532</v>
      </c>
      <c r="F183">
        <v>9854</v>
      </c>
      <c r="G183">
        <v>10002</v>
      </c>
      <c r="H183">
        <v>10346</v>
      </c>
      <c r="I183">
        <v>492</v>
      </c>
      <c r="J183">
        <v>4.99</v>
      </c>
      <c r="K183">
        <v>10183</v>
      </c>
      <c r="L183">
        <v>329</v>
      </c>
      <c r="M183">
        <v>3.34</v>
      </c>
      <c r="N183">
        <v>9910</v>
      </c>
      <c r="O183">
        <v>10346</v>
      </c>
      <c r="P183" t="s">
        <v>685</v>
      </c>
      <c r="Q183" t="s">
        <v>2871</v>
      </c>
      <c r="R183">
        <v>132</v>
      </c>
      <c r="S183">
        <v>798146</v>
      </c>
      <c r="T183">
        <v>10346</v>
      </c>
      <c r="U183">
        <v>0</v>
      </c>
      <c r="V183">
        <v>0</v>
      </c>
      <c r="W183">
        <v>0</v>
      </c>
    </row>
    <row r="184" spans="1:23" x14ac:dyDescent="0.25">
      <c r="A184" t="s">
        <v>2872</v>
      </c>
      <c r="B184" t="s">
        <v>2873</v>
      </c>
      <c r="C184">
        <v>0</v>
      </c>
      <c r="D184">
        <v>0</v>
      </c>
      <c r="E184">
        <v>0</v>
      </c>
      <c r="F184">
        <v>4962</v>
      </c>
      <c r="G184">
        <v>0</v>
      </c>
      <c r="H184">
        <v>4962</v>
      </c>
      <c r="I184">
        <v>0</v>
      </c>
      <c r="J184">
        <v>0</v>
      </c>
      <c r="K184">
        <v>4962</v>
      </c>
      <c r="L184">
        <v>0</v>
      </c>
      <c r="M184">
        <v>0</v>
      </c>
      <c r="N184">
        <v>0</v>
      </c>
      <c r="O184">
        <v>0</v>
      </c>
      <c r="P184" t="s">
        <v>2874</v>
      </c>
      <c r="Q184" t="s">
        <v>2875</v>
      </c>
      <c r="R184">
        <v>15</v>
      </c>
      <c r="S184">
        <v>331724</v>
      </c>
      <c r="T184">
        <v>5880</v>
      </c>
      <c r="U184">
        <v>5880</v>
      </c>
      <c r="V184">
        <v>80913</v>
      </c>
      <c r="W184">
        <v>9</v>
      </c>
    </row>
    <row r="185" spans="1:23" x14ac:dyDescent="0.25">
      <c r="A185" t="s">
        <v>686</v>
      </c>
      <c r="B185" t="s">
        <v>1831</v>
      </c>
      <c r="C185">
        <v>0</v>
      </c>
      <c r="D185">
        <v>0</v>
      </c>
      <c r="E185">
        <v>0</v>
      </c>
      <c r="F185">
        <v>1</v>
      </c>
      <c r="G185">
        <v>0</v>
      </c>
      <c r="H185">
        <v>1</v>
      </c>
      <c r="I185">
        <v>0</v>
      </c>
      <c r="J185">
        <v>0</v>
      </c>
      <c r="K185">
        <v>1</v>
      </c>
      <c r="L185">
        <v>0</v>
      </c>
      <c r="M185">
        <v>0</v>
      </c>
      <c r="N185">
        <v>0</v>
      </c>
      <c r="O185">
        <v>0</v>
      </c>
      <c r="R185">
        <v>1</v>
      </c>
      <c r="S185">
        <v>100</v>
      </c>
      <c r="T185">
        <v>31</v>
      </c>
      <c r="U185">
        <v>0</v>
      </c>
      <c r="V185">
        <v>0</v>
      </c>
      <c r="W185">
        <v>0</v>
      </c>
    </row>
    <row r="186" spans="1:23" x14ac:dyDescent="0.25">
      <c r="A186" t="s">
        <v>687</v>
      </c>
      <c r="B186" t="s">
        <v>688</v>
      </c>
      <c r="C186">
        <v>0</v>
      </c>
      <c r="D186">
        <v>0</v>
      </c>
      <c r="E186">
        <v>0</v>
      </c>
      <c r="F186">
        <v>350</v>
      </c>
      <c r="G186">
        <v>0</v>
      </c>
      <c r="H186">
        <v>350</v>
      </c>
      <c r="I186">
        <v>0</v>
      </c>
      <c r="J186">
        <v>0</v>
      </c>
      <c r="K186">
        <v>350</v>
      </c>
      <c r="L186">
        <v>0</v>
      </c>
      <c r="M186">
        <v>0</v>
      </c>
      <c r="N186">
        <v>0</v>
      </c>
      <c r="O186">
        <v>0</v>
      </c>
      <c r="R186">
        <v>0</v>
      </c>
      <c r="S186">
        <v>0</v>
      </c>
      <c r="T186">
        <v>0</v>
      </c>
      <c r="U186">
        <v>789</v>
      </c>
      <c r="V186">
        <v>180</v>
      </c>
      <c r="W186">
        <v>2</v>
      </c>
    </row>
    <row r="187" spans="1:23" x14ac:dyDescent="0.25">
      <c r="A187" t="s">
        <v>689</v>
      </c>
      <c r="B187" t="s">
        <v>690</v>
      </c>
      <c r="C187">
        <v>1031</v>
      </c>
      <c r="D187">
        <v>7223302</v>
      </c>
      <c r="E187">
        <v>31415203267</v>
      </c>
      <c r="F187">
        <v>4436</v>
      </c>
      <c r="G187">
        <v>4436</v>
      </c>
      <c r="H187">
        <v>4295</v>
      </c>
      <c r="I187">
        <v>-141</v>
      </c>
      <c r="J187">
        <v>-3.18</v>
      </c>
      <c r="K187">
        <v>4349</v>
      </c>
      <c r="L187">
        <v>-87</v>
      </c>
      <c r="M187">
        <v>-1.96</v>
      </c>
      <c r="N187">
        <v>4230</v>
      </c>
      <c r="O187">
        <v>4436</v>
      </c>
      <c r="P187" t="s">
        <v>691</v>
      </c>
      <c r="Q187" t="s">
        <v>2876</v>
      </c>
      <c r="R187">
        <v>2</v>
      </c>
      <c r="S187">
        <v>6373</v>
      </c>
      <c r="T187">
        <v>4290</v>
      </c>
      <c r="U187">
        <v>4295</v>
      </c>
      <c r="V187">
        <v>3240</v>
      </c>
      <c r="W187">
        <v>1</v>
      </c>
    </row>
    <row r="188" spans="1:23" x14ac:dyDescent="0.25">
      <c r="A188" t="s">
        <v>692</v>
      </c>
      <c r="B188" t="s">
        <v>693</v>
      </c>
      <c r="C188">
        <v>0</v>
      </c>
      <c r="D188">
        <v>0</v>
      </c>
      <c r="E188">
        <v>0</v>
      </c>
      <c r="F188">
        <v>986407</v>
      </c>
      <c r="G188">
        <v>0</v>
      </c>
      <c r="H188">
        <v>999999</v>
      </c>
      <c r="I188">
        <v>13592</v>
      </c>
      <c r="J188">
        <v>1.38</v>
      </c>
      <c r="K188">
        <v>986407</v>
      </c>
      <c r="L188">
        <v>0</v>
      </c>
      <c r="M188">
        <v>0</v>
      </c>
      <c r="N188">
        <v>0</v>
      </c>
      <c r="O188">
        <v>0</v>
      </c>
      <c r="R188">
        <v>1</v>
      </c>
      <c r="S188">
        <v>1000</v>
      </c>
      <c r="T188">
        <v>937087</v>
      </c>
      <c r="U188">
        <v>0</v>
      </c>
      <c r="V188">
        <v>0</v>
      </c>
      <c r="W188">
        <v>0</v>
      </c>
    </row>
    <row r="189" spans="1:23" x14ac:dyDescent="0.25">
      <c r="A189" t="s">
        <v>694</v>
      </c>
      <c r="B189" t="s">
        <v>695</v>
      </c>
      <c r="C189">
        <v>140</v>
      </c>
      <c r="D189">
        <v>1234739</v>
      </c>
      <c r="E189">
        <v>4903290246</v>
      </c>
      <c r="F189">
        <v>3888</v>
      </c>
      <c r="G189">
        <v>4000</v>
      </c>
      <c r="H189">
        <v>3960</v>
      </c>
      <c r="I189">
        <v>72</v>
      </c>
      <c r="J189">
        <v>1.85</v>
      </c>
      <c r="K189">
        <v>3928</v>
      </c>
      <c r="L189">
        <v>40</v>
      </c>
      <c r="M189">
        <v>1.03</v>
      </c>
      <c r="N189">
        <v>3891</v>
      </c>
      <c r="O189">
        <v>4026</v>
      </c>
      <c r="P189" t="s">
        <v>696</v>
      </c>
      <c r="Q189" t="s">
        <v>2877</v>
      </c>
      <c r="R189">
        <v>2</v>
      </c>
      <c r="S189">
        <v>28784</v>
      </c>
      <c r="T189">
        <v>3951</v>
      </c>
      <c r="U189">
        <v>3965</v>
      </c>
      <c r="V189">
        <v>5493</v>
      </c>
      <c r="W189">
        <v>2</v>
      </c>
    </row>
    <row r="190" spans="1:23" x14ac:dyDescent="0.25">
      <c r="A190" t="s">
        <v>697</v>
      </c>
      <c r="B190" t="s">
        <v>698</v>
      </c>
      <c r="C190">
        <v>0</v>
      </c>
      <c r="D190">
        <v>0</v>
      </c>
      <c r="E190">
        <v>0</v>
      </c>
      <c r="F190">
        <v>1</v>
      </c>
      <c r="G190">
        <v>0</v>
      </c>
      <c r="H190">
        <v>1</v>
      </c>
      <c r="I190">
        <v>0</v>
      </c>
      <c r="J190">
        <v>0</v>
      </c>
      <c r="K190">
        <v>1</v>
      </c>
      <c r="L190">
        <v>0</v>
      </c>
      <c r="M190">
        <v>0</v>
      </c>
      <c r="N190">
        <v>0</v>
      </c>
      <c r="O190">
        <v>0</v>
      </c>
      <c r="R190">
        <v>1</v>
      </c>
      <c r="S190">
        <v>100</v>
      </c>
      <c r="T190">
        <v>5</v>
      </c>
      <c r="U190">
        <v>0</v>
      </c>
      <c r="V190">
        <v>0</v>
      </c>
      <c r="W190">
        <v>0</v>
      </c>
    </row>
    <row r="191" spans="1:23" x14ac:dyDescent="0.25">
      <c r="A191" t="s">
        <v>699</v>
      </c>
      <c r="B191" t="s">
        <v>700</v>
      </c>
      <c r="C191">
        <v>215</v>
      </c>
      <c r="D191">
        <v>416658</v>
      </c>
      <c r="E191">
        <v>6368319201</v>
      </c>
      <c r="F191">
        <v>14879</v>
      </c>
      <c r="G191">
        <v>15622</v>
      </c>
      <c r="H191">
        <v>15177</v>
      </c>
      <c r="I191">
        <v>298</v>
      </c>
      <c r="J191">
        <v>2</v>
      </c>
      <c r="K191">
        <v>15114</v>
      </c>
      <c r="L191">
        <v>235</v>
      </c>
      <c r="M191">
        <v>1.58</v>
      </c>
      <c r="N191">
        <v>15038</v>
      </c>
      <c r="O191">
        <v>15622</v>
      </c>
      <c r="P191" t="s">
        <v>701</v>
      </c>
      <c r="Q191" t="s">
        <v>837</v>
      </c>
      <c r="R191">
        <v>1</v>
      </c>
      <c r="S191">
        <v>5000</v>
      </c>
      <c r="T191">
        <v>15177</v>
      </c>
      <c r="U191">
        <v>15182</v>
      </c>
      <c r="V191">
        <v>11796</v>
      </c>
      <c r="W191">
        <v>1</v>
      </c>
    </row>
    <row r="192" spans="1:23" x14ac:dyDescent="0.25">
      <c r="A192" t="s">
        <v>702</v>
      </c>
      <c r="B192" t="s">
        <v>703</v>
      </c>
      <c r="C192">
        <v>23</v>
      </c>
      <c r="D192">
        <v>12552</v>
      </c>
      <c r="E192">
        <v>405118178</v>
      </c>
      <c r="F192">
        <v>31761</v>
      </c>
      <c r="G192">
        <v>33950</v>
      </c>
      <c r="H192">
        <v>33100</v>
      </c>
      <c r="I192">
        <v>1339</v>
      </c>
      <c r="J192">
        <v>4.22</v>
      </c>
      <c r="K192">
        <v>32275</v>
      </c>
      <c r="L192">
        <v>514</v>
      </c>
      <c r="M192">
        <v>1.62</v>
      </c>
      <c r="N192">
        <v>31552</v>
      </c>
      <c r="O192">
        <v>33950</v>
      </c>
      <c r="R192">
        <v>1</v>
      </c>
      <c r="S192">
        <v>5963</v>
      </c>
      <c r="T192">
        <v>32360</v>
      </c>
      <c r="U192">
        <v>33100</v>
      </c>
      <c r="V192">
        <v>1000</v>
      </c>
      <c r="W192">
        <v>1</v>
      </c>
    </row>
    <row r="193" spans="1:23" x14ac:dyDescent="0.25">
      <c r="A193" t="s">
        <v>704</v>
      </c>
      <c r="B193" t="s">
        <v>705</v>
      </c>
      <c r="C193">
        <v>178</v>
      </c>
      <c r="D193">
        <v>123478</v>
      </c>
      <c r="E193">
        <v>3191904987</v>
      </c>
      <c r="F193">
        <v>25633</v>
      </c>
      <c r="G193">
        <v>26060</v>
      </c>
      <c r="H193">
        <v>25600</v>
      </c>
      <c r="I193">
        <v>-33</v>
      </c>
      <c r="J193">
        <v>-0.13</v>
      </c>
      <c r="K193">
        <v>25850</v>
      </c>
      <c r="L193">
        <v>217</v>
      </c>
      <c r="M193">
        <v>0.85</v>
      </c>
      <c r="N193">
        <v>25600</v>
      </c>
      <c r="O193">
        <v>26100</v>
      </c>
      <c r="P193" t="s">
        <v>706</v>
      </c>
      <c r="Q193" t="s">
        <v>2878</v>
      </c>
      <c r="R193">
        <v>1</v>
      </c>
      <c r="S193">
        <v>130</v>
      </c>
      <c r="T193">
        <v>25509</v>
      </c>
      <c r="U193">
        <v>25600</v>
      </c>
      <c r="V193">
        <v>3685</v>
      </c>
      <c r="W193">
        <v>3</v>
      </c>
    </row>
    <row r="194" spans="1:23" x14ac:dyDescent="0.25">
      <c r="A194" t="s">
        <v>707</v>
      </c>
      <c r="B194" t="s">
        <v>708</v>
      </c>
      <c r="C194">
        <v>168</v>
      </c>
      <c r="D194">
        <v>219186</v>
      </c>
      <c r="E194">
        <v>5726825471</v>
      </c>
      <c r="F194">
        <v>25209</v>
      </c>
      <c r="G194">
        <v>26200</v>
      </c>
      <c r="H194">
        <v>25209</v>
      </c>
      <c r="I194">
        <v>0</v>
      </c>
      <c r="J194">
        <v>0</v>
      </c>
      <c r="K194">
        <v>26128</v>
      </c>
      <c r="L194">
        <v>919</v>
      </c>
      <c r="M194">
        <v>3.65</v>
      </c>
      <c r="N194">
        <v>24336</v>
      </c>
      <c r="O194">
        <v>26410</v>
      </c>
      <c r="P194" t="s">
        <v>709</v>
      </c>
      <c r="Q194" t="s">
        <v>2879</v>
      </c>
      <c r="R194">
        <v>3</v>
      </c>
      <c r="S194">
        <v>9087</v>
      </c>
      <c r="T194">
        <v>25210</v>
      </c>
      <c r="U194">
        <v>25475</v>
      </c>
      <c r="V194">
        <v>594</v>
      </c>
      <c r="W194">
        <v>1</v>
      </c>
    </row>
    <row r="195" spans="1:23" x14ac:dyDescent="0.25">
      <c r="A195" t="s">
        <v>710</v>
      </c>
      <c r="B195" t="s">
        <v>711</v>
      </c>
      <c r="C195">
        <v>903</v>
      </c>
      <c r="D195">
        <v>1055926</v>
      </c>
      <c r="E195">
        <v>24500030878</v>
      </c>
      <c r="F195">
        <v>22509</v>
      </c>
      <c r="G195">
        <v>23634</v>
      </c>
      <c r="H195">
        <v>22700</v>
      </c>
      <c r="I195">
        <v>191</v>
      </c>
      <c r="J195">
        <v>0.85</v>
      </c>
      <c r="K195">
        <v>23202</v>
      </c>
      <c r="L195">
        <v>693</v>
      </c>
      <c r="M195">
        <v>3.08</v>
      </c>
      <c r="N195">
        <v>21522</v>
      </c>
      <c r="O195">
        <v>23634</v>
      </c>
      <c r="P195" t="s">
        <v>712</v>
      </c>
      <c r="Q195" t="s">
        <v>2853</v>
      </c>
      <c r="R195">
        <v>3</v>
      </c>
      <c r="S195">
        <v>1010</v>
      </c>
      <c r="T195">
        <v>22701</v>
      </c>
      <c r="U195">
        <v>22900</v>
      </c>
      <c r="V195">
        <v>5512</v>
      </c>
      <c r="W195">
        <v>2</v>
      </c>
    </row>
    <row r="196" spans="1:23" x14ac:dyDescent="0.25">
      <c r="A196" t="s">
        <v>2880</v>
      </c>
      <c r="B196" t="s">
        <v>2179</v>
      </c>
      <c r="C196">
        <v>1</v>
      </c>
      <c r="D196">
        <v>25</v>
      </c>
      <c r="E196">
        <v>250</v>
      </c>
      <c r="F196">
        <v>407381</v>
      </c>
      <c r="G196">
        <v>10</v>
      </c>
      <c r="H196">
        <v>10</v>
      </c>
      <c r="I196">
        <v>-407371</v>
      </c>
      <c r="J196">
        <v>-100</v>
      </c>
      <c r="K196">
        <v>10</v>
      </c>
      <c r="L196">
        <v>-407371</v>
      </c>
      <c r="M196">
        <v>-100</v>
      </c>
      <c r="N196">
        <v>10</v>
      </c>
      <c r="O196">
        <v>10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</row>
    <row r="197" spans="1:23" x14ac:dyDescent="0.25">
      <c r="A197" t="s">
        <v>713</v>
      </c>
      <c r="B197" t="s">
        <v>714</v>
      </c>
      <c r="C197">
        <v>249</v>
      </c>
      <c r="D197">
        <v>294386</v>
      </c>
      <c r="E197">
        <v>2556865497</v>
      </c>
      <c r="F197">
        <v>8803</v>
      </c>
      <c r="G197">
        <v>8702</v>
      </c>
      <c r="H197">
        <v>8553</v>
      </c>
      <c r="I197">
        <v>-250</v>
      </c>
      <c r="J197">
        <v>-2.84</v>
      </c>
      <c r="K197">
        <v>8685</v>
      </c>
      <c r="L197">
        <v>-118</v>
      </c>
      <c r="M197">
        <v>-1.34</v>
      </c>
      <c r="N197">
        <v>8550</v>
      </c>
      <c r="O197">
        <v>8870</v>
      </c>
      <c r="P197" t="s">
        <v>2624</v>
      </c>
      <c r="Q197" t="s">
        <v>2881</v>
      </c>
      <c r="R197">
        <v>2</v>
      </c>
      <c r="S197">
        <v>1174</v>
      </c>
      <c r="T197">
        <v>8540</v>
      </c>
      <c r="U197">
        <v>8553</v>
      </c>
      <c r="V197">
        <v>1372</v>
      </c>
      <c r="W197">
        <v>1</v>
      </c>
    </row>
    <row r="198" spans="1:23" x14ac:dyDescent="0.25">
      <c r="A198" t="s">
        <v>716</v>
      </c>
      <c r="B198" t="s">
        <v>717</v>
      </c>
      <c r="C198">
        <v>0</v>
      </c>
      <c r="D198">
        <v>0</v>
      </c>
      <c r="E198">
        <v>0</v>
      </c>
      <c r="F198">
        <v>1000156</v>
      </c>
      <c r="G198">
        <v>0</v>
      </c>
      <c r="H198">
        <v>1000112</v>
      </c>
      <c r="I198">
        <v>-44</v>
      </c>
      <c r="J198">
        <v>0</v>
      </c>
      <c r="K198">
        <v>1000156</v>
      </c>
      <c r="L198">
        <v>0</v>
      </c>
      <c r="M198">
        <v>0</v>
      </c>
      <c r="N198">
        <v>0</v>
      </c>
      <c r="O198">
        <v>0</v>
      </c>
      <c r="R198">
        <v>1</v>
      </c>
      <c r="S198">
        <v>500</v>
      </c>
      <c r="T198">
        <v>1000005</v>
      </c>
      <c r="U198">
        <v>1010000</v>
      </c>
      <c r="V198">
        <v>1000</v>
      </c>
      <c r="W198">
        <v>1</v>
      </c>
    </row>
    <row r="199" spans="1:23" x14ac:dyDescent="0.25">
      <c r="A199" t="s">
        <v>718</v>
      </c>
      <c r="B199" t="s">
        <v>719</v>
      </c>
      <c r="C199">
        <v>294</v>
      </c>
      <c r="D199">
        <v>1045450</v>
      </c>
      <c r="E199">
        <v>8626424650</v>
      </c>
      <c r="F199">
        <v>7905</v>
      </c>
      <c r="G199">
        <v>8100</v>
      </c>
      <c r="H199">
        <v>8201</v>
      </c>
      <c r="I199">
        <v>296</v>
      </c>
      <c r="J199">
        <v>3.74</v>
      </c>
      <c r="K199">
        <v>8251</v>
      </c>
      <c r="L199">
        <v>346</v>
      </c>
      <c r="M199">
        <v>4.38</v>
      </c>
      <c r="N199">
        <v>8015</v>
      </c>
      <c r="O199">
        <v>8300</v>
      </c>
      <c r="P199" t="s">
        <v>720</v>
      </c>
      <c r="Q199" t="s">
        <v>2882</v>
      </c>
      <c r="R199">
        <v>1</v>
      </c>
      <c r="S199">
        <v>850</v>
      </c>
      <c r="T199">
        <v>8201</v>
      </c>
      <c r="U199">
        <v>8270</v>
      </c>
      <c r="V199">
        <v>67805</v>
      </c>
      <c r="W199">
        <v>4</v>
      </c>
    </row>
    <row r="200" spans="1:23" x14ac:dyDescent="0.25">
      <c r="A200" t="s">
        <v>721</v>
      </c>
      <c r="B200" t="s">
        <v>722</v>
      </c>
      <c r="C200">
        <v>0</v>
      </c>
      <c r="D200">
        <v>0</v>
      </c>
      <c r="E200">
        <v>0</v>
      </c>
      <c r="F200">
        <v>8500</v>
      </c>
      <c r="G200">
        <v>0</v>
      </c>
      <c r="H200">
        <v>8500</v>
      </c>
      <c r="I200">
        <v>0</v>
      </c>
      <c r="J200">
        <v>0</v>
      </c>
      <c r="K200">
        <v>8500</v>
      </c>
      <c r="L200">
        <v>0</v>
      </c>
      <c r="M200">
        <v>0</v>
      </c>
      <c r="N200">
        <v>0</v>
      </c>
      <c r="O200">
        <v>0</v>
      </c>
      <c r="P200" t="s">
        <v>579</v>
      </c>
      <c r="Q200" t="s">
        <v>2625</v>
      </c>
      <c r="R200">
        <v>0</v>
      </c>
      <c r="S200">
        <v>0</v>
      </c>
      <c r="T200">
        <v>0</v>
      </c>
      <c r="U200">
        <v>8530</v>
      </c>
      <c r="V200">
        <v>28279</v>
      </c>
      <c r="W200">
        <v>1</v>
      </c>
    </row>
    <row r="201" spans="1:23" x14ac:dyDescent="0.25">
      <c r="A201" t="s">
        <v>723</v>
      </c>
      <c r="B201" t="s">
        <v>724</v>
      </c>
      <c r="C201">
        <v>295</v>
      </c>
      <c r="D201">
        <v>238326</v>
      </c>
      <c r="E201">
        <v>10427685899</v>
      </c>
      <c r="F201">
        <v>41675</v>
      </c>
      <c r="G201">
        <v>43758</v>
      </c>
      <c r="H201">
        <v>43758</v>
      </c>
      <c r="I201">
        <v>2083</v>
      </c>
      <c r="J201">
        <v>5</v>
      </c>
      <c r="K201">
        <v>43754</v>
      </c>
      <c r="L201">
        <v>2079</v>
      </c>
      <c r="M201">
        <v>4.99</v>
      </c>
      <c r="N201">
        <v>43500</v>
      </c>
      <c r="O201">
        <v>43758</v>
      </c>
      <c r="P201" t="s">
        <v>725</v>
      </c>
      <c r="Q201" t="s">
        <v>2883</v>
      </c>
      <c r="R201">
        <v>90</v>
      </c>
      <c r="S201">
        <v>111340</v>
      </c>
      <c r="T201">
        <v>43758</v>
      </c>
      <c r="U201">
        <v>45412</v>
      </c>
      <c r="V201">
        <v>1160</v>
      </c>
      <c r="W201">
        <v>1</v>
      </c>
    </row>
    <row r="202" spans="1:23" x14ac:dyDescent="0.25">
      <c r="A202" t="s">
        <v>726</v>
      </c>
      <c r="B202" t="s">
        <v>727</v>
      </c>
      <c r="C202">
        <v>1164</v>
      </c>
      <c r="D202">
        <v>9728176</v>
      </c>
      <c r="E202">
        <v>30410405795</v>
      </c>
      <c r="F202">
        <v>3125</v>
      </c>
      <c r="G202">
        <v>3240</v>
      </c>
      <c r="H202">
        <v>3042</v>
      </c>
      <c r="I202">
        <v>-83</v>
      </c>
      <c r="J202">
        <v>-2.66</v>
      </c>
      <c r="K202">
        <v>3126</v>
      </c>
      <c r="L202">
        <v>1</v>
      </c>
      <c r="M202">
        <v>0.03</v>
      </c>
      <c r="N202">
        <v>3020</v>
      </c>
      <c r="O202">
        <v>3240</v>
      </c>
      <c r="P202" t="s">
        <v>728</v>
      </c>
      <c r="Q202" t="s">
        <v>2626</v>
      </c>
      <c r="R202">
        <v>1</v>
      </c>
      <c r="S202">
        <v>19803</v>
      </c>
      <c r="T202">
        <v>3041</v>
      </c>
      <c r="U202">
        <v>3051</v>
      </c>
      <c r="V202">
        <v>6231</v>
      </c>
      <c r="W202">
        <v>3</v>
      </c>
    </row>
    <row r="203" spans="1:23" x14ac:dyDescent="0.25">
      <c r="A203" t="s">
        <v>729</v>
      </c>
      <c r="B203" t="s">
        <v>730</v>
      </c>
      <c r="C203">
        <v>151</v>
      </c>
      <c r="D203">
        <v>1243</v>
      </c>
      <c r="E203">
        <v>519893195</v>
      </c>
      <c r="F203">
        <v>419355</v>
      </c>
      <c r="G203">
        <v>412384</v>
      </c>
      <c r="H203">
        <v>420000</v>
      </c>
      <c r="I203">
        <v>645</v>
      </c>
      <c r="J203">
        <v>0.15</v>
      </c>
      <c r="K203">
        <v>418257</v>
      </c>
      <c r="L203">
        <v>-1098</v>
      </c>
      <c r="M203">
        <v>-0.26</v>
      </c>
      <c r="N203">
        <v>400233</v>
      </c>
      <c r="O203">
        <v>430000</v>
      </c>
      <c r="R203">
        <v>3</v>
      </c>
      <c r="S203">
        <v>170</v>
      </c>
      <c r="T203">
        <v>420000</v>
      </c>
      <c r="U203">
        <v>428599</v>
      </c>
      <c r="V203">
        <v>4</v>
      </c>
      <c r="W203">
        <v>1</v>
      </c>
    </row>
    <row r="204" spans="1:23" x14ac:dyDescent="0.25">
      <c r="A204" t="s">
        <v>731</v>
      </c>
      <c r="B204" t="s">
        <v>732</v>
      </c>
      <c r="C204">
        <v>429</v>
      </c>
      <c r="D204">
        <v>2104955</v>
      </c>
      <c r="E204">
        <v>29599757202</v>
      </c>
      <c r="F204">
        <v>13409</v>
      </c>
      <c r="G204">
        <v>13900</v>
      </c>
      <c r="H204">
        <v>14079</v>
      </c>
      <c r="I204">
        <v>670</v>
      </c>
      <c r="J204">
        <v>5</v>
      </c>
      <c r="K204">
        <v>14062</v>
      </c>
      <c r="L204">
        <v>653</v>
      </c>
      <c r="M204">
        <v>4.87</v>
      </c>
      <c r="N204">
        <v>13899</v>
      </c>
      <c r="O204">
        <v>14079</v>
      </c>
      <c r="P204" t="s">
        <v>733</v>
      </c>
      <c r="Q204" t="s">
        <v>2612</v>
      </c>
      <c r="R204">
        <v>41</v>
      </c>
      <c r="S204">
        <v>492949</v>
      </c>
      <c r="T204">
        <v>14079</v>
      </c>
      <c r="U204">
        <v>22606</v>
      </c>
      <c r="V204">
        <v>2420</v>
      </c>
      <c r="W204">
        <v>1</v>
      </c>
    </row>
    <row r="205" spans="1:23" x14ac:dyDescent="0.25">
      <c r="A205" t="s">
        <v>734</v>
      </c>
      <c r="B205" t="s">
        <v>735</v>
      </c>
      <c r="C205">
        <v>0</v>
      </c>
      <c r="D205">
        <v>0</v>
      </c>
      <c r="E205">
        <v>0</v>
      </c>
      <c r="F205">
        <v>99</v>
      </c>
      <c r="G205">
        <v>0</v>
      </c>
      <c r="H205">
        <v>99</v>
      </c>
      <c r="I205">
        <v>0</v>
      </c>
      <c r="J205">
        <v>0</v>
      </c>
      <c r="K205">
        <v>99</v>
      </c>
      <c r="L205">
        <v>0</v>
      </c>
      <c r="M205">
        <v>0</v>
      </c>
      <c r="N205">
        <v>0</v>
      </c>
      <c r="O205">
        <v>0</v>
      </c>
      <c r="R205">
        <v>0</v>
      </c>
      <c r="S205">
        <v>0</v>
      </c>
      <c r="T205">
        <v>0</v>
      </c>
      <c r="U205">
        <v>158</v>
      </c>
      <c r="V205">
        <v>100</v>
      </c>
      <c r="W205">
        <v>1</v>
      </c>
    </row>
    <row r="206" spans="1:23" x14ac:dyDescent="0.25">
      <c r="A206" t="s">
        <v>736</v>
      </c>
      <c r="B206" t="s">
        <v>737</v>
      </c>
      <c r="C206">
        <v>0</v>
      </c>
      <c r="D206">
        <v>0</v>
      </c>
      <c r="E206">
        <v>0</v>
      </c>
      <c r="F206">
        <v>1000001</v>
      </c>
      <c r="G206">
        <v>0</v>
      </c>
      <c r="H206">
        <v>1000001</v>
      </c>
      <c r="I206">
        <v>0</v>
      </c>
      <c r="J206">
        <v>0</v>
      </c>
      <c r="K206">
        <v>1000001</v>
      </c>
      <c r="L206">
        <v>0</v>
      </c>
      <c r="M206">
        <v>0</v>
      </c>
      <c r="N206">
        <v>0</v>
      </c>
      <c r="O206">
        <v>0</v>
      </c>
      <c r="R206">
        <v>1</v>
      </c>
      <c r="S206">
        <v>1000</v>
      </c>
      <c r="T206">
        <v>1000001</v>
      </c>
      <c r="U206">
        <v>0</v>
      </c>
      <c r="V206">
        <v>0</v>
      </c>
      <c r="W206">
        <v>0</v>
      </c>
    </row>
    <row r="207" spans="1:23" x14ac:dyDescent="0.25">
      <c r="A207" t="s">
        <v>738</v>
      </c>
      <c r="B207" t="s">
        <v>739</v>
      </c>
      <c r="C207">
        <v>14</v>
      </c>
      <c r="D207">
        <v>156780</v>
      </c>
      <c r="E207">
        <v>4294113343</v>
      </c>
      <c r="F207">
        <v>27310</v>
      </c>
      <c r="G207">
        <v>27350</v>
      </c>
      <c r="H207">
        <v>27750</v>
      </c>
      <c r="I207">
        <v>440</v>
      </c>
      <c r="J207">
        <v>1.61</v>
      </c>
      <c r="K207">
        <v>27389</v>
      </c>
      <c r="L207">
        <v>79</v>
      </c>
      <c r="M207">
        <v>0.28999999999999998</v>
      </c>
      <c r="N207">
        <v>27350</v>
      </c>
      <c r="O207">
        <v>27750</v>
      </c>
      <c r="R207">
        <v>1</v>
      </c>
      <c r="S207">
        <v>5000</v>
      </c>
      <c r="T207">
        <v>27602</v>
      </c>
      <c r="U207">
        <v>27750</v>
      </c>
      <c r="V207">
        <v>5275</v>
      </c>
      <c r="W207">
        <v>2</v>
      </c>
    </row>
    <row r="208" spans="1:23" x14ac:dyDescent="0.25">
      <c r="A208" t="s">
        <v>740</v>
      </c>
      <c r="B208" t="s">
        <v>741</v>
      </c>
      <c r="C208">
        <v>1190</v>
      </c>
      <c r="D208">
        <v>5274292</v>
      </c>
      <c r="E208">
        <v>27106828061</v>
      </c>
      <c r="F208">
        <v>5178</v>
      </c>
      <c r="G208">
        <v>5300</v>
      </c>
      <c r="H208">
        <v>5200</v>
      </c>
      <c r="I208">
        <v>22</v>
      </c>
      <c r="J208">
        <v>0.42</v>
      </c>
      <c r="K208">
        <v>5139</v>
      </c>
      <c r="L208">
        <v>-39</v>
      </c>
      <c r="M208">
        <v>-0.75</v>
      </c>
      <c r="N208">
        <v>5000</v>
      </c>
      <c r="O208">
        <v>5300</v>
      </c>
      <c r="P208" t="s">
        <v>742</v>
      </c>
      <c r="Q208" t="s">
        <v>1424</v>
      </c>
      <c r="R208">
        <v>1</v>
      </c>
      <c r="S208">
        <v>2000</v>
      </c>
      <c r="T208">
        <v>5191</v>
      </c>
      <c r="U208">
        <v>5200</v>
      </c>
      <c r="V208">
        <v>95536</v>
      </c>
      <c r="W208">
        <v>5</v>
      </c>
    </row>
    <row r="209" spans="1:23" x14ac:dyDescent="0.25">
      <c r="A209" t="s">
        <v>743</v>
      </c>
      <c r="B209" t="s">
        <v>744</v>
      </c>
      <c r="C209">
        <v>1953</v>
      </c>
      <c r="D209">
        <v>14869476</v>
      </c>
      <c r="E209">
        <v>61234007167</v>
      </c>
      <c r="F209">
        <v>4099</v>
      </c>
      <c r="G209">
        <v>4142</v>
      </c>
      <c r="H209">
        <v>4109</v>
      </c>
      <c r="I209">
        <v>10</v>
      </c>
      <c r="J209">
        <v>0.24</v>
      </c>
      <c r="K209">
        <v>4118</v>
      </c>
      <c r="L209">
        <v>19</v>
      </c>
      <c r="M209">
        <v>0.46</v>
      </c>
      <c r="N209">
        <v>4040</v>
      </c>
      <c r="O209">
        <v>4197</v>
      </c>
      <c r="P209" t="s">
        <v>745</v>
      </c>
      <c r="Q209" t="s">
        <v>2884</v>
      </c>
      <c r="R209">
        <v>1</v>
      </c>
      <c r="S209">
        <v>3484</v>
      </c>
      <c r="T209">
        <v>4109</v>
      </c>
      <c r="U209">
        <v>4119</v>
      </c>
      <c r="V209">
        <v>6328</v>
      </c>
      <c r="W209">
        <v>1</v>
      </c>
    </row>
    <row r="210" spans="1:23" x14ac:dyDescent="0.25">
      <c r="A210" t="s">
        <v>746</v>
      </c>
      <c r="B210" t="s">
        <v>747</v>
      </c>
      <c r="C210">
        <v>423</v>
      </c>
      <c r="D210">
        <v>2647327</v>
      </c>
      <c r="E210">
        <v>9025761830</v>
      </c>
      <c r="F210">
        <v>3484</v>
      </c>
      <c r="G210">
        <v>3500</v>
      </c>
      <c r="H210">
        <v>3401</v>
      </c>
      <c r="I210">
        <v>-83</v>
      </c>
      <c r="J210">
        <v>-2.38</v>
      </c>
      <c r="K210">
        <v>3409</v>
      </c>
      <c r="L210">
        <v>-75</v>
      </c>
      <c r="M210">
        <v>-2.15</v>
      </c>
      <c r="N210">
        <v>3360</v>
      </c>
      <c r="O210">
        <v>3554</v>
      </c>
      <c r="P210" t="s">
        <v>748</v>
      </c>
      <c r="Q210" t="s">
        <v>2885</v>
      </c>
      <c r="R210">
        <v>1</v>
      </c>
      <c r="S210">
        <v>1700</v>
      </c>
      <c r="T210">
        <v>3402</v>
      </c>
      <c r="U210">
        <v>3437</v>
      </c>
      <c r="V210">
        <v>2000</v>
      </c>
      <c r="W210">
        <v>1</v>
      </c>
    </row>
    <row r="211" spans="1:23" x14ac:dyDescent="0.25">
      <c r="A211" t="s">
        <v>749</v>
      </c>
      <c r="B211" t="s">
        <v>750</v>
      </c>
      <c r="C211">
        <v>0</v>
      </c>
      <c r="D211">
        <v>0</v>
      </c>
      <c r="E211">
        <v>0</v>
      </c>
      <c r="F211">
        <v>271</v>
      </c>
      <c r="G211">
        <v>0</v>
      </c>
      <c r="H211">
        <v>271</v>
      </c>
      <c r="I211">
        <v>0</v>
      </c>
      <c r="J211">
        <v>0</v>
      </c>
      <c r="K211">
        <v>271</v>
      </c>
      <c r="L211">
        <v>0</v>
      </c>
      <c r="M211">
        <v>0</v>
      </c>
      <c r="N211">
        <v>0</v>
      </c>
      <c r="O211">
        <v>0</v>
      </c>
      <c r="R211">
        <v>1</v>
      </c>
      <c r="S211">
        <v>50</v>
      </c>
      <c r="T211">
        <v>271</v>
      </c>
      <c r="U211">
        <v>400</v>
      </c>
      <c r="V211">
        <v>50</v>
      </c>
      <c r="W211">
        <v>1</v>
      </c>
    </row>
    <row r="212" spans="1:23" x14ac:dyDescent="0.25">
      <c r="A212" t="s">
        <v>2886</v>
      </c>
      <c r="B212" t="s">
        <v>2887</v>
      </c>
      <c r="C212">
        <v>0</v>
      </c>
      <c r="D212">
        <v>0</v>
      </c>
      <c r="E212">
        <v>0</v>
      </c>
      <c r="F212">
        <v>6191</v>
      </c>
      <c r="G212">
        <v>0</v>
      </c>
      <c r="H212">
        <v>6430</v>
      </c>
      <c r="I212">
        <v>239</v>
      </c>
      <c r="J212">
        <v>3.86</v>
      </c>
      <c r="K212">
        <v>6191</v>
      </c>
      <c r="L212">
        <v>0</v>
      </c>
      <c r="M212">
        <v>0</v>
      </c>
      <c r="N212">
        <v>0</v>
      </c>
      <c r="O212">
        <v>0</v>
      </c>
      <c r="P212" t="s">
        <v>2888</v>
      </c>
      <c r="Q212" t="s">
        <v>2889</v>
      </c>
      <c r="R212">
        <v>55</v>
      </c>
      <c r="S212">
        <v>1123748</v>
      </c>
      <c r="T212">
        <v>6500</v>
      </c>
      <c r="U212">
        <v>6526</v>
      </c>
      <c r="V212">
        <v>32</v>
      </c>
      <c r="W212">
        <v>1</v>
      </c>
    </row>
    <row r="213" spans="1:23" x14ac:dyDescent="0.25">
      <c r="A213" t="s">
        <v>751</v>
      </c>
      <c r="B213" t="s">
        <v>752</v>
      </c>
      <c r="C213">
        <v>1015</v>
      </c>
      <c r="D213">
        <v>2520281</v>
      </c>
      <c r="E213">
        <v>52900378518</v>
      </c>
      <c r="F213">
        <v>20971</v>
      </c>
      <c r="G213">
        <v>20971</v>
      </c>
      <c r="H213">
        <v>21139</v>
      </c>
      <c r="I213">
        <v>168</v>
      </c>
      <c r="J213">
        <v>0.8</v>
      </c>
      <c r="K213">
        <v>20990</v>
      </c>
      <c r="L213">
        <v>19</v>
      </c>
      <c r="M213">
        <v>0.09</v>
      </c>
      <c r="N213">
        <v>20515</v>
      </c>
      <c r="O213">
        <v>21400</v>
      </c>
      <c r="P213" t="s">
        <v>753</v>
      </c>
      <c r="Q213" t="s">
        <v>2890</v>
      </c>
      <c r="R213">
        <v>1</v>
      </c>
      <c r="S213">
        <v>1412</v>
      </c>
      <c r="T213">
        <v>21138</v>
      </c>
      <c r="U213">
        <v>21140</v>
      </c>
      <c r="V213">
        <v>12184</v>
      </c>
      <c r="W213">
        <v>16</v>
      </c>
    </row>
    <row r="214" spans="1:23" x14ac:dyDescent="0.25">
      <c r="A214" t="s">
        <v>754</v>
      </c>
      <c r="B214" t="s">
        <v>755</v>
      </c>
      <c r="C214">
        <v>0</v>
      </c>
      <c r="D214">
        <v>0</v>
      </c>
      <c r="E214">
        <v>0</v>
      </c>
      <c r="F214">
        <v>8842</v>
      </c>
      <c r="G214">
        <v>0</v>
      </c>
      <c r="H214">
        <v>9000</v>
      </c>
      <c r="I214">
        <v>158</v>
      </c>
      <c r="J214">
        <v>1.79</v>
      </c>
      <c r="K214">
        <v>8842</v>
      </c>
      <c r="L214">
        <v>0</v>
      </c>
      <c r="M214">
        <v>0</v>
      </c>
      <c r="N214">
        <v>0</v>
      </c>
      <c r="O214">
        <v>0</v>
      </c>
      <c r="P214" t="s">
        <v>756</v>
      </c>
      <c r="Q214" t="s">
        <v>2627</v>
      </c>
      <c r="R214">
        <v>0</v>
      </c>
      <c r="S214">
        <v>0</v>
      </c>
      <c r="T214">
        <v>0</v>
      </c>
      <c r="U214">
        <v>9800</v>
      </c>
      <c r="V214">
        <v>26500</v>
      </c>
      <c r="W214">
        <v>3</v>
      </c>
    </row>
    <row r="215" spans="1:23" x14ac:dyDescent="0.25">
      <c r="A215" t="s">
        <v>757</v>
      </c>
      <c r="B215" t="s">
        <v>758</v>
      </c>
      <c r="C215">
        <v>409</v>
      </c>
      <c r="D215">
        <v>1707159</v>
      </c>
      <c r="E215">
        <v>9534268448</v>
      </c>
      <c r="F215">
        <v>5652</v>
      </c>
      <c r="G215">
        <v>5750</v>
      </c>
      <c r="H215">
        <v>5513</v>
      </c>
      <c r="I215">
        <v>-139</v>
      </c>
      <c r="J215">
        <v>-2.46</v>
      </c>
      <c r="K215">
        <v>5585</v>
      </c>
      <c r="L215">
        <v>-67</v>
      </c>
      <c r="M215">
        <v>-1.19</v>
      </c>
      <c r="N215">
        <v>5501</v>
      </c>
      <c r="O215">
        <v>5751</v>
      </c>
      <c r="P215" t="s">
        <v>759</v>
      </c>
      <c r="Q215" t="s">
        <v>2891</v>
      </c>
      <c r="R215">
        <v>1</v>
      </c>
      <c r="S215">
        <v>1600</v>
      </c>
      <c r="T215">
        <v>5513</v>
      </c>
      <c r="U215">
        <v>5535</v>
      </c>
      <c r="V215">
        <v>10800</v>
      </c>
      <c r="W215">
        <v>2</v>
      </c>
    </row>
    <row r="216" spans="1:23" x14ac:dyDescent="0.25">
      <c r="A216" t="s">
        <v>760</v>
      </c>
      <c r="B216" t="s">
        <v>761</v>
      </c>
      <c r="C216">
        <v>0</v>
      </c>
      <c r="D216">
        <v>0</v>
      </c>
      <c r="E216">
        <v>0</v>
      </c>
      <c r="F216">
        <v>1</v>
      </c>
      <c r="G216">
        <v>0</v>
      </c>
      <c r="H216">
        <v>1</v>
      </c>
      <c r="I216">
        <v>0</v>
      </c>
      <c r="J216">
        <v>0</v>
      </c>
      <c r="K216">
        <v>1</v>
      </c>
      <c r="L216">
        <v>0</v>
      </c>
      <c r="M216">
        <v>0</v>
      </c>
      <c r="N216">
        <v>0</v>
      </c>
      <c r="O216">
        <v>0</v>
      </c>
      <c r="R216">
        <v>1</v>
      </c>
      <c r="S216">
        <v>100</v>
      </c>
      <c r="T216">
        <v>10</v>
      </c>
      <c r="U216">
        <v>0</v>
      </c>
      <c r="V216">
        <v>0</v>
      </c>
      <c r="W216">
        <v>0</v>
      </c>
    </row>
    <row r="217" spans="1:23" x14ac:dyDescent="0.25">
      <c r="A217" t="s">
        <v>762</v>
      </c>
      <c r="B217" t="s">
        <v>763</v>
      </c>
      <c r="C217">
        <v>0</v>
      </c>
      <c r="D217">
        <v>0</v>
      </c>
      <c r="E217">
        <v>0</v>
      </c>
      <c r="F217">
        <v>1000000</v>
      </c>
      <c r="G217">
        <v>0</v>
      </c>
      <c r="H217">
        <v>1000000</v>
      </c>
      <c r="I217">
        <v>0</v>
      </c>
      <c r="J217">
        <v>0</v>
      </c>
      <c r="K217">
        <v>1000000</v>
      </c>
      <c r="L217">
        <v>0</v>
      </c>
      <c r="M217">
        <v>0</v>
      </c>
      <c r="N217">
        <v>0</v>
      </c>
      <c r="O217">
        <v>0</v>
      </c>
      <c r="R217">
        <v>1</v>
      </c>
      <c r="S217">
        <v>2500</v>
      </c>
      <c r="T217">
        <v>1000000</v>
      </c>
      <c r="U217">
        <v>1010000</v>
      </c>
      <c r="V217">
        <v>2500</v>
      </c>
      <c r="W217">
        <v>1</v>
      </c>
    </row>
    <row r="218" spans="1:23" x14ac:dyDescent="0.25">
      <c r="A218" t="s">
        <v>764</v>
      </c>
      <c r="B218" t="s">
        <v>765</v>
      </c>
      <c r="C218">
        <v>0</v>
      </c>
      <c r="D218">
        <v>0</v>
      </c>
      <c r="E218">
        <v>0</v>
      </c>
      <c r="F218">
        <v>942735</v>
      </c>
      <c r="G218">
        <v>0</v>
      </c>
      <c r="H218">
        <v>960000</v>
      </c>
      <c r="I218">
        <v>17265</v>
      </c>
      <c r="J218">
        <v>1.83</v>
      </c>
      <c r="K218">
        <v>942735</v>
      </c>
      <c r="L218">
        <v>0</v>
      </c>
      <c r="M218">
        <v>0</v>
      </c>
      <c r="N218">
        <v>0</v>
      </c>
      <c r="O218">
        <v>0</v>
      </c>
      <c r="R218">
        <v>1</v>
      </c>
      <c r="S218">
        <v>8000</v>
      </c>
      <c r="T218">
        <v>940021</v>
      </c>
      <c r="U218">
        <v>965000</v>
      </c>
      <c r="V218">
        <v>400</v>
      </c>
      <c r="W218">
        <v>1</v>
      </c>
    </row>
    <row r="219" spans="1:23" x14ac:dyDescent="0.25">
      <c r="A219" t="s">
        <v>766</v>
      </c>
      <c r="B219" t="s">
        <v>767</v>
      </c>
      <c r="C219">
        <v>2586</v>
      </c>
      <c r="D219">
        <v>22434836</v>
      </c>
      <c r="E219">
        <v>58078038101</v>
      </c>
      <c r="F219">
        <v>2642</v>
      </c>
      <c r="G219">
        <v>2640</v>
      </c>
      <c r="H219">
        <v>2551</v>
      </c>
      <c r="I219">
        <v>-91</v>
      </c>
      <c r="J219">
        <v>-3.44</v>
      </c>
      <c r="K219">
        <v>2589</v>
      </c>
      <c r="L219">
        <v>-53</v>
      </c>
      <c r="M219">
        <v>-2.0099999999999998</v>
      </c>
      <c r="N219">
        <v>2550</v>
      </c>
      <c r="O219">
        <v>2640</v>
      </c>
      <c r="P219" t="s">
        <v>768</v>
      </c>
      <c r="Q219" t="s">
        <v>2892</v>
      </c>
      <c r="R219">
        <v>6</v>
      </c>
      <c r="S219">
        <v>67848</v>
      </c>
      <c r="T219">
        <v>2551</v>
      </c>
      <c r="U219">
        <v>2556</v>
      </c>
      <c r="V219">
        <v>39244</v>
      </c>
      <c r="W219">
        <v>1</v>
      </c>
    </row>
    <row r="220" spans="1:23" x14ac:dyDescent="0.25">
      <c r="A220" t="s">
        <v>769</v>
      </c>
      <c r="B220" t="s">
        <v>770</v>
      </c>
      <c r="C220">
        <v>321</v>
      </c>
      <c r="D220">
        <v>1385371</v>
      </c>
      <c r="E220">
        <v>34027865076</v>
      </c>
      <c r="F220">
        <v>23404</v>
      </c>
      <c r="G220">
        <v>24574</v>
      </c>
      <c r="H220">
        <v>24574</v>
      </c>
      <c r="I220">
        <v>1170</v>
      </c>
      <c r="J220">
        <v>5</v>
      </c>
      <c r="K220">
        <v>24562</v>
      </c>
      <c r="L220">
        <v>1158</v>
      </c>
      <c r="M220">
        <v>4.95</v>
      </c>
      <c r="N220">
        <v>23574</v>
      </c>
      <c r="O220">
        <v>24574</v>
      </c>
      <c r="P220" t="s">
        <v>771</v>
      </c>
      <c r="Q220" t="s">
        <v>2893</v>
      </c>
      <c r="R220">
        <v>120</v>
      </c>
      <c r="S220">
        <v>569384</v>
      </c>
      <c r="T220">
        <v>24574</v>
      </c>
      <c r="U220">
        <v>0</v>
      </c>
      <c r="V220">
        <v>0</v>
      </c>
      <c r="W220">
        <v>0</v>
      </c>
    </row>
    <row r="221" spans="1:23" x14ac:dyDescent="0.25">
      <c r="A221" t="s">
        <v>772</v>
      </c>
      <c r="B221" t="s">
        <v>773</v>
      </c>
      <c r="C221">
        <v>0</v>
      </c>
      <c r="D221">
        <v>0</v>
      </c>
      <c r="E221">
        <v>0</v>
      </c>
      <c r="F221">
        <v>2111</v>
      </c>
      <c r="G221">
        <v>0</v>
      </c>
      <c r="H221">
        <v>2111</v>
      </c>
      <c r="I221">
        <v>0</v>
      </c>
      <c r="J221">
        <v>0</v>
      </c>
      <c r="K221">
        <v>2111</v>
      </c>
      <c r="L221">
        <v>0</v>
      </c>
      <c r="M221">
        <v>0</v>
      </c>
      <c r="N221">
        <v>0</v>
      </c>
      <c r="O221">
        <v>0</v>
      </c>
      <c r="R221">
        <v>1</v>
      </c>
      <c r="S221">
        <v>10</v>
      </c>
      <c r="T221">
        <v>700</v>
      </c>
      <c r="U221">
        <v>2888</v>
      </c>
      <c r="V221">
        <v>10</v>
      </c>
      <c r="W221">
        <v>1</v>
      </c>
    </row>
    <row r="222" spans="1:23" x14ac:dyDescent="0.25">
      <c r="A222" t="s">
        <v>776</v>
      </c>
      <c r="B222" t="s">
        <v>777</v>
      </c>
      <c r="C222">
        <v>0</v>
      </c>
      <c r="D222">
        <v>0</v>
      </c>
      <c r="E222">
        <v>0</v>
      </c>
      <c r="F222">
        <v>490</v>
      </c>
      <c r="G222">
        <v>0</v>
      </c>
      <c r="H222">
        <v>490</v>
      </c>
      <c r="I222">
        <v>0</v>
      </c>
      <c r="J222">
        <v>0</v>
      </c>
      <c r="K222">
        <v>490</v>
      </c>
      <c r="L222">
        <v>0</v>
      </c>
      <c r="M222">
        <v>0</v>
      </c>
      <c r="N222">
        <v>0</v>
      </c>
      <c r="O222">
        <v>0</v>
      </c>
      <c r="R222">
        <v>0</v>
      </c>
      <c r="S222">
        <v>0</v>
      </c>
      <c r="T222">
        <v>0</v>
      </c>
      <c r="U222">
        <v>488</v>
      </c>
      <c r="V222">
        <v>500</v>
      </c>
      <c r="W222">
        <v>5</v>
      </c>
    </row>
    <row r="223" spans="1:23" x14ac:dyDescent="0.25">
      <c r="A223" t="s">
        <v>778</v>
      </c>
      <c r="B223" t="s">
        <v>779</v>
      </c>
      <c r="C223">
        <v>680</v>
      </c>
      <c r="D223">
        <v>2340621</v>
      </c>
      <c r="E223">
        <v>15839935111</v>
      </c>
      <c r="F223">
        <v>6961</v>
      </c>
      <c r="G223">
        <v>7050</v>
      </c>
      <c r="H223">
        <v>6749</v>
      </c>
      <c r="I223">
        <v>-212</v>
      </c>
      <c r="J223">
        <v>-3.05</v>
      </c>
      <c r="K223">
        <v>6767</v>
      </c>
      <c r="L223">
        <v>-194</v>
      </c>
      <c r="M223">
        <v>-2.79</v>
      </c>
      <c r="N223">
        <v>6674</v>
      </c>
      <c r="O223">
        <v>7050</v>
      </c>
      <c r="P223" t="s">
        <v>780</v>
      </c>
      <c r="Q223" t="s">
        <v>2894</v>
      </c>
      <c r="R223">
        <v>2</v>
      </c>
      <c r="S223">
        <v>920</v>
      </c>
      <c r="T223">
        <v>6700</v>
      </c>
      <c r="U223">
        <v>6749</v>
      </c>
      <c r="V223">
        <v>37479</v>
      </c>
      <c r="W223">
        <v>2</v>
      </c>
    </row>
    <row r="224" spans="1:23" x14ac:dyDescent="0.25">
      <c r="A224" t="s">
        <v>782</v>
      </c>
      <c r="B224" t="s">
        <v>783</v>
      </c>
      <c r="C224">
        <v>0</v>
      </c>
      <c r="D224">
        <v>0</v>
      </c>
      <c r="E224">
        <v>0</v>
      </c>
      <c r="F224">
        <v>365</v>
      </c>
      <c r="G224">
        <v>0</v>
      </c>
      <c r="H224">
        <v>365</v>
      </c>
      <c r="I224">
        <v>0</v>
      </c>
      <c r="J224">
        <v>0</v>
      </c>
      <c r="K224">
        <v>365</v>
      </c>
      <c r="L224">
        <v>0</v>
      </c>
      <c r="M224">
        <v>0</v>
      </c>
      <c r="N224">
        <v>0</v>
      </c>
      <c r="O224">
        <v>0</v>
      </c>
      <c r="R224">
        <v>1</v>
      </c>
      <c r="S224">
        <v>50</v>
      </c>
      <c r="T224">
        <v>320</v>
      </c>
      <c r="U224">
        <v>399</v>
      </c>
      <c r="V224">
        <v>10</v>
      </c>
      <c r="W224">
        <v>1</v>
      </c>
    </row>
    <row r="225" spans="1:23" x14ac:dyDescent="0.25">
      <c r="A225" t="s">
        <v>784</v>
      </c>
      <c r="B225" t="s">
        <v>785</v>
      </c>
      <c r="C225">
        <v>331</v>
      </c>
      <c r="D225">
        <v>1682514</v>
      </c>
      <c r="E225">
        <v>7256031362</v>
      </c>
      <c r="F225">
        <v>4215</v>
      </c>
      <c r="G225">
        <v>4397</v>
      </c>
      <c r="H225">
        <v>4258</v>
      </c>
      <c r="I225">
        <v>43</v>
      </c>
      <c r="J225">
        <v>1.02</v>
      </c>
      <c r="K225">
        <v>4313</v>
      </c>
      <c r="L225">
        <v>98</v>
      </c>
      <c r="M225">
        <v>2.33</v>
      </c>
      <c r="N225">
        <v>4250</v>
      </c>
      <c r="O225">
        <v>4397</v>
      </c>
      <c r="P225" t="s">
        <v>786</v>
      </c>
      <c r="Q225" t="s">
        <v>2895</v>
      </c>
      <c r="R225">
        <v>1</v>
      </c>
      <c r="S225">
        <v>554</v>
      </c>
      <c r="T225">
        <v>4250</v>
      </c>
      <c r="U225">
        <v>4258</v>
      </c>
      <c r="V225">
        <v>641</v>
      </c>
      <c r="W225">
        <v>1</v>
      </c>
    </row>
    <row r="226" spans="1:23" x14ac:dyDescent="0.25">
      <c r="A226" t="s">
        <v>787</v>
      </c>
      <c r="B226" t="s">
        <v>788</v>
      </c>
      <c r="C226">
        <v>1</v>
      </c>
      <c r="D226">
        <v>10</v>
      </c>
      <c r="E226">
        <v>10000000</v>
      </c>
      <c r="F226">
        <v>1000</v>
      </c>
      <c r="G226">
        <v>1000</v>
      </c>
      <c r="H226">
        <v>1000</v>
      </c>
      <c r="I226">
        <v>0</v>
      </c>
      <c r="J226">
        <v>0</v>
      </c>
      <c r="K226">
        <v>1000</v>
      </c>
      <c r="L226">
        <v>0</v>
      </c>
      <c r="M226">
        <v>0</v>
      </c>
      <c r="N226">
        <v>1000</v>
      </c>
      <c r="O226">
        <v>1000</v>
      </c>
      <c r="R226">
        <v>1</v>
      </c>
      <c r="S226">
        <v>14</v>
      </c>
      <c r="T226">
        <v>360</v>
      </c>
      <c r="U226">
        <v>0</v>
      </c>
      <c r="V226">
        <v>0</v>
      </c>
      <c r="W226">
        <v>0</v>
      </c>
    </row>
    <row r="227" spans="1:23" x14ac:dyDescent="0.25">
      <c r="A227" t="s">
        <v>789</v>
      </c>
      <c r="B227" t="s">
        <v>790</v>
      </c>
      <c r="C227">
        <v>537</v>
      </c>
      <c r="D227">
        <v>2165272</v>
      </c>
      <c r="E227">
        <v>9816174880</v>
      </c>
      <c r="F227">
        <v>4647</v>
      </c>
      <c r="G227">
        <v>4669</v>
      </c>
      <c r="H227">
        <v>4563</v>
      </c>
      <c r="I227">
        <v>-84</v>
      </c>
      <c r="J227">
        <v>-1.81</v>
      </c>
      <c r="K227">
        <v>4533</v>
      </c>
      <c r="L227">
        <v>-114</v>
      </c>
      <c r="M227">
        <v>-2.4500000000000002</v>
      </c>
      <c r="N227">
        <v>4450</v>
      </c>
      <c r="O227">
        <v>4698</v>
      </c>
      <c r="P227" t="s">
        <v>791</v>
      </c>
      <c r="Q227" t="s">
        <v>2896</v>
      </c>
      <c r="R227">
        <v>1</v>
      </c>
      <c r="S227">
        <v>448</v>
      </c>
      <c r="T227">
        <v>4563</v>
      </c>
      <c r="U227">
        <v>4568</v>
      </c>
      <c r="V227">
        <v>250</v>
      </c>
      <c r="W227">
        <v>1</v>
      </c>
    </row>
    <row r="228" spans="1:23" x14ac:dyDescent="0.25">
      <c r="A228" t="s">
        <v>792</v>
      </c>
      <c r="B228" t="s">
        <v>793</v>
      </c>
      <c r="C228">
        <v>0</v>
      </c>
      <c r="D228">
        <v>0</v>
      </c>
      <c r="E228">
        <v>0</v>
      </c>
      <c r="F228">
        <v>250</v>
      </c>
      <c r="G228">
        <v>0</v>
      </c>
      <c r="H228">
        <v>150</v>
      </c>
      <c r="I228">
        <v>-100</v>
      </c>
      <c r="J228">
        <v>-40</v>
      </c>
      <c r="K228">
        <v>250</v>
      </c>
      <c r="L228">
        <v>0</v>
      </c>
      <c r="M228">
        <v>0</v>
      </c>
      <c r="N228">
        <v>0</v>
      </c>
      <c r="O228">
        <v>0</v>
      </c>
      <c r="R228">
        <v>2</v>
      </c>
      <c r="S228">
        <v>200</v>
      </c>
      <c r="T228">
        <v>81</v>
      </c>
      <c r="U228">
        <v>0</v>
      </c>
      <c r="V228">
        <v>0</v>
      </c>
      <c r="W228">
        <v>0</v>
      </c>
    </row>
    <row r="229" spans="1:23" x14ac:dyDescent="0.25">
      <c r="A229" t="s">
        <v>794</v>
      </c>
      <c r="B229" t="s">
        <v>795</v>
      </c>
      <c r="C229">
        <v>265</v>
      </c>
      <c r="D229">
        <v>310313</v>
      </c>
      <c r="E229">
        <v>10909564117</v>
      </c>
      <c r="F229">
        <v>33842</v>
      </c>
      <c r="G229">
        <v>34450</v>
      </c>
      <c r="H229">
        <v>35099</v>
      </c>
      <c r="I229">
        <v>1257</v>
      </c>
      <c r="J229">
        <v>3.71</v>
      </c>
      <c r="K229">
        <v>35157</v>
      </c>
      <c r="L229">
        <v>1315</v>
      </c>
      <c r="M229">
        <v>3.89</v>
      </c>
      <c r="N229">
        <v>33961</v>
      </c>
      <c r="O229">
        <v>35534</v>
      </c>
      <c r="P229" t="s">
        <v>796</v>
      </c>
      <c r="Q229" t="s">
        <v>2897</v>
      </c>
      <c r="R229">
        <v>1</v>
      </c>
      <c r="S229">
        <v>580</v>
      </c>
      <c r="T229">
        <v>35010</v>
      </c>
      <c r="U229">
        <v>35099</v>
      </c>
      <c r="V229">
        <v>313</v>
      </c>
      <c r="W229">
        <v>1</v>
      </c>
    </row>
    <row r="230" spans="1:23" x14ac:dyDescent="0.25">
      <c r="A230" t="s">
        <v>797</v>
      </c>
      <c r="B230" t="s">
        <v>2628</v>
      </c>
      <c r="C230">
        <v>0</v>
      </c>
      <c r="D230">
        <v>0</v>
      </c>
      <c r="E230">
        <v>0</v>
      </c>
      <c r="F230">
        <v>1099</v>
      </c>
      <c r="G230">
        <v>0</v>
      </c>
      <c r="H230">
        <v>1099</v>
      </c>
      <c r="I230">
        <v>0</v>
      </c>
      <c r="J230">
        <v>0</v>
      </c>
      <c r="K230">
        <v>1099</v>
      </c>
      <c r="L230">
        <v>0</v>
      </c>
      <c r="M230">
        <v>0</v>
      </c>
      <c r="N230">
        <v>0</v>
      </c>
      <c r="O230">
        <v>0</v>
      </c>
      <c r="R230">
        <v>1</v>
      </c>
      <c r="S230">
        <v>7</v>
      </c>
      <c r="T230">
        <v>600</v>
      </c>
      <c r="U230">
        <v>1540</v>
      </c>
      <c r="V230">
        <v>100</v>
      </c>
      <c r="W230">
        <v>1</v>
      </c>
    </row>
    <row r="231" spans="1:23" x14ac:dyDescent="0.25">
      <c r="A231" t="s">
        <v>798</v>
      </c>
      <c r="B231" t="s">
        <v>799</v>
      </c>
      <c r="C231">
        <v>4</v>
      </c>
      <c r="D231">
        <v>748</v>
      </c>
      <c r="E231">
        <v>718091900</v>
      </c>
      <c r="F231">
        <v>960003</v>
      </c>
      <c r="G231">
        <v>960100</v>
      </c>
      <c r="H231">
        <v>960000</v>
      </c>
      <c r="I231">
        <v>-3</v>
      </c>
      <c r="J231">
        <v>0</v>
      </c>
      <c r="K231">
        <v>960016</v>
      </c>
      <c r="L231">
        <v>13</v>
      </c>
      <c r="M231">
        <v>0</v>
      </c>
      <c r="N231">
        <v>959500</v>
      </c>
      <c r="O231">
        <v>961000</v>
      </c>
      <c r="R231">
        <v>1</v>
      </c>
      <c r="S231">
        <v>811</v>
      </c>
      <c r="T231">
        <v>960000</v>
      </c>
      <c r="U231">
        <v>960500</v>
      </c>
      <c r="V231">
        <v>102</v>
      </c>
      <c r="W231">
        <v>2</v>
      </c>
    </row>
    <row r="232" spans="1:23" x14ac:dyDescent="0.25">
      <c r="A232" t="s">
        <v>800</v>
      </c>
      <c r="B232" t="s">
        <v>801</v>
      </c>
      <c r="C232">
        <v>37</v>
      </c>
      <c r="D232">
        <v>52891</v>
      </c>
      <c r="E232">
        <v>906445958</v>
      </c>
      <c r="F232">
        <v>16322</v>
      </c>
      <c r="G232">
        <v>17138</v>
      </c>
      <c r="H232">
        <v>17138</v>
      </c>
      <c r="I232">
        <v>816</v>
      </c>
      <c r="J232">
        <v>5</v>
      </c>
      <c r="K232">
        <v>16622</v>
      </c>
      <c r="L232">
        <v>300</v>
      </c>
      <c r="M232">
        <v>1.84</v>
      </c>
      <c r="N232">
        <v>17138</v>
      </c>
      <c r="O232">
        <v>17138</v>
      </c>
      <c r="P232" t="s">
        <v>802</v>
      </c>
      <c r="Q232" t="s">
        <v>2898</v>
      </c>
      <c r="R232">
        <v>61</v>
      </c>
      <c r="S232">
        <v>383187</v>
      </c>
      <c r="T232">
        <v>17138</v>
      </c>
      <c r="U232">
        <v>0</v>
      </c>
      <c r="V232">
        <v>0</v>
      </c>
      <c r="W232">
        <v>0</v>
      </c>
    </row>
    <row r="233" spans="1:23" x14ac:dyDescent="0.25">
      <c r="A233" t="s">
        <v>803</v>
      </c>
      <c r="B233" t="s">
        <v>804</v>
      </c>
      <c r="C233">
        <v>0</v>
      </c>
      <c r="D233">
        <v>0</v>
      </c>
      <c r="E233">
        <v>0</v>
      </c>
      <c r="F233">
        <v>450</v>
      </c>
      <c r="G233">
        <v>0</v>
      </c>
      <c r="H233">
        <v>450</v>
      </c>
      <c r="I233">
        <v>0</v>
      </c>
      <c r="J233">
        <v>0</v>
      </c>
      <c r="K233">
        <v>450</v>
      </c>
      <c r="L233">
        <v>0</v>
      </c>
      <c r="M233">
        <v>0</v>
      </c>
      <c r="N233">
        <v>0</v>
      </c>
      <c r="O233">
        <v>0</v>
      </c>
      <c r="R233">
        <v>1</v>
      </c>
      <c r="S233">
        <v>10</v>
      </c>
      <c r="T233">
        <v>400</v>
      </c>
      <c r="U233">
        <v>0</v>
      </c>
      <c r="V233">
        <v>0</v>
      </c>
      <c r="W233">
        <v>0</v>
      </c>
    </row>
    <row r="234" spans="1:23" x14ac:dyDescent="0.25">
      <c r="A234" t="s">
        <v>805</v>
      </c>
      <c r="B234" t="s">
        <v>806</v>
      </c>
      <c r="C234">
        <v>0</v>
      </c>
      <c r="D234">
        <v>0</v>
      </c>
      <c r="E234">
        <v>0</v>
      </c>
      <c r="F234">
        <v>9850</v>
      </c>
      <c r="G234">
        <v>0</v>
      </c>
      <c r="H234">
        <v>9850</v>
      </c>
      <c r="I234">
        <v>0</v>
      </c>
      <c r="J234">
        <v>0</v>
      </c>
      <c r="K234">
        <v>9850</v>
      </c>
      <c r="L234">
        <v>0</v>
      </c>
      <c r="M234">
        <v>0</v>
      </c>
      <c r="N234">
        <v>0</v>
      </c>
      <c r="O234">
        <v>0</v>
      </c>
      <c r="R234">
        <v>1</v>
      </c>
      <c r="S234">
        <v>10</v>
      </c>
      <c r="T234">
        <v>280</v>
      </c>
      <c r="U234">
        <v>0</v>
      </c>
      <c r="V234">
        <v>0</v>
      </c>
      <c r="W234">
        <v>0</v>
      </c>
    </row>
    <row r="235" spans="1:23" x14ac:dyDescent="0.25">
      <c r="A235" t="s">
        <v>807</v>
      </c>
      <c r="B235" t="s">
        <v>808</v>
      </c>
      <c r="C235">
        <v>945</v>
      </c>
      <c r="D235">
        <v>2845562</v>
      </c>
      <c r="E235">
        <v>26036581590</v>
      </c>
      <c r="F235">
        <v>8504</v>
      </c>
      <c r="G235">
        <v>9354</v>
      </c>
      <c r="H235">
        <v>9100</v>
      </c>
      <c r="I235">
        <v>596</v>
      </c>
      <c r="J235">
        <v>7.01</v>
      </c>
      <c r="K235">
        <v>9150</v>
      </c>
      <c r="L235">
        <v>646</v>
      </c>
      <c r="M235">
        <v>7.6</v>
      </c>
      <c r="N235">
        <v>8700</v>
      </c>
      <c r="O235">
        <v>9354</v>
      </c>
      <c r="P235" t="s">
        <v>809</v>
      </c>
      <c r="Q235" t="s">
        <v>2899</v>
      </c>
      <c r="R235">
        <v>1</v>
      </c>
      <c r="S235">
        <v>1740</v>
      </c>
      <c r="T235">
        <v>9010</v>
      </c>
      <c r="U235">
        <v>9100</v>
      </c>
      <c r="V235">
        <v>65946</v>
      </c>
      <c r="W235">
        <v>3</v>
      </c>
    </row>
    <row r="236" spans="1:23" x14ac:dyDescent="0.25">
      <c r="A236" t="s">
        <v>810</v>
      </c>
      <c r="B236" t="s">
        <v>811</v>
      </c>
      <c r="C236">
        <v>1095</v>
      </c>
      <c r="D236">
        <v>1086827</v>
      </c>
      <c r="E236">
        <v>42618914062</v>
      </c>
      <c r="F236">
        <v>39171</v>
      </c>
      <c r="G236">
        <v>39360</v>
      </c>
      <c r="H236">
        <v>39001</v>
      </c>
      <c r="I236">
        <v>-170</v>
      </c>
      <c r="J236">
        <v>-0.43</v>
      </c>
      <c r="K236">
        <v>39214</v>
      </c>
      <c r="L236">
        <v>43</v>
      </c>
      <c r="M236">
        <v>0.11</v>
      </c>
      <c r="N236">
        <v>38750</v>
      </c>
      <c r="O236">
        <v>39950</v>
      </c>
      <c r="P236" t="s">
        <v>812</v>
      </c>
      <c r="Q236" t="s">
        <v>2900</v>
      </c>
      <c r="R236">
        <v>1</v>
      </c>
      <c r="S236">
        <v>350</v>
      </c>
      <c r="T236">
        <v>39001</v>
      </c>
      <c r="U236">
        <v>39099</v>
      </c>
      <c r="V236">
        <v>388</v>
      </c>
      <c r="W236">
        <v>1</v>
      </c>
    </row>
    <row r="237" spans="1:23" x14ac:dyDescent="0.25">
      <c r="A237" t="s">
        <v>813</v>
      </c>
      <c r="B237" t="s">
        <v>814</v>
      </c>
      <c r="C237">
        <v>492</v>
      </c>
      <c r="D237">
        <v>7133360</v>
      </c>
      <c r="E237">
        <v>15562747957</v>
      </c>
      <c r="F237">
        <v>2084</v>
      </c>
      <c r="G237">
        <v>2179</v>
      </c>
      <c r="H237">
        <v>2188</v>
      </c>
      <c r="I237">
        <v>104</v>
      </c>
      <c r="J237">
        <v>4.99</v>
      </c>
      <c r="K237">
        <v>2182</v>
      </c>
      <c r="L237">
        <v>98</v>
      </c>
      <c r="M237">
        <v>4.7</v>
      </c>
      <c r="N237">
        <v>2160</v>
      </c>
      <c r="O237">
        <v>2188</v>
      </c>
      <c r="P237" t="s">
        <v>815</v>
      </c>
      <c r="Q237" t="s">
        <v>2901</v>
      </c>
      <c r="R237">
        <v>211</v>
      </c>
      <c r="S237">
        <v>8522365</v>
      </c>
      <c r="T237">
        <v>2188</v>
      </c>
      <c r="U237">
        <v>2200</v>
      </c>
      <c r="V237">
        <v>1500</v>
      </c>
      <c r="W237">
        <v>1</v>
      </c>
    </row>
    <row r="238" spans="1:23" x14ac:dyDescent="0.25">
      <c r="A238" t="s">
        <v>816</v>
      </c>
      <c r="B238" t="s">
        <v>817</v>
      </c>
      <c r="C238">
        <v>185</v>
      </c>
      <c r="D238">
        <v>1314157</v>
      </c>
      <c r="E238">
        <v>3644026379</v>
      </c>
      <c r="F238">
        <v>2731</v>
      </c>
      <c r="G238">
        <v>2795</v>
      </c>
      <c r="H238">
        <v>2798</v>
      </c>
      <c r="I238">
        <v>67</v>
      </c>
      <c r="J238">
        <v>2.4500000000000002</v>
      </c>
      <c r="K238">
        <v>2762</v>
      </c>
      <c r="L238">
        <v>31</v>
      </c>
      <c r="M238">
        <v>1.1399999999999999</v>
      </c>
      <c r="N238">
        <v>2750</v>
      </c>
      <c r="O238">
        <v>2840</v>
      </c>
      <c r="P238" t="s">
        <v>818</v>
      </c>
      <c r="Q238" t="s">
        <v>2902</v>
      </c>
      <c r="R238">
        <v>2</v>
      </c>
      <c r="S238">
        <v>12900</v>
      </c>
      <c r="T238">
        <v>2752</v>
      </c>
      <c r="U238">
        <v>2798</v>
      </c>
      <c r="V238">
        <v>19350</v>
      </c>
      <c r="W238">
        <v>3</v>
      </c>
    </row>
    <row r="239" spans="1:23" x14ac:dyDescent="0.25">
      <c r="A239" t="s">
        <v>819</v>
      </c>
      <c r="B239" t="s">
        <v>820</v>
      </c>
      <c r="C239">
        <v>643</v>
      </c>
      <c r="D239">
        <v>6301734</v>
      </c>
      <c r="E239">
        <v>13397249574</v>
      </c>
      <c r="F239">
        <v>2033</v>
      </c>
      <c r="G239">
        <v>2080</v>
      </c>
      <c r="H239">
        <v>2134</v>
      </c>
      <c r="I239">
        <v>101</v>
      </c>
      <c r="J239">
        <v>4.97</v>
      </c>
      <c r="K239">
        <v>2126</v>
      </c>
      <c r="L239">
        <v>93</v>
      </c>
      <c r="M239">
        <v>4.57</v>
      </c>
      <c r="N239">
        <v>2070</v>
      </c>
      <c r="O239">
        <v>2134</v>
      </c>
      <c r="P239" t="s">
        <v>821</v>
      </c>
      <c r="Q239" t="s">
        <v>2903</v>
      </c>
      <c r="R239">
        <v>1</v>
      </c>
      <c r="S239">
        <v>5000</v>
      </c>
      <c r="T239">
        <v>2133</v>
      </c>
      <c r="U239">
        <v>2134</v>
      </c>
      <c r="V239">
        <v>69785</v>
      </c>
      <c r="W239">
        <v>3</v>
      </c>
    </row>
    <row r="240" spans="1:23" x14ac:dyDescent="0.25">
      <c r="A240" t="s">
        <v>822</v>
      </c>
      <c r="B240" t="s">
        <v>823</v>
      </c>
      <c r="C240">
        <v>0</v>
      </c>
      <c r="D240">
        <v>0</v>
      </c>
      <c r="E240">
        <v>0</v>
      </c>
      <c r="F240">
        <v>189096</v>
      </c>
      <c r="G240">
        <v>0</v>
      </c>
      <c r="H240">
        <v>189096</v>
      </c>
      <c r="I240">
        <v>0</v>
      </c>
      <c r="J240">
        <v>0</v>
      </c>
      <c r="K240">
        <v>189096</v>
      </c>
      <c r="L240">
        <v>0</v>
      </c>
      <c r="M240">
        <v>0</v>
      </c>
      <c r="N240">
        <v>0</v>
      </c>
      <c r="O240">
        <v>0</v>
      </c>
      <c r="R240">
        <v>1</v>
      </c>
      <c r="S240">
        <v>6</v>
      </c>
      <c r="T240">
        <v>198550</v>
      </c>
      <c r="U240">
        <v>284880</v>
      </c>
      <c r="V240">
        <v>4</v>
      </c>
      <c r="W240">
        <v>1</v>
      </c>
    </row>
    <row r="241" spans="1:23" x14ac:dyDescent="0.25">
      <c r="A241" t="s">
        <v>824</v>
      </c>
      <c r="B241" t="s">
        <v>825</v>
      </c>
      <c r="C241">
        <v>0</v>
      </c>
      <c r="D241">
        <v>0</v>
      </c>
      <c r="E241">
        <v>0</v>
      </c>
      <c r="F241">
        <v>1</v>
      </c>
      <c r="G241">
        <v>0</v>
      </c>
      <c r="H241">
        <v>1</v>
      </c>
      <c r="I241">
        <v>0</v>
      </c>
      <c r="J241">
        <v>0</v>
      </c>
      <c r="K241">
        <v>1</v>
      </c>
      <c r="L241">
        <v>0</v>
      </c>
      <c r="M241">
        <v>0</v>
      </c>
      <c r="N241">
        <v>0</v>
      </c>
      <c r="O241">
        <v>0</v>
      </c>
      <c r="R241">
        <v>1</v>
      </c>
      <c r="S241">
        <v>1</v>
      </c>
      <c r="T241">
        <v>18</v>
      </c>
      <c r="U241">
        <v>0</v>
      </c>
      <c r="V241">
        <v>0</v>
      </c>
      <c r="W241">
        <v>0</v>
      </c>
    </row>
    <row r="242" spans="1:23" x14ac:dyDescent="0.25">
      <c r="A242" t="s">
        <v>826</v>
      </c>
      <c r="B242" t="s">
        <v>827</v>
      </c>
      <c r="C242">
        <v>465</v>
      </c>
      <c r="D242">
        <v>4778624</v>
      </c>
      <c r="E242">
        <v>9487500663</v>
      </c>
      <c r="F242">
        <v>2004</v>
      </c>
      <c r="G242">
        <v>2050</v>
      </c>
      <c r="H242">
        <v>1938</v>
      </c>
      <c r="I242">
        <v>-66</v>
      </c>
      <c r="J242">
        <v>-3.29</v>
      </c>
      <c r="K242">
        <v>1985</v>
      </c>
      <c r="L242">
        <v>-19</v>
      </c>
      <c r="M242">
        <v>-0.95</v>
      </c>
      <c r="N242">
        <v>1904</v>
      </c>
      <c r="O242">
        <v>2090</v>
      </c>
      <c r="P242" t="s">
        <v>828</v>
      </c>
      <c r="Q242" t="s">
        <v>2904</v>
      </c>
      <c r="R242">
        <v>1</v>
      </c>
      <c r="S242">
        <v>1222</v>
      </c>
      <c r="T242">
        <v>1938</v>
      </c>
      <c r="U242">
        <v>1960</v>
      </c>
      <c r="V242">
        <v>20000</v>
      </c>
      <c r="W242">
        <v>1</v>
      </c>
    </row>
    <row r="243" spans="1:23" x14ac:dyDescent="0.25">
      <c r="A243" t="s">
        <v>829</v>
      </c>
      <c r="B243" t="s">
        <v>830</v>
      </c>
      <c r="C243">
        <v>282</v>
      </c>
      <c r="D243">
        <v>789419</v>
      </c>
      <c r="E243">
        <v>4847315277</v>
      </c>
      <c r="F243">
        <v>6165</v>
      </c>
      <c r="G243">
        <v>6101</v>
      </c>
      <c r="H243">
        <v>6160</v>
      </c>
      <c r="I243">
        <v>-5</v>
      </c>
      <c r="J243">
        <v>-0.08</v>
      </c>
      <c r="K243">
        <v>6140</v>
      </c>
      <c r="L243">
        <v>-25</v>
      </c>
      <c r="M243">
        <v>-0.41</v>
      </c>
      <c r="N243">
        <v>6101</v>
      </c>
      <c r="O243">
        <v>6260</v>
      </c>
      <c r="P243" t="s">
        <v>831</v>
      </c>
      <c r="Q243" t="s">
        <v>2905</v>
      </c>
      <c r="R243">
        <v>1</v>
      </c>
      <c r="S243">
        <v>500</v>
      </c>
      <c r="T243">
        <v>6136</v>
      </c>
      <c r="U243">
        <v>6211</v>
      </c>
      <c r="V243">
        <v>9936</v>
      </c>
      <c r="W243">
        <v>1</v>
      </c>
    </row>
    <row r="244" spans="1:23" x14ac:dyDescent="0.25">
      <c r="A244" t="s">
        <v>832</v>
      </c>
      <c r="B244" t="s">
        <v>833</v>
      </c>
      <c r="C244">
        <v>0</v>
      </c>
      <c r="D244">
        <v>0</v>
      </c>
      <c r="E244">
        <v>0</v>
      </c>
      <c r="F244">
        <v>6170</v>
      </c>
      <c r="G244">
        <v>0</v>
      </c>
      <c r="H244">
        <v>6500</v>
      </c>
      <c r="I244">
        <v>330</v>
      </c>
      <c r="J244">
        <v>5.35</v>
      </c>
      <c r="K244">
        <v>6170</v>
      </c>
      <c r="L244">
        <v>0</v>
      </c>
      <c r="M244">
        <v>0</v>
      </c>
      <c r="N244">
        <v>0</v>
      </c>
      <c r="O244">
        <v>0</v>
      </c>
      <c r="P244" t="s">
        <v>834</v>
      </c>
      <c r="Q244" t="s">
        <v>2629</v>
      </c>
      <c r="R244">
        <v>0</v>
      </c>
      <c r="S244">
        <v>0</v>
      </c>
      <c r="T244">
        <v>0</v>
      </c>
      <c r="U244">
        <v>7500</v>
      </c>
      <c r="V244">
        <v>1333</v>
      </c>
      <c r="W244">
        <v>2</v>
      </c>
    </row>
    <row r="245" spans="1:23" x14ac:dyDescent="0.25">
      <c r="A245" t="s">
        <v>835</v>
      </c>
      <c r="B245" t="s">
        <v>836</v>
      </c>
      <c r="C245">
        <v>534</v>
      </c>
      <c r="D245">
        <v>5796714</v>
      </c>
      <c r="E245">
        <v>12083523639</v>
      </c>
      <c r="F245">
        <v>2025</v>
      </c>
      <c r="G245">
        <v>2060</v>
      </c>
      <c r="H245">
        <v>2065</v>
      </c>
      <c r="I245">
        <v>40</v>
      </c>
      <c r="J245">
        <v>1.98</v>
      </c>
      <c r="K245">
        <v>2085</v>
      </c>
      <c r="L245">
        <v>60</v>
      </c>
      <c r="M245">
        <v>2.96</v>
      </c>
      <c r="N245">
        <v>2000</v>
      </c>
      <c r="O245">
        <v>2123</v>
      </c>
      <c r="P245" t="s">
        <v>837</v>
      </c>
      <c r="Q245" t="s">
        <v>2906</v>
      </c>
      <c r="R245">
        <v>4</v>
      </c>
      <c r="S245">
        <v>18737</v>
      </c>
      <c r="T245">
        <v>2060</v>
      </c>
      <c r="U245">
        <v>2074</v>
      </c>
      <c r="V245">
        <v>3000</v>
      </c>
      <c r="W245">
        <v>1</v>
      </c>
    </row>
    <row r="246" spans="1:23" x14ac:dyDescent="0.25">
      <c r="A246" t="s">
        <v>838</v>
      </c>
      <c r="B246" t="s">
        <v>839</v>
      </c>
      <c r="C246">
        <v>171</v>
      </c>
      <c r="D246">
        <v>288445</v>
      </c>
      <c r="E246">
        <v>6114457110</v>
      </c>
      <c r="F246">
        <v>20189</v>
      </c>
      <c r="G246">
        <v>21198</v>
      </c>
      <c r="H246">
        <v>21198</v>
      </c>
      <c r="I246">
        <v>1009</v>
      </c>
      <c r="J246">
        <v>5</v>
      </c>
      <c r="K246">
        <v>21198</v>
      </c>
      <c r="L246">
        <v>1009</v>
      </c>
      <c r="M246">
        <v>5</v>
      </c>
      <c r="N246">
        <v>21198</v>
      </c>
      <c r="O246">
        <v>21198</v>
      </c>
      <c r="P246" t="s">
        <v>840</v>
      </c>
      <c r="Q246" t="s">
        <v>2907</v>
      </c>
      <c r="R246">
        <v>134</v>
      </c>
      <c r="S246">
        <v>274246</v>
      </c>
      <c r="T246">
        <v>21198</v>
      </c>
      <c r="U246">
        <v>22610</v>
      </c>
      <c r="V246">
        <v>109</v>
      </c>
      <c r="W246">
        <v>1</v>
      </c>
    </row>
    <row r="247" spans="1:23" x14ac:dyDescent="0.25">
      <c r="A247" t="s">
        <v>841</v>
      </c>
      <c r="B247" t="s">
        <v>842</v>
      </c>
      <c r="C247">
        <v>1258</v>
      </c>
      <c r="D247">
        <v>8152452</v>
      </c>
      <c r="E247">
        <v>41473365262</v>
      </c>
      <c r="F247">
        <v>5081</v>
      </c>
      <c r="G247">
        <v>5150</v>
      </c>
      <c r="H247">
        <v>5128</v>
      </c>
      <c r="I247">
        <v>47</v>
      </c>
      <c r="J247">
        <v>0.93</v>
      </c>
      <c r="K247">
        <v>5087</v>
      </c>
      <c r="L247">
        <v>6</v>
      </c>
      <c r="M247">
        <v>0.12</v>
      </c>
      <c r="N247">
        <v>5025</v>
      </c>
      <c r="O247">
        <v>5150</v>
      </c>
      <c r="P247" t="s">
        <v>843</v>
      </c>
      <c r="Q247" t="s">
        <v>2630</v>
      </c>
      <c r="R247">
        <v>4</v>
      </c>
      <c r="S247">
        <v>33716</v>
      </c>
      <c r="T247">
        <v>5122</v>
      </c>
      <c r="U247">
        <v>5128</v>
      </c>
      <c r="V247">
        <v>1569</v>
      </c>
      <c r="W247">
        <v>1</v>
      </c>
    </row>
    <row r="248" spans="1:23" x14ac:dyDescent="0.25">
      <c r="A248" t="s">
        <v>844</v>
      </c>
      <c r="B248" t="s">
        <v>845</v>
      </c>
      <c r="C248">
        <v>138</v>
      </c>
      <c r="D248">
        <v>2662638</v>
      </c>
      <c r="E248">
        <v>8906631610</v>
      </c>
      <c r="F248">
        <v>3299</v>
      </c>
      <c r="G248">
        <v>3439</v>
      </c>
      <c r="H248">
        <v>3330</v>
      </c>
      <c r="I248">
        <v>31</v>
      </c>
      <c r="J248">
        <v>0.94</v>
      </c>
      <c r="K248">
        <v>3345</v>
      </c>
      <c r="L248">
        <v>46</v>
      </c>
      <c r="M248">
        <v>1.39</v>
      </c>
      <c r="N248">
        <v>3285</v>
      </c>
      <c r="O248">
        <v>3439</v>
      </c>
      <c r="P248" t="s">
        <v>846</v>
      </c>
      <c r="Q248" t="s">
        <v>2759</v>
      </c>
      <c r="R248">
        <v>1</v>
      </c>
      <c r="S248">
        <v>2000</v>
      </c>
      <c r="T248">
        <v>3306</v>
      </c>
      <c r="U248">
        <v>3330</v>
      </c>
      <c r="V248">
        <v>1284</v>
      </c>
      <c r="W248">
        <v>1</v>
      </c>
    </row>
    <row r="249" spans="1:23" x14ac:dyDescent="0.25">
      <c r="A249" t="s">
        <v>847</v>
      </c>
      <c r="B249" t="s">
        <v>848</v>
      </c>
      <c r="C249">
        <v>30</v>
      </c>
      <c r="D249">
        <v>27980</v>
      </c>
      <c r="E249">
        <v>18756560931</v>
      </c>
      <c r="F249">
        <v>670432</v>
      </c>
      <c r="G249">
        <v>670432</v>
      </c>
      <c r="H249">
        <v>670777</v>
      </c>
      <c r="I249">
        <v>345</v>
      </c>
      <c r="J249">
        <v>0.05</v>
      </c>
      <c r="K249">
        <v>670356</v>
      </c>
      <c r="L249">
        <v>-76</v>
      </c>
      <c r="M249">
        <v>-0.01</v>
      </c>
      <c r="N249">
        <v>670010</v>
      </c>
      <c r="O249">
        <v>672000</v>
      </c>
      <c r="R249">
        <v>1</v>
      </c>
      <c r="S249">
        <v>180</v>
      </c>
      <c r="T249">
        <v>670323</v>
      </c>
      <c r="U249">
        <v>671000</v>
      </c>
      <c r="V249">
        <v>1818</v>
      </c>
      <c r="W249">
        <v>2</v>
      </c>
    </row>
    <row r="250" spans="1:23" x14ac:dyDescent="0.25">
      <c r="A250" t="s">
        <v>849</v>
      </c>
      <c r="B250" t="s">
        <v>850</v>
      </c>
      <c r="C250">
        <v>510</v>
      </c>
      <c r="D250">
        <v>3014118</v>
      </c>
      <c r="E250">
        <v>14425632197</v>
      </c>
      <c r="F250">
        <v>4574</v>
      </c>
      <c r="G250">
        <v>4776</v>
      </c>
      <c r="H250">
        <v>4802</v>
      </c>
      <c r="I250">
        <v>228</v>
      </c>
      <c r="J250">
        <v>4.9800000000000004</v>
      </c>
      <c r="K250">
        <v>4786</v>
      </c>
      <c r="L250">
        <v>212</v>
      </c>
      <c r="M250">
        <v>4.63</v>
      </c>
      <c r="N250">
        <v>4700</v>
      </c>
      <c r="O250">
        <v>4802</v>
      </c>
      <c r="P250" t="s">
        <v>851</v>
      </c>
      <c r="Q250" t="s">
        <v>2908</v>
      </c>
      <c r="R250">
        <v>57</v>
      </c>
      <c r="S250">
        <v>561841</v>
      </c>
      <c r="T250">
        <v>4802</v>
      </c>
      <c r="U250">
        <v>0</v>
      </c>
      <c r="V250">
        <v>0</v>
      </c>
      <c r="W250">
        <v>0</v>
      </c>
    </row>
    <row r="251" spans="1:23" x14ac:dyDescent="0.25">
      <c r="A251" t="s">
        <v>852</v>
      </c>
      <c r="B251" t="s">
        <v>853</v>
      </c>
      <c r="C251">
        <v>0</v>
      </c>
      <c r="D251">
        <v>0</v>
      </c>
      <c r="E251">
        <v>0</v>
      </c>
      <c r="F251">
        <v>926428</v>
      </c>
      <c r="G251">
        <v>0</v>
      </c>
      <c r="H251">
        <v>928999</v>
      </c>
      <c r="I251">
        <v>2571</v>
      </c>
      <c r="J251">
        <v>0.28000000000000003</v>
      </c>
      <c r="K251">
        <v>926428</v>
      </c>
      <c r="L251">
        <v>0</v>
      </c>
      <c r="M251">
        <v>0</v>
      </c>
      <c r="N251">
        <v>0</v>
      </c>
      <c r="O251">
        <v>0</v>
      </c>
      <c r="R251">
        <v>1</v>
      </c>
      <c r="S251">
        <v>3900</v>
      </c>
      <c r="T251">
        <v>920000</v>
      </c>
      <c r="U251">
        <v>928999</v>
      </c>
      <c r="V251">
        <v>300</v>
      </c>
      <c r="W251">
        <v>1</v>
      </c>
    </row>
    <row r="252" spans="1:23" x14ac:dyDescent="0.25">
      <c r="A252" t="s">
        <v>854</v>
      </c>
      <c r="B252" t="s">
        <v>855</v>
      </c>
      <c r="C252">
        <v>138</v>
      </c>
      <c r="D252">
        <v>351653</v>
      </c>
      <c r="E252">
        <v>4630649057</v>
      </c>
      <c r="F252">
        <v>12815</v>
      </c>
      <c r="G252">
        <v>13215</v>
      </c>
      <c r="H252">
        <v>13190</v>
      </c>
      <c r="I252">
        <v>375</v>
      </c>
      <c r="J252">
        <v>2.93</v>
      </c>
      <c r="K252">
        <v>13168</v>
      </c>
      <c r="L252">
        <v>353</v>
      </c>
      <c r="M252">
        <v>2.75</v>
      </c>
      <c r="N252">
        <v>12970</v>
      </c>
      <c r="O252">
        <v>13454</v>
      </c>
      <c r="P252" t="s">
        <v>856</v>
      </c>
      <c r="Q252" t="s">
        <v>2612</v>
      </c>
      <c r="R252">
        <v>1</v>
      </c>
      <c r="S252">
        <v>3900</v>
      </c>
      <c r="T252">
        <v>13190</v>
      </c>
      <c r="U252">
        <v>13295</v>
      </c>
      <c r="V252">
        <v>796</v>
      </c>
      <c r="W252">
        <v>1</v>
      </c>
    </row>
    <row r="253" spans="1:23" x14ac:dyDescent="0.25">
      <c r="A253" t="s">
        <v>2631</v>
      </c>
      <c r="B253" t="s">
        <v>2632</v>
      </c>
      <c r="C253">
        <v>0</v>
      </c>
      <c r="D253">
        <v>0</v>
      </c>
      <c r="E253">
        <v>0</v>
      </c>
      <c r="F253">
        <v>37032</v>
      </c>
      <c r="G253">
        <v>0</v>
      </c>
      <c r="H253">
        <v>37600</v>
      </c>
      <c r="I253">
        <v>568</v>
      </c>
      <c r="J253">
        <v>1.53</v>
      </c>
      <c r="K253">
        <v>37032</v>
      </c>
      <c r="L253">
        <v>0</v>
      </c>
      <c r="M253">
        <v>0</v>
      </c>
      <c r="N253">
        <v>0</v>
      </c>
      <c r="O253">
        <v>0</v>
      </c>
      <c r="P253" t="s">
        <v>2633</v>
      </c>
      <c r="Q253" t="s">
        <v>2634</v>
      </c>
      <c r="R253">
        <v>1</v>
      </c>
      <c r="S253">
        <v>448</v>
      </c>
      <c r="T253">
        <v>37000</v>
      </c>
      <c r="U253">
        <v>39876</v>
      </c>
      <c r="V253">
        <v>500</v>
      </c>
      <c r="W253">
        <v>1</v>
      </c>
    </row>
    <row r="254" spans="1:23" x14ac:dyDescent="0.25">
      <c r="A254" t="s">
        <v>857</v>
      </c>
      <c r="B254" t="s">
        <v>858</v>
      </c>
      <c r="C254">
        <v>34</v>
      </c>
      <c r="D254">
        <v>132649</v>
      </c>
      <c r="E254">
        <v>1095150144</v>
      </c>
      <c r="F254">
        <v>7863</v>
      </c>
      <c r="G254">
        <v>8256</v>
      </c>
      <c r="H254">
        <v>8256</v>
      </c>
      <c r="I254">
        <v>393</v>
      </c>
      <c r="J254">
        <v>5</v>
      </c>
      <c r="K254">
        <v>7966</v>
      </c>
      <c r="L254">
        <v>103</v>
      </c>
      <c r="M254">
        <v>1.31</v>
      </c>
      <c r="N254">
        <v>8256</v>
      </c>
      <c r="O254">
        <v>8256</v>
      </c>
      <c r="P254" t="s">
        <v>859</v>
      </c>
      <c r="Q254" t="s">
        <v>2909</v>
      </c>
      <c r="R254">
        <v>129</v>
      </c>
      <c r="S254">
        <v>4724851</v>
      </c>
      <c r="T254">
        <v>8256</v>
      </c>
      <c r="U254">
        <v>0</v>
      </c>
      <c r="V254">
        <v>0</v>
      </c>
      <c r="W254">
        <v>0</v>
      </c>
    </row>
    <row r="255" spans="1:23" x14ac:dyDescent="0.25">
      <c r="A255" t="s">
        <v>860</v>
      </c>
      <c r="B255" t="s">
        <v>861</v>
      </c>
      <c r="C255">
        <v>0</v>
      </c>
      <c r="D255">
        <v>0</v>
      </c>
      <c r="E255">
        <v>0</v>
      </c>
      <c r="F255">
        <v>969600</v>
      </c>
      <c r="G255">
        <v>0</v>
      </c>
      <c r="H255">
        <v>969600</v>
      </c>
      <c r="I255">
        <v>0</v>
      </c>
      <c r="J255">
        <v>0</v>
      </c>
      <c r="K255">
        <v>969600</v>
      </c>
      <c r="L255">
        <v>0</v>
      </c>
      <c r="M255">
        <v>0</v>
      </c>
      <c r="N255">
        <v>0</v>
      </c>
      <c r="O255">
        <v>0</v>
      </c>
      <c r="R255">
        <v>1</v>
      </c>
      <c r="S255">
        <v>1250</v>
      </c>
      <c r="T255">
        <v>962922</v>
      </c>
      <c r="U255">
        <v>982180</v>
      </c>
      <c r="V255">
        <v>1250</v>
      </c>
      <c r="W255">
        <v>1</v>
      </c>
    </row>
    <row r="256" spans="1:23" x14ac:dyDescent="0.25">
      <c r="A256" t="s">
        <v>862</v>
      </c>
      <c r="B256" t="s">
        <v>863</v>
      </c>
      <c r="C256">
        <v>91</v>
      </c>
      <c r="D256">
        <v>3629906</v>
      </c>
      <c r="E256">
        <v>7248922282</v>
      </c>
      <c r="F256">
        <v>1902</v>
      </c>
      <c r="G256">
        <v>1997</v>
      </c>
      <c r="H256">
        <v>1997</v>
      </c>
      <c r="I256">
        <v>95</v>
      </c>
      <c r="J256">
        <v>4.99</v>
      </c>
      <c r="K256">
        <v>1997</v>
      </c>
      <c r="L256">
        <v>95</v>
      </c>
      <c r="M256">
        <v>4.99</v>
      </c>
      <c r="N256">
        <v>1997</v>
      </c>
      <c r="O256">
        <v>1997</v>
      </c>
      <c r="P256" t="s">
        <v>1834</v>
      </c>
      <c r="Q256" t="s">
        <v>2910</v>
      </c>
      <c r="R256">
        <v>833</v>
      </c>
      <c r="S256">
        <v>73584913</v>
      </c>
      <c r="T256">
        <v>1997</v>
      </c>
      <c r="U256">
        <v>2999</v>
      </c>
      <c r="V256">
        <v>2000</v>
      </c>
      <c r="W256">
        <v>1</v>
      </c>
    </row>
    <row r="257" spans="1:23" x14ac:dyDescent="0.25">
      <c r="A257" t="s">
        <v>865</v>
      </c>
      <c r="B257" t="s">
        <v>866</v>
      </c>
      <c r="C257">
        <v>0</v>
      </c>
      <c r="D257">
        <v>0</v>
      </c>
      <c r="E257">
        <v>0</v>
      </c>
      <c r="F257">
        <v>1000000</v>
      </c>
      <c r="G257">
        <v>0</v>
      </c>
      <c r="H257">
        <v>1000000</v>
      </c>
      <c r="I257">
        <v>0</v>
      </c>
      <c r="J257">
        <v>0</v>
      </c>
      <c r="K257">
        <v>1000000</v>
      </c>
      <c r="L257">
        <v>0</v>
      </c>
      <c r="M257">
        <v>0</v>
      </c>
      <c r="N257">
        <v>0</v>
      </c>
      <c r="O257">
        <v>0</v>
      </c>
      <c r="R257">
        <v>1</v>
      </c>
      <c r="S257">
        <v>700</v>
      </c>
      <c r="T257">
        <v>1000000</v>
      </c>
      <c r="U257">
        <v>1010000</v>
      </c>
      <c r="V257">
        <v>700</v>
      </c>
      <c r="W257">
        <v>1</v>
      </c>
    </row>
    <row r="258" spans="1:23" x14ac:dyDescent="0.25">
      <c r="A258" t="s">
        <v>867</v>
      </c>
      <c r="B258" t="s">
        <v>868</v>
      </c>
      <c r="C258">
        <v>517</v>
      </c>
      <c r="D258">
        <v>3405487</v>
      </c>
      <c r="E258">
        <v>10090262482</v>
      </c>
      <c r="F258">
        <v>2900</v>
      </c>
      <c r="G258">
        <v>2960</v>
      </c>
      <c r="H258">
        <v>2897</v>
      </c>
      <c r="I258">
        <v>-3</v>
      </c>
      <c r="J258">
        <v>-0.1</v>
      </c>
      <c r="K258">
        <v>2963</v>
      </c>
      <c r="L258">
        <v>63</v>
      </c>
      <c r="M258">
        <v>2.17</v>
      </c>
      <c r="N258">
        <v>2897</v>
      </c>
      <c r="O258">
        <v>3045</v>
      </c>
      <c r="P258" t="s">
        <v>869</v>
      </c>
      <c r="Q258" t="s">
        <v>2911</v>
      </c>
      <c r="R258">
        <v>2</v>
      </c>
      <c r="S258">
        <v>33100</v>
      </c>
      <c r="T258">
        <v>2900</v>
      </c>
      <c r="U258">
        <v>2924</v>
      </c>
      <c r="V258">
        <v>10000</v>
      </c>
      <c r="W258">
        <v>1</v>
      </c>
    </row>
    <row r="259" spans="1:23" x14ac:dyDescent="0.25">
      <c r="A259" t="s">
        <v>870</v>
      </c>
      <c r="B259" t="s">
        <v>871</v>
      </c>
      <c r="C259">
        <v>0</v>
      </c>
      <c r="D259">
        <v>0</v>
      </c>
      <c r="E259">
        <v>0</v>
      </c>
      <c r="F259">
        <v>1</v>
      </c>
      <c r="G259">
        <v>0</v>
      </c>
      <c r="H259">
        <v>1</v>
      </c>
      <c r="I259">
        <v>0</v>
      </c>
      <c r="J259">
        <v>0</v>
      </c>
      <c r="K259">
        <v>1</v>
      </c>
      <c r="L259">
        <v>0</v>
      </c>
      <c r="M259">
        <v>0</v>
      </c>
      <c r="N259">
        <v>0</v>
      </c>
      <c r="O259">
        <v>0</v>
      </c>
      <c r="R259">
        <v>1</v>
      </c>
      <c r="S259">
        <v>100</v>
      </c>
      <c r="T259">
        <v>5</v>
      </c>
      <c r="U259">
        <v>0</v>
      </c>
      <c r="V259">
        <v>0</v>
      </c>
      <c r="W259">
        <v>0</v>
      </c>
    </row>
    <row r="260" spans="1:23" x14ac:dyDescent="0.25">
      <c r="A260" t="s">
        <v>2912</v>
      </c>
      <c r="B260" t="s">
        <v>2913</v>
      </c>
      <c r="C260">
        <v>3431</v>
      </c>
      <c r="D260">
        <v>2698054</v>
      </c>
      <c r="E260">
        <v>91174861617</v>
      </c>
      <c r="F260">
        <v>33144</v>
      </c>
      <c r="G260">
        <v>33180</v>
      </c>
      <c r="H260">
        <v>33900</v>
      </c>
      <c r="I260">
        <v>756</v>
      </c>
      <c r="J260">
        <v>2.2799999999999998</v>
      </c>
      <c r="K260">
        <v>33793</v>
      </c>
      <c r="L260">
        <v>649</v>
      </c>
      <c r="M260">
        <v>1.96</v>
      </c>
      <c r="N260">
        <v>33180</v>
      </c>
      <c r="O260">
        <v>34222</v>
      </c>
      <c r="P260" t="s">
        <v>2914</v>
      </c>
      <c r="Q260" t="s">
        <v>2915</v>
      </c>
      <c r="R260">
        <v>5</v>
      </c>
      <c r="S260">
        <v>1200</v>
      </c>
      <c r="T260">
        <v>33900</v>
      </c>
      <c r="U260">
        <v>33909</v>
      </c>
      <c r="V260">
        <v>7121</v>
      </c>
      <c r="W260">
        <v>4</v>
      </c>
    </row>
    <row r="261" spans="1:23" x14ac:dyDescent="0.25">
      <c r="A261" t="s">
        <v>872</v>
      </c>
      <c r="B261" t="s">
        <v>873</v>
      </c>
      <c r="C261">
        <v>104</v>
      </c>
      <c r="D261">
        <v>1099479</v>
      </c>
      <c r="E261">
        <v>5298389301</v>
      </c>
      <c r="F261">
        <v>4590</v>
      </c>
      <c r="G261">
        <v>4819</v>
      </c>
      <c r="H261">
        <v>4819</v>
      </c>
      <c r="I261">
        <v>229</v>
      </c>
      <c r="J261">
        <v>4.99</v>
      </c>
      <c r="K261">
        <v>4819</v>
      </c>
      <c r="L261">
        <v>229</v>
      </c>
      <c r="M261">
        <v>4.99</v>
      </c>
      <c r="N261">
        <v>4819</v>
      </c>
      <c r="O261">
        <v>4819</v>
      </c>
      <c r="P261" t="s">
        <v>874</v>
      </c>
      <c r="Q261" t="s">
        <v>2916</v>
      </c>
      <c r="R261">
        <v>86</v>
      </c>
      <c r="S261">
        <v>945732</v>
      </c>
      <c r="T261">
        <v>4819</v>
      </c>
      <c r="U261">
        <v>0</v>
      </c>
      <c r="V261">
        <v>0</v>
      </c>
      <c r="W261">
        <v>0</v>
      </c>
    </row>
    <row r="262" spans="1:23" x14ac:dyDescent="0.25">
      <c r="A262" t="s">
        <v>875</v>
      </c>
      <c r="B262" t="s">
        <v>876</v>
      </c>
      <c r="C262">
        <v>866</v>
      </c>
      <c r="D262">
        <v>10826854</v>
      </c>
      <c r="E262">
        <v>136710679733</v>
      </c>
      <c r="F262">
        <v>12042</v>
      </c>
      <c r="G262">
        <v>12530</v>
      </c>
      <c r="H262">
        <v>12400</v>
      </c>
      <c r="I262">
        <v>358</v>
      </c>
      <c r="J262">
        <v>2.97</v>
      </c>
      <c r="K262">
        <v>12627</v>
      </c>
      <c r="L262">
        <v>585</v>
      </c>
      <c r="M262">
        <v>4.8600000000000003</v>
      </c>
      <c r="N262">
        <v>12220</v>
      </c>
      <c r="O262">
        <v>12644</v>
      </c>
      <c r="P262" t="s">
        <v>877</v>
      </c>
      <c r="Q262" t="s">
        <v>2917</v>
      </c>
      <c r="R262">
        <v>1</v>
      </c>
      <c r="S262">
        <v>300</v>
      </c>
      <c r="T262">
        <v>12365</v>
      </c>
      <c r="U262">
        <v>12400</v>
      </c>
      <c r="V262">
        <v>68110</v>
      </c>
      <c r="W262">
        <v>2</v>
      </c>
    </row>
    <row r="263" spans="1:23" x14ac:dyDescent="0.25">
      <c r="A263" t="s">
        <v>878</v>
      </c>
      <c r="B263" t="s">
        <v>879</v>
      </c>
      <c r="C263">
        <v>204</v>
      </c>
      <c r="D263">
        <v>421177</v>
      </c>
      <c r="E263">
        <v>12110841384</v>
      </c>
      <c r="F263">
        <v>29278</v>
      </c>
      <c r="G263">
        <v>29500</v>
      </c>
      <c r="H263">
        <v>28500</v>
      </c>
      <c r="I263">
        <v>-778</v>
      </c>
      <c r="J263">
        <v>-2.66</v>
      </c>
      <c r="K263">
        <v>28755</v>
      </c>
      <c r="L263">
        <v>-523</v>
      </c>
      <c r="M263">
        <v>-1.79</v>
      </c>
      <c r="N263">
        <v>28002</v>
      </c>
      <c r="O263">
        <v>29500</v>
      </c>
      <c r="P263" t="s">
        <v>880</v>
      </c>
      <c r="Q263" t="s">
        <v>2918</v>
      </c>
      <c r="R263">
        <v>2</v>
      </c>
      <c r="S263">
        <v>7648</v>
      </c>
      <c r="T263">
        <v>28002</v>
      </c>
      <c r="U263">
        <v>29180</v>
      </c>
      <c r="V263">
        <v>176</v>
      </c>
      <c r="W263">
        <v>1</v>
      </c>
    </row>
    <row r="264" spans="1:23" x14ac:dyDescent="0.25">
      <c r="A264" t="s">
        <v>881</v>
      </c>
      <c r="B264" t="s">
        <v>882</v>
      </c>
      <c r="C264">
        <v>0</v>
      </c>
      <c r="D264">
        <v>0</v>
      </c>
      <c r="E264">
        <v>0</v>
      </c>
      <c r="F264">
        <v>1</v>
      </c>
      <c r="G264">
        <v>0</v>
      </c>
      <c r="H264">
        <v>1</v>
      </c>
      <c r="I264">
        <v>0</v>
      </c>
      <c r="J264">
        <v>0</v>
      </c>
      <c r="K264">
        <v>1</v>
      </c>
      <c r="L264">
        <v>0</v>
      </c>
      <c r="M264">
        <v>0</v>
      </c>
      <c r="N264">
        <v>0</v>
      </c>
      <c r="O264">
        <v>0</v>
      </c>
      <c r="R264">
        <v>1</v>
      </c>
      <c r="S264">
        <v>100</v>
      </c>
      <c r="T264">
        <v>111</v>
      </c>
      <c r="U264">
        <v>0</v>
      </c>
      <c r="V264">
        <v>0</v>
      </c>
      <c r="W264">
        <v>0</v>
      </c>
    </row>
    <row r="265" spans="1:23" x14ac:dyDescent="0.25">
      <c r="A265" t="s">
        <v>883</v>
      </c>
      <c r="B265" t="s">
        <v>884</v>
      </c>
      <c r="C265">
        <v>217</v>
      </c>
      <c r="D265">
        <v>2759416</v>
      </c>
      <c r="E265">
        <v>8719442584</v>
      </c>
      <c r="F265">
        <v>2873</v>
      </c>
      <c r="G265">
        <v>3160</v>
      </c>
      <c r="H265">
        <v>3160</v>
      </c>
      <c r="I265">
        <v>287</v>
      </c>
      <c r="J265">
        <v>9.99</v>
      </c>
      <c r="K265">
        <v>3160</v>
      </c>
      <c r="L265">
        <v>287</v>
      </c>
      <c r="M265">
        <v>9.99</v>
      </c>
      <c r="N265">
        <v>3101</v>
      </c>
      <c r="O265">
        <v>3160</v>
      </c>
      <c r="P265" t="s">
        <v>885</v>
      </c>
      <c r="Q265" t="s">
        <v>2919</v>
      </c>
      <c r="R265">
        <v>174</v>
      </c>
      <c r="S265">
        <v>5184195</v>
      </c>
      <c r="T265">
        <v>3160</v>
      </c>
      <c r="U265">
        <v>0</v>
      </c>
      <c r="V265">
        <v>0</v>
      </c>
      <c r="W265">
        <v>0</v>
      </c>
    </row>
    <row r="266" spans="1:23" x14ac:dyDescent="0.25">
      <c r="A266" t="s">
        <v>886</v>
      </c>
      <c r="B266" t="s">
        <v>887</v>
      </c>
      <c r="C266">
        <v>28</v>
      </c>
      <c r="D266">
        <v>216</v>
      </c>
      <c r="E266">
        <v>85235654</v>
      </c>
      <c r="F266">
        <v>408995</v>
      </c>
      <c r="G266">
        <v>390010</v>
      </c>
      <c r="H266">
        <v>400001</v>
      </c>
      <c r="I266">
        <v>-8994</v>
      </c>
      <c r="J266">
        <v>-2.2000000000000002</v>
      </c>
      <c r="K266">
        <v>394609</v>
      </c>
      <c r="L266">
        <v>-14386</v>
      </c>
      <c r="M266">
        <v>-3.52</v>
      </c>
      <c r="N266">
        <v>389000</v>
      </c>
      <c r="O266">
        <v>400004</v>
      </c>
      <c r="R266">
        <v>1</v>
      </c>
      <c r="S266">
        <v>18</v>
      </c>
      <c r="T266">
        <v>400001</v>
      </c>
      <c r="U266">
        <v>404999</v>
      </c>
      <c r="V266">
        <v>4</v>
      </c>
      <c r="W266">
        <v>2</v>
      </c>
    </row>
    <row r="267" spans="1:23" x14ac:dyDescent="0.25">
      <c r="A267" t="s">
        <v>888</v>
      </c>
      <c r="B267" t="s">
        <v>889</v>
      </c>
      <c r="C267">
        <v>179</v>
      </c>
      <c r="D267">
        <v>1074350</v>
      </c>
      <c r="E267">
        <v>2363731198</v>
      </c>
      <c r="F267">
        <v>2185</v>
      </c>
      <c r="G267">
        <v>2220</v>
      </c>
      <c r="H267">
        <v>2199</v>
      </c>
      <c r="I267">
        <v>14</v>
      </c>
      <c r="J267">
        <v>0.64</v>
      </c>
      <c r="K267">
        <v>2200</v>
      </c>
      <c r="L267">
        <v>15</v>
      </c>
      <c r="M267">
        <v>0.69</v>
      </c>
      <c r="N267">
        <v>2150</v>
      </c>
      <c r="O267">
        <v>2225</v>
      </c>
      <c r="P267" t="s">
        <v>890</v>
      </c>
      <c r="Q267" t="s">
        <v>2635</v>
      </c>
      <c r="R267">
        <v>1</v>
      </c>
      <c r="S267">
        <v>2899</v>
      </c>
      <c r="T267">
        <v>2191</v>
      </c>
      <c r="U267">
        <v>2199</v>
      </c>
      <c r="V267">
        <v>19000</v>
      </c>
      <c r="W267">
        <v>1</v>
      </c>
    </row>
    <row r="268" spans="1:23" x14ac:dyDescent="0.25">
      <c r="A268" t="s">
        <v>891</v>
      </c>
      <c r="B268" t="s">
        <v>2636</v>
      </c>
      <c r="C268">
        <v>0</v>
      </c>
      <c r="D268">
        <v>0</v>
      </c>
      <c r="E268">
        <v>0</v>
      </c>
      <c r="F268">
        <v>1500</v>
      </c>
      <c r="G268">
        <v>0</v>
      </c>
      <c r="H268">
        <v>1500</v>
      </c>
      <c r="I268">
        <v>0</v>
      </c>
      <c r="J268">
        <v>0</v>
      </c>
      <c r="K268">
        <v>1500</v>
      </c>
      <c r="L268">
        <v>0</v>
      </c>
      <c r="M268">
        <v>0</v>
      </c>
      <c r="N268">
        <v>0</v>
      </c>
      <c r="O268">
        <v>0</v>
      </c>
      <c r="R268">
        <v>1</v>
      </c>
      <c r="S268">
        <v>50</v>
      </c>
      <c r="T268">
        <v>210</v>
      </c>
      <c r="U268">
        <v>1600</v>
      </c>
      <c r="V268">
        <v>10</v>
      </c>
      <c r="W268">
        <v>1</v>
      </c>
    </row>
    <row r="269" spans="1:23" x14ac:dyDescent="0.25">
      <c r="A269" t="s">
        <v>892</v>
      </c>
      <c r="B269" t="s">
        <v>893</v>
      </c>
      <c r="C269">
        <v>229</v>
      </c>
      <c r="D269">
        <v>1339512</v>
      </c>
      <c r="E269">
        <v>12712186792</v>
      </c>
      <c r="F269">
        <v>9059</v>
      </c>
      <c r="G269">
        <v>9511</v>
      </c>
      <c r="H269">
        <v>9460</v>
      </c>
      <c r="I269">
        <v>401</v>
      </c>
      <c r="J269">
        <v>4.43</v>
      </c>
      <c r="K269">
        <v>9490</v>
      </c>
      <c r="L269">
        <v>431</v>
      </c>
      <c r="M269">
        <v>4.76</v>
      </c>
      <c r="N269">
        <v>9301</v>
      </c>
      <c r="O269">
        <v>9511</v>
      </c>
      <c r="P269" t="s">
        <v>894</v>
      </c>
      <c r="Q269" t="s">
        <v>2920</v>
      </c>
      <c r="R269">
        <v>2</v>
      </c>
      <c r="S269">
        <v>5730</v>
      </c>
      <c r="T269">
        <v>9420</v>
      </c>
      <c r="U269">
        <v>9459</v>
      </c>
      <c r="V269">
        <v>500</v>
      </c>
      <c r="W269">
        <v>1</v>
      </c>
    </row>
    <row r="270" spans="1:23" x14ac:dyDescent="0.25">
      <c r="A270" t="s">
        <v>895</v>
      </c>
      <c r="B270" t="s">
        <v>896</v>
      </c>
      <c r="C270">
        <v>1158</v>
      </c>
      <c r="D270">
        <v>6910975</v>
      </c>
      <c r="E270">
        <v>21345820002</v>
      </c>
      <c r="F270">
        <v>3203</v>
      </c>
      <c r="G270">
        <v>3135</v>
      </c>
      <c r="H270">
        <v>3071</v>
      </c>
      <c r="I270">
        <v>-132</v>
      </c>
      <c r="J270">
        <v>-4.12</v>
      </c>
      <c r="K270">
        <v>3089</v>
      </c>
      <c r="L270">
        <v>-114</v>
      </c>
      <c r="M270">
        <v>-3.56</v>
      </c>
      <c r="N270">
        <v>3051</v>
      </c>
      <c r="O270">
        <v>3180</v>
      </c>
      <c r="P270" t="s">
        <v>2637</v>
      </c>
      <c r="Q270" t="s">
        <v>2921</v>
      </c>
      <c r="R270">
        <v>1</v>
      </c>
      <c r="S270">
        <v>15720</v>
      </c>
      <c r="T270">
        <v>3074</v>
      </c>
      <c r="U270">
        <v>3079</v>
      </c>
      <c r="V270">
        <v>5200</v>
      </c>
      <c r="W270">
        <v>2</v>
      </c>
    </row>
    <row r="271" spans="1:23" x14ac:dyDescent="0.25">
      <c r="A271" t="s">
        <v>897</v>
      </c>
      <c r="B271" t="s">
        <v>898</v>
      </c>
      <c r="C271">
        <v>70</v>
      </c>
      <c r="D271">
        <v>401</v>
      </c>
      <c r="E271">
        <v>163391906</v>
      </c>
      <c r="F271">
        <v>415122</v>
      </c>
      <c r="G271">
        <v>394366</v>
      </c>
      <c r="H271">
        <v>409999</v>
      </c>
      <c r="I271">
        <v>-5123</v>
      </c>
      <c r="J271">
        <v>-1.23</v>
      </c>
      <c r="K271">
        <v>407461</v>
      </c>
      <c r="L271">
        <v>-7661</v>
      </c>
      <c r="M271">
        <v>-1.85</v>
      </c>
      <c r="N271">
        <v>394366</v>
      </c>
      <c r="O271">
        <v>424939</v>
      </c>
      <c r="R271">
        <v>1</v>
      </c>
      <c r="S271">
        <v>39</v>
      </c>
      <c r="T271">
        <v>409999</v>
      </c>
      <c r="U271">
        <v>410000</v>
      </c>
      <c r="V271">
        <v>2</v>
      </c>
      <c r="W271">
        <v>1</v>
      </c>
    </row>
    <row r="272" spans="1:23" x14ac:dyDescent="0.25">
      <c r="A272" t="s">
        <v>899</v>
      </c>
      <c r="B272" t="s">
        <v>900</v>
      </c>
      <c r="C272">
        <v>1260</v>
      </c>
      <c r="D272">
        <v>8404391</v>
      </c>
      <c r="E272">
        <v>60510657380</v>
      </c>
      <c r="F272">
        <v>6890</v>
      </c>
      <c r="G272">
        <v>7052</v>
      </c>
      <c r="H272">
        <v>7199</v>
      </c>
      <c r="I272">
        <v>309</v>
      </c>
      <c r="J272">
        <v>4.4800000000000004</v>
      </c>
      <c r="K272">
        <v>7200</v>
      </c>
      <c r="L272">
        <v>310</v>
      </c>
      <c r="M272">
        <v>4.5</v>
      </c>
      <c r="N272">
        <v>7036</v>
      </c>
      <c r="O272">
        <v>7234</v>
      </c>
      <c r="P272" t="s">
        <v>901</v>
      </c>
      <c r="Q272" t="s">
        <v>2922</v>
      </c>
      <c r="R272">
        <v>4</v>
      </c>
      <c r="S272">
        <v>8139</v>
      </c>
      <c r="T272">
        <v>7199</v>
      </c>
      <c r="U272">
        <v>7200</v>
      </c>
      <c r="V272">
        <v>84356</v>
      </c>
      <c r="W272">
        <v>3</v>
      </c>
    </row>
    <row r="273" spans="1:23" x14ac:dyDescent="0.25">
      <c r="A273" t="s">
        <v>2923</v>
      </c>
      <c r="B273" t="s">
        <v>1055</v>
      </c>
      <c r="C273">
        <v>1</v>
      </c>
      <c r="D273">
        <v>24</v>
      </c>
      <c r="E273">
        <v>240</v>
      </c>
      <c r="F273">
        <v>412422</v>
      </c>
      <c r="G273">
        <v>10</v>
      </c>
      <c r="H273">
        <v>10</v>
      </c>
      <c r="I273">
        <v>-412412</v>
      </c>
      <c r="J273">
        <v>-100</v>
      </c>
      <c r="K273">
        <v>10</v>
      </c>
      <c r="L273">
        <v>-412412</v>
      </c>
      <c r="M273">
        <v>-100</v>
      </c>
      <c r="N273">
        <v>10</v>
      </c>
      <c r="O273">
        <v>10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</row>
    <row r="274" spans="1:23" x14ac:dyDescent="0.25">
      <c r="A274" t="s">
        <v>902</v>
      </c>
      <c r="B274" t="s">
        <v>903</v>
      </c>
      <c r="C274">
        <v>146</v>
      </c>
      <c r="D274">
        <v>1444402</v>
      </c>
      <c r="E274">
        <v>21306373902</v>
      </c>
      <c r="F274">
        <v>14049</v>
      </c>
      <c r="G274">
        <v>14751</v>
      </c>
      <c r="H274">
        <v>14751</v>
      </c>
      <c r="I274">
        <v>702</v>
      </c>
      <c r="J274">
        <v>5</v>
      </c>
      <c r="K274">
        <v>14751</v>
      </c>
      <c r="L274">
        <v>702</v>
      </c>
      <c r="M274">
        <v>5</v>
      </c>
      <c r="N274">
        <v>14751</v>
      </c>
      <c r="O274">
        <v>14751</v>
      </c>
      <c r="P274" t="s">
        <v>904</v>
      </c>
      <c r="Q274" t="s">
        <v>2924</v>
      </c>
      <c r="R274">
        <v>100</v>
      </c>
      <c r="S274">
        <v>2886631</v>
      </c>
      <c r="T274">
        <v>14751</v>
      </c>
      <c r="U274">
        <v>15956</v>
      </c>
      <c r="V274">
        <v>13630</v>
      </c>
      <c r="W274">
        <v>1</v>
      </c>
    </row>
    <row r="275" spans="1:23" x14ac:dyDescent="0.25">
      <c r="A275" t="s">
        <v>905</v>
      </c>
      <c r="B275" t="s">
        <v>906</v>
      </c>
      <c r="C275">
        <v>245</v>
      </c>
      <c r="D275">
        <v>520550</v>
      </c>
      <c r="E275">
        <v>6850520267</v>
      </c>
      <c r="F275">
        <v>13049</v>
      </c>
      <c r="G275">
        <v>13249</v>
      </c>
      <c r="H275">
        <v>13130</v>
      </c>
      <c r="I275">
        <v>81</v>
      </c>
      <c r="J275">
        <v>0.62</v>
      </c>
      <c r="K275">
        <v>13160</v>
      </c>
      <c r="L275">
        <v>111</v>
      </c>
      <c r="M275">
        <v>0.85</v>
      </c>
      <c r="N275">
        <v>13100</v>
      </c>
      <c r="O275">
        <v>13290</v>
      </c>
      <c r="P275" t="s">
        <v>907</v>
      </c>
      <c r="Q275" t="s">
        <v>2925</v>
      </c>
      <c r="R275">
        <v>1</v>
      </c>
      <c r="S275">
        <v>200</v>
      </c>
      <c r="T275">
        <v>13085</v>
      </c>
      <c r="U275">
        <v>13099</v>
      </c>
      <c r="V275">
        <v>5</v>
      </c>
      <c r="W275">
        <v>1</v>
      </c>
    </row>
    <row r="276" spans="1:23" x14ac:dyDescent="0.25">
      <c r="A276" t="s">
        <v>908</v>
      </c>
      <c r="B276" t="s">
        <v>909</v>
      </c>
      <c r="C276">
        <v>821</v>
      </c>
      <c r="D276">
        <v>734274</v>
      </c>
      <c r="E276">
        <v>22314774668</v>
      </c>
      <c r="F276">
        <v>29816</v>
      </c>
      <c r="G276">
        <v>31297</v>
      </c>
      <c r="H276">
        <v>29815</v>
      </c>
      <c r="I276">
        <v>-1</v>
      </c>
      <c r="J276">
        <v>0</v>
      </c>
      <c r="K276">
        <v>30390</v>
      </c>
      <c r="L276">
        <v>574</v>
      </c>
      <c r="M276">
        <v>1.93</v>
      </c>
      <c r="N276">
        <v>29815</v>
      </c>
      <c r="O276">
        <v>31297</v>
      </c>
      <c r="P276" t="s">
        <v>910</v>
      </c>
      <c r="Q276" t="s">
        <v>2926</v>
      </c>
      <c r="R276">
        <v>1</v>
      </c>
      <c r="S276">
        <v>500</v>
      </c>
      <c r="T276">
        <v>29819</v>
      </c>
      <c r="U276">
        <v>29820</v>
      </c>
      <c r="V276">
        <v>50</v>
      </c>
      <c r="W276">
        <v>1</v>
      </c>
    </row>
    <row r="277" spans="1:23" x14ac:dyDescent="0.25">
      <c r="A277" t="s">
        <v>911</v>
      </c>
      <c r="B277" t="s">
        <v>912</v>
      </c>
      <c r="C277">
        <v>532</v>
      </c>
      <c r="D277">
        <v>1802341</v>
      </c>
      <c r="E277">
        <v>42917137749</v>
      </c>
      <c r="F277">
        <v>22812</v>
      </c>
      <c r="G277">
        <v>23231</v>
      </c>
      <c r="H277">
        <v>23309</v>
      </c>
      <c r="I277">
        <v>497</v>
      </c>
      <c r="J277">
        <v>2.1800000000000002</v>
      </c>
      <c r="K277">
        <v>23812</v>
      </c>
      <c r="L277">
        <v>1000</v>
      </c>
      <c r="M277">
        <v>4.38</v>
      </c>
      <c r="N277">
        <v>23220</v>
      </c>
      <c r="O277">
        <v>23951</v>
      </c>
      <c r="P277" t="s">
        <v>913</v>
      </c>
      <c r="Q277" t="s">
        <v>2927</v>
      </c>
      <c r="R277">
        <v>2</v>
      </c>
      <c r="S277">
        <v>1248</v>
      </c>
      <c r="T277">
        <v>23302</v>
      </c>
      <c r="U277">
        <v>23309</v>
      </c>
      <c r="V277">
        <v>948</v>
      </c>
      <c r="W277">
        <v>1</v>
      </c>
    </row>
    <row r="278" spans="1:23" x14ac:dyDescent="0.25">
      <c r="A278" t="s">
        <v>2928</v>
      </c>
      <c r="B278" t="s">
        <v>1988</v>
      </c>
      <c r="C278">
        <v>2</v>
      </c>
      <c r="D278">
        <v>24</v>
      </c>
      <c r="E278">
        <v>240</v>
      </c>
      <c r="F278">
        <v>409911</v>
      </c>
      <c r="G278">
        <v>10</v>
      </c>
      <c r="H278">
        <v>10</v>
      </c>
      <c r="I278">
        <v>-409901</v>
      </c>
      <c r="J278">
        <v>-100</v>
      </c>
      <c r="K278">
        <v>10</v>
      </c>
      <c r="L278">
        <v>-409901</v>
      </c>
      <c r="M278">
        <v>-100</v>
      </c>
      <c r="N278">
        <v>10</v>
      </c>
      <c r="O278">
        <v>10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</row>
    <row r="279" spans="1:23" x14ac:dyDescent="0.25">
      <c r="A279" t="s">
        <v>916</v>
      </c>
      <c r="B279" t="s">
        <v>917</v>
      </c>
      <c r="C279">
        <v>1628</v>
      </c>
      <c r="D279">
        <v>18273216</v>
      </c>
      <c r="E279">
        <v>39174275890</v>
      </c>
      <c r="F279">
        <v>2140</v>
      </c>
      <c r="G279">
        <v>2180</v>
      </c>
      <c r="H279">
        <v>2121</v>
      </c>
      <c r="I279">
        <v>-19</v>
      </c>
      <c r="J279">
        <v>-0.89</v>
      </c>
      <c r="K279">
        <v>2144</v>
      </c>
      <c r="L279">
        <v>4</v>
      </c>
      <c r="M279">
        <v>0.19</v>
      </c>
      <c r="N279">
        <v>2110</v>
      </c>
      <c r="O279">
        <v>2187</v>
      </c>
      <c r="P279" t="s">
        <v>918</v>
      </c>
      <c r="Q279" t="s">
        <v>2929</v>
      </c>
      <c r="R279">
        <v>1</v>
      </c>
      <c r="S279">
        <v>82962</v>
      </c>
      <c r="T279">
        <v>2121</v>
      </c>
      <c r="U279">
        <v>2129</v>
      </c>
      <c r="V279">
        <v>30118</v>
      </c>
      <c r="W279">
        <v>2</v>
      </c>
    </row>
    <row r="280" spans="1:23" x14ac:dyDescent="0.25">
      <c r="A280" t="s">
        <v>919</v>
      </c>
      <c r="B280" t="s">
        <v>920</v>
      </c>
      <c r="C280">
        <v>2</v>
      </c>
      <c r="D280">
        <v>22</v>
      </c>
      <c r="E280">
        <v>2078967</v>
      </c>
      <c r="F280">
        <v>94123</v>
      </c>
      <c r="G280">
        <v>94997</v>
      </c>
      <c r="H280">
        <v>94000</v>
      </c>
      <c r="I280">
        <v>-123</v>
      </c>
      <c r="J280">
        <v>-0.13</v>
      </c>
      <c r="K280">
        <v>94498</v>
      </c>
      <c r="L280">
        <v>375</v>
      </c>
      <c r="M280">
        <v>0.4</v>
      </c>
      <c r="N280">
        <v>94000</v>
      </c>
      <c r="O280">
        <v>94997</v>
      </c>
      <c r="R280">
        <v>1</v>
      </c>
      <c r="S280">
        <v>1000</v>
      </c>
      <c r="T280">
        <v>90510</v>
      </c>
      <c r="U280">
        <v>93798</v>
      </c>
      <c r="V280">
        <v>20</v>
      </c>
      <c r="W280">
        <v>1</v>
      </c>
    </row>
    <row r="281" spans="1:23" x14ac:dyDescent="0.25">
      <c r="A281" t="s">
        <v>921</v>
      </c>
      <c r="B281" t="s">
        <v>922</v>
      </c>
      <c r="C281">
        <v>1237</v>
      </c>
      <c r="D281">
        <v>13993480</v>
      </c>
      <c r="E281">
        <v>31592235057</v>
      </c>
      <c r="F281">
        <v>2160</v>
      </c>
      <c r="G281">
        <v>2268</v>
      </c>
      <c r="H281">
        <v>2223</v>
      </c>
      <c r="I281">
        <v>63</v>
      </c>
      <c r="J281">
        <v>2.92</v>
      </c>
      <c r="K281">
        <v>2258</v>
      </c>
      <c r="L281">
        <v>98</v>
      </c>
      <c r="M281">
        <v>4.54</v>
      </c>
      <c r="N281">
        <v>2180</v>
      </c>
      <c r="O281">
        <v>2268</v>
      </c>
      <c r="P281" t="s">
        <v>923</v>
      </c>
      <c r="Q281" t="s">
        <v>2883</v>
      </c>
      <c r="R281">
        <v>2</v>
      </c>
      <c r="S281">
        <v>7250</v>
      </c>
      <c r="T281">
        <v>2224</v>
      </c>
      <c r="U281">
        <v>2230</v>
      </c>
      <c r="V281">
        <v>5000</v>
      </c>
      <c r="W281">
        <v>1</v>
      </c>
    </row>
    <row r="282" spans="1:23" x14ac:dyDescent="0.25">
      <c r="A282" t="s">
        <v>924</v>
      </c>
      <c r="B282" t="s">
        <v>925</v>
      </c>
      <c r="C282">
        <v>31</v>
      </c>
      <c r="D282">
        <v>277790</v>
      </c>
      <c r="E282">
        <v>565302650</v>
      </c>
      <c r="F282">
        <v>1939</v>
      </c>
      <c r="G282">
        <v>2035</v>
      </c>
      <c r="H282">
        <v>2035</v>
      </c>
      <c r="I282">
        <v>96</v>
      </c>
      <c r="J282">
        <v>4.95</v>
      </c>
      <c r="K282">
        <v>2031</v>
      </c>
      <c r="L282">
        <v>92</v>
      </c>
      <c r="M282">
        <v>4.74</v>
      </c>
      <c r="N282">
        <v>2035</v>
      </c>
      <c r="O282">
        <v>2035</v>
      </c>
      <c r="P282" t="s">
        <v>926</v>
      </c>
      <c r="Q282" t="s">
        <v>2930</v>
      </c>
      <c r="R282">
        <v>633</v>
      </c>
      <c r="S282">
        <v>26104649</v>
      </c>
      <c r="T282">
        <v>2035</v>
      </c>
      <c r="U282">
        <v>2999</v>
      </c>
      <c r="V282">
        <v>50000</v>
      </c>
      <c r="W282">
        <v>1</v>
      </c>
    </row>
    <row r="283" spans="1:23" x14ac:dyDescent="0.25">
      <c r="A283" t="s">
        <v>927</v>
      </c>
      <c r="B283" t="s">
        <v>928</v>
      </c>
      <c r="C283">
        <v>0</v>
      </c>
      <c r="D283">
        <v>0</v>
      </c>
      <c r="E283">
        <v>0</v>
      </c>
      <c r="F283">
        <v>33997</v>
      </c>
      <c r="G283">
        <v>0</v>
      </c>
      <c r="H283">
        <v>33996</v>
      </c>
      <c r="I283">
        <v>-1</v>
      </c>
      <c r="J283">
        <v>0</v>
      </c>
      <c r="K283">
        <v>33997</v>
      </c>
      <c r="L283">
        <v>0</v>
      </c>
      <c r="M283">
        <v>0</v>
      </c>
      <c r="N283">
        <v>0</v>
      </c>
      <c r="O283">
        <v>0</v>
      </c>
      <c r="P283" t="s">
        <v>929</v>
      </c>
      <c r="Q283" t="s">
        <v>605</v>
      </c>
      <c r="R283">
        <v>1</v>
      </c>
      <c r="S283">
        <v>11884</v>
      </c>
      <c r="T283">
        <v>33500</v>
      </c>
      <c r="U283">
        <v>35000</v>
      </c>
      <c r="V283">
        <v>2160</v>
      </c>
      <c r="W283">
        <v>1</v>
      </c>
    </row>
    <row r="284" spans="1:23" x14ac:dyDescent="0.25">
      <c r="A284" t="s">
        <v>2931</v>
      </c>
      <c r="B284" t="s">
        <v>2932</v>
      </c>
      <c r="C284">
        <v>0</v>
      </c>
      <c r="D284">
        <v>0</v>
      </c>
      <c r="E284">
        <v>0</v>
      </c>
      <c r="F284">
        <v>1</v>
      </c>
      <c r="G284">
        <v>0</v>
      </c>
      <c r="H284">
        <v>1</v>
      </c>
      <c r="I284">
        <v>0</v>
      </c>
      <c r="J284">
        <v>0</v>
      </c>
      <c r="K284">
        <v>1</v>
      </c>
      <c r="L284">
        <v>0</v>
      </c>
      <c r="M284">
        <v>0</v>
      </c>
      <c r="N284">
        <v>0</v>
      </c>
      <c r="O284">
        <v>0</v>
      </c>
      <c r="R284">
        <v>1</v>
      </c>
      <c r="S284">
        <v>20</v>
      </c>
      <c r="T284">
        <v>300</v>
      </c>
      <c r="U284">
        <v>0</v>
      </c>
      <c r="V284">
        <v>0</v>
      </c>
      <c r="W284">
        <v>0</v>
      </c>
    </row>
    <row r="285" spans="1:23" x14ac:dyDescent="0.25">
      <c r="A285" t="s">
        <v>930</v>
      </c>
      <c r="B285" t="s">
        <v>931</v>
      </c>
      <c r="C285">
        <v>0</v>
      </c>
      <c r="D285">
        <v>0</v>
      </c>
      <c r="E285">
        <v>0</v>
      </c>
      <c r="F285">
        <v>980000</v>
      </c>
      <c r="G285">
        <v>0</v>
      </c>
      <c r="H285">
        <v>980000</v>
      </c>
      <c r="I285">
        <v>0</v>
      </c>
      <c r="J285">
        <v>0</v>
      </c>
      <c r="K285">
        <v>980000</v>
      </c>
      <c r="L285">
        <v>0</v>
      </c>
      <c r="M285">
        <v>0</v>
      </c>
      <c r="N285">
        <v>0</v>
      </c>
      <c r="O285">
        <v>0</v>
      </c>
      <c r="R285">
        <v>1</v>
      </c>
      <c r="S285">
        <v>8676</v>
      </c>
      <c r="T285">
        <v>960000</v>
      </c>
      <c r="U285">
        <v>980000</v>
      </c>
      <c r="V285">
        <v>498</v>
      </c>
      <c r="W285">
        <v>1</v>
      </c>
    </row>
    <row r="286" spans="1:23" x14ac:dyDescent="0.25">
      <c r="A286" t="s">
        <v>932</v>
      </c>
      <c r="B286" t="s">
        <v>933</v>
      </c>
      <c r="C286">
        <v>0</v>
      </c>
      <c r="D286">
        <v>0</v>
      </c>
      <c r="E286">
        <v>0</v>
      </c>
      <c r="F286">
        <v>1600</v>
      </c>
      <c r="G286">
        <v>0</v>
      </c>
      <c r="H286">
        <v>1600</v>
      </c>
      <c r="I286">
        <v>0</v>
      </c>
      <c r="J286">
        <v>0</v>
      </c>
      <c r="K286">
        <v>1600</v>
      </c>
      <c r="L286">
        <v>0</v>
      </c>
      <c r="M286">
        <v>0</v>
      </c>
      <c r="N286">
        <v>0</v>
      </c>
      <c r="O286">
        <v>0</v>
      </c>
      <c r="R286">
        <v>1</v>
      </c>
      <c r="S286">
        <v>7</v>
      </c>
      <c r="T286">
        <v>900</v>
      </c>
      <c r="U286">
        <v>0</v>
      </c>
      <c r="V286">
        <v>0</v>
      </c>
      <c r="W286">
        <v>0</v>
      </c>
    </row>
    <row r="287" spans="1:23" x14ac:dyDescent="0.25">
      <c r="A287" t="s">
        <v>934</v>
      </c>
      <c r="B287" t="s">
        <v>935</v>
      </c>
      <c r="C287">
        <v>0</v>
      </c>
      <c r="D287">
        <v>0</v>
      </c>
      <c r="E287">
        <v>0</v>
      </c>
      <c r="F287">
        <v>950000</v>
      </c>
      <c r="G287">
        <v>0</v>
      </c>
      <c r="H287">
        <v>950000</v>
      </c>
      <c r="I287">
        <v>0</v>
      </c>
      <c r="J287">
        <v>0</v>
      </c>
      <c r="K287">
        <v>950000</v>
      </c>
      <c r="L287">
        <v>0</v>
      </c>
      <c r="M287">
        <v>0</v>
      </c>
      <c r="N287">
        <v>0</v>
      </c>
      <c r="O287">
        <v>0</v>
      </c>
      <c r="R287">
        <v>1</v>
      </c>
      <c r="S287">
        <v>2000</v>
      </c>
      <c r="T287">
        <v>970000</v>
      </c>
      <c r="U287">
        <v>979000</v>
      </c>
      <c r="V287">
        <v>2000</v>
      </c>
      <c r="W287">
        <v>1</v>
      </c>
    </row>
    <row r="288" spans="1:23" x14ac:dyDescent="0.25">
      <c r="A288" t="s">
        <v>936</v>
      </c>
      <c r="B288" t="s">
        <v>937</v>
      </c>
      <c r="C288">
        <v>490</v>
      </c>
      <c r="D288">
        <v>1997422</v>
      </c>
      <c r="E288">
        <v>16841010769</v>
      </c>
      <c r="F288">
        <v>8335</v>
      </c>
      <c r="G288">
        <v>8548</v>
      </c>
      <c r="H288">
        <v>8414</v>
      </c>
      <c r="I288">
        <v>79</v>
      </c>
      <c r="J288">
        <v>0.95</v>
      </c>
      <c r="K288">
        <v>8431</v>
      </c>
      <c r="L288">
        <v>96</v>
      </c>
      <c r="M288">
        <v>1.1499999999999999</v>
      </c>
      <c r="N288">
        <v>8384</v>
      </c>
      <c r="O288">
        <v>8548</v>
      </c>
      <c r="P288" t="s">
        <v>554</v>
      </c>
      <c r="Q288" t="s">
        <v>837</v>
      </c>
      <c r="R288">
        <v>2</v>
      </c>
      <c r="S288">
        <v>1692</v>
      </c>
      <c r="T288">
        <v>8414</v>
      </c>
      <c r="U288">
        <v>8415</v>
      </c>
      <c r="V288">
        <v>4869</v>
      </c>
      <c r="W288">
        <v>4</v>
      </c>
    </row>
    <row r="289" spans="1:23" x14ac:dyDescent="0.25">
      <c r="A289" t="s">
        <v>938</v>
      </c>
      <c r="B289" t="s">
        <v>939</v>
      </c>
      <c r="C289">
        <v>0</v>
      </c>
      <c r="D289">
        <v>0</v>
      </c>
      <c r="E289">
        <v>0</v>
      </c>
      <c r="F289">
        <v>132</v>
      </c>
      <c r="G289">
        <v>0</v>
      </c>
      <c r="H289">
        <v>133</v>
      </c>
      <c r="I289">
        <v>1</v>
      </c>
      <c r="J289">
        <v>0.76</v>
      </c>
      <c r="K289">
        <v>132</v>
      </c>
      <c r="L289">
        <v>0</v>
      </c>
      <c r="M289">
        <v>0</v>
      </c>
      <c r="N289">
        <v>0</v>
      </c>
      <c r="O289">
        <v>0</v>
      </c>
      <c r="R289">
        <v>50</v>
      </c>
      <c r="S289">
        <v>5000</v>
      </c>
      <c r="T289">
        <v>1</v>
      </c>
      <c r="U289">
        <v>166</v>
      </c>
      <c r="V289">
        <v>3000</v>
      </c>
      <c r="W289">
        <v>30</v>
      </c>
    </row>
    <row r="290" spans="1:23" x14ac:dyDescent="0.25">
      <c r="A290" t="s">
        <v>940</v>
      </c>
      <c r="B290" t="s">
        <v>1225</v>
      </c>
      <c r="C290">
        <v>10</v>
      </c>
      <c r="D290">
        <v>177</v>
      </c>
      <c r="E290">
        <v>55667000</v>
      </c>
      <c r="F290">
        <v>200</v>
      </c>
      <c r="G290">
        <v>266</v>
      </c>
      <c r="H290">
        <v>355</v>
      </c>
      <c r="I290">
        <v>155</v>
      </c>
      <c r="J290">
        <v>77.5</v>
      </c>
      <c r="K290">
        <v>315</v>
      </c>
      <c r="L290">
        <v>115</v>
      </c>
      <c r="M290">
        <v>57.5</v>
      </c>
      <c r="N290">
        <v>266</v>
      </c>
      <c r="O290">
        <v>355</v>
      </c>
      <c r="R290">
        <v>1</v>
      </c>
      <c r="S290">
        <v>100</v>
      </c>
      <c r="T290">
        <v>300</v>
      </c>
      <c r="U290">
        <v>390</v>
      </c>
      <c r="V290">
        <v>20</v>
      </c>
      <c r="W290">
        <v>2</v>
      </c>
    </row>
    <row r="291" spans="1:23" x14ac:dyDescent="0.25">
      <c r="A291" t="s">
        <v>941</v>
      </c>
      <c r="B291" t="s">
        <v>942</v>
      </c>
      <c r="C291">
        <v>337</v>
      </c>
      <c r="D291">
        <v>799439</v>
      </c>
      <c r="E291">
        <v>14653823708</v>
      </c>
      <c r="F291">
        <v>18173</v>
      </c>
      <c r="G291">
        <v>18000</v>
      </c>
      <c r="H291">
        <v>18041</v>
      </c>
      <c r="I291">
        <v>-132</v>
      </c>
      <c r="J291">
        <v>-0.73</v>
      </c>
      <c r="K291">
        <v>18330</v>
      </c>
      <c r="L291">
        <v>157</v>
      </c>
      <c r="M291">
        <v>0.86</v>
      </c>
      <c r="N291">
        <v>17541</v>
      </c>
      <c r="O291">
        <v>18700</v>
      </c>
      <c r="P291" t="s">
        <v>943</v>
      </c>
      <c r="Q291" t="s">
        <v>2933</v>
      </c>
      <c r="R291">
        <v>1</v>
      </c>
      <c r="S291">
        <v>165</v>
      </c>
      <c r="T291">
        <v>18075</v>
      </c>
      <c r="U291">
        <v>18109</v>
      </c>
      <c r="V291">
        <v>5000</v>
      </c>
      <c r="W291">
        <v>2</v>
      </c>
    </row>
    <row r="292" spans="1:23" x14ac:dyDescent="0.25">
      <c r="A292" t="s">
        <v>944</v>
      </c>
      <c r="B292" t="s">
        <v>945</v>
      </c>
      <c r="C292">
        <v>932</v>
      </c>
      <c r="D292">
        <v>12597462</v>
      </c>
      <c r="E292">
        <v>56867465323</v>
      </c>
      <c r="F292">
        <v>4304</v>
      </c>
      <c r="G292">
        <v>4500</v>
      </c>
      <c r="H292">
        <v>4500</v>
      </c>
      <c r="I292">
        <v>196</v>
      </c>
      <c r="J292">
        <v>4.55</v>
      </c>
      <c r="K292">
        <v>4514</v>
      </c>
      <c r="L292">
        <v>210</v>
      </c>
      <c r="M292">
        <v>4.88</v>
      </c>
      <c r="N292">
        <v>4383</v>
      </c>
      <c r="O292">
        <v>4519</v>
      </c>
      <c r="P292" t="s">
        <v>946</v>
      </c>
      <c r="Q292" t="s">
        <v>2934</v>
      </c>
      <c r="R292">
        <v>1</v>
      </c>
      <c r="S292">
        <v>1400</v>
      </c>
      <c r="T292">
        <v>4500</v>
      </c>
      <c r="U292">
        <v>4509</v>
      </c>
      <c r="V292">
        <v>51060</v>
      </c>
      <c r="W292">
        <v>1</v>
      </c>
    </row>
    <row r="293" spans="1:23" x14ac:dyDescent="0.25">
      <c r="A293" t="s">
        <v>947</v>
      </c>
      <c r="B293" t="s">
        <v>948</v>
      </c>
      <c r="C293">
        <v>0</v>
      </c>
      <c r="D293">
        <v>0</v>
      </c>
      <c r="E293">
        <v>0</v>
      </c>
      <c r="F293">
        <v>920395</v>
      </c>
      <c r="G293">
        <v>0</v>
      </c>
      <c r="H293">
        <v>920011</v>
      </c>
      <c r="I293">
        <v>-384</v>
      </c>
      <c r="J293">
        <v>-0.04</v>
      </c>
      <c r="K293">
        <v>920395</v>
      </c>
      <c r="L293">
        <v>0</v>
      </c>
      <c r="M293">
        <v>0</v>
      </c>
      <c r="N293">
        <v>0</v>
      </c>
      <c r="O293">
        <v>0</v>
      </c>
      <c r="R293">
        <v>1</v>
      </c>
      <c r="S293">
        <v>10000</v>
      </c>
      <c r="T293">
        <v>920015</v>
      </c>
      <c r="U293">
        <v>929999</v>
      </c>
      <c r="V293">
        <v>3500</v>
      </c>
      <c r="W293">
        <v>1</v>
      </c>
    </row>
    <row r="294" spans="1:23" x14ac:dyDescent="0.25">
      <c r="A294" t="s">
        <v>949</v>
      </c>
      <c r="B294" t="s">
        <v>950</v>
      </c>
      <c r="C294">
        <v>221</v>
      </c>
      <c r="D294">
        <v>396102</v>
      </c>
      <c r="E294">
        <v>8000736250</v>
      </c>
      <c r="F294">
        <v>19344</v>
      </c>
      <c r="G294">
        <v>20311</v>
      </c>
      <c r="H294">
        <v>20311</v>
      </c>
      <c r="I294">
        <v>967</v>
      </c>
      <c r="J294">
        <v>5</v>
      </c>
      <c r="K294">
        <v>20199</v>
      </c>
      <c r="L294">
        <v>855</v>
      </c>
      <c r="M294">
        <v>4.42</v>
      </c>
      <c r="N294">
        <v>19501</v>
      </c>
      <c r="O294">
        <v>20311</v>
      </c>
      <c r="P294" t="s">
        <v>951</v>
      </c>
      <c r="Q294" t="s">
        <v>2935</v>
      </c>
      <c r="R294">
        <v>14</v>
      </c>
      <c r="S294">
        <v>84817</v>
      </c>
      <c r="T294">
        <v>20311</v>
      </c>
      <c r="U294">
        <v>0</v>
      </c>
      <c r="V294">
        <v>0</v>
      </c>
      <c r="W294">
        <v>0</v>
      </c>
    </row>
    <row r="295" spans="1:23" x14ac:dyDescent="0.25">
      <c r="A295" t="s">
        <v>952</v>
      </c>
      <c r="B295" t="s">
        <v>953</v>
      </c>
      <c r="C295">
        <v>56</v>
      </c>
      <c r="D295">
        <v>668633</v>
      </c>
      <c r="E295">
        <v>11896318336</v>
      </c>
      <c r="F295">
        <v>16945</v>
      </c>
      <c r="G295">
        <v>17792</v>
      </c>
      <c r="H295">
        <v>17792</v>
      </c>
      <c r="I295">
        <v>847</v>
      </c>
      <c r="J295">
        <v>5</v>
      </c>
      <c r="K295">
        <v>17792</v>
      </c>
      <c r="L295">
        <v>847</v>
      </c>
      <c r="M295">
        <v>5</v>
      </c>
      <c r="N295">
        <v>17792</v>
      </c>
      <c r="O295">
        <v>17792</v>
      </c>
      <c r="P295" t="s">
        <v>954</v>
      </c>
      <c r="Q295" t="s">
        <v>2936</v>
      </c>
      <c r="R295">
        <v>233</v>
      </c>
      <c r="S295">
        <v>1198194</v>
      </c>
      <c r="T295">
        <v>17792</v>
      </c>
      <c r="U295">
        <v>0</v>
      </c>
      <c r="V295">
        <v>0</v>
      </c>
      <c r="W295">
        <v>0</v>
      </c>
    </row>
    <row r="296" spans="1:23" x14ac:dyDescent="0.25">
      <c r="A296" t="s">
        <v>955</v>
      </c>
      <c r="B296" t="s">
        <v>956</v>
      </c>
      <c r="C296">
        <v>276</v>
      </c>
      <c r="D296">
        <v>4571602</v>
      </c>
      <c r="E296">
        <v>46394888295</v>
      </c>
      <c r="F296">
        <v>9685</v>
      </c>
      <c r="G296">
        <v>9890</v>
      </c>
      <c r="H296">
        <v>10169</v>
      </c>
      <c r="I296">
        <v>484</v>
      </c>
      <c r="J296">
        <v>5</v>
      </c>
      <c r="K296">
        <v>10148</v>
      </c>
      <c r="L296">
        <v>463</v>
      </c>
      <c r="M296">
        <v>4.78</v>
      </c>
      <c r="N296">
        <v>9751</v>
      </c>
      <c r="O296">
        <v>10169</v>
      </c>
      <c r="P296" t="s">
        <v>957</v>
      </c>
      <c r="Q296" t="s">
        <v>2937</v>
      </c>
      <c r="R296">
        <v>36</v>
      </c>
      <c r="S296">
        <v>1797585</v>
      </c>
      <c r="T296">
        <v>10169</v>
      </c>
      <c r="U296">
        <v>10221</v>
      </c>
      <c r="V296">
        <v>242</v>
      </c>
      <c r="W296">
        <v>1</v>
      </c>
    </row>
    <row r="297" spans="1:23" x14ac:dyDescent="0.25">
      <c r="A297" t="s">
        <v>958</v>
      </c>
      <c r="B297" t="s">
        <v>959</v>
      </c>
      <c r="C297">
        <v>259</v>
      </c>
      <c r="D297">
        <v>216314</v>
      </c>
      <c r="E297">
        <v>9616354546</v>
      </c>
      <c r="F297">
        <v>45230</v>
      </c>
      <c r="G297">
        <v>47000</v>
      </c>
      <c r="H297">
        <v>44000</v>
      </c>
      <c r="I297">
        <v>-1230</v>
      </c>
      <c r="J297">
        <v>-2.72</v>
      </c>
      <c r="K297">
        <v>44456</v>
      </c>
      <c r="L297">
        <v>-774</v>
      </c>
      <c r="M297">
        <v>-1.71</v>
      </c>
      <c r="N297">
        <v>43531</v>
      </c>
      <c r="O297">
        <v>47000</v>
      </c>
      <c r="P297" t="s">
        <v>960</v>
      </c>
      <c r="Q297" t="s">
        <v>2938</v>
      </c>
      <c r="R297">
        <v>2</v>
      </c>
      <c r="S297">
        <v>1221</v>
      </c>
      <c r="T297">
        <v>43900</v>
      </c>
      <c r="U297">
        <v>44266</v>
      </c>
      <c r="V297">
        <v>1245</v>
      </c>
      <c r="W297">
        <v>2</v>
      </c>
    </row>
    <row r="298" spans="1:23" x14ac:dyDescent="0.25">
      <c r="A298" t="s">
        <v>961</v>
      </c>
      <c r="B298" t="s">
        <v>962</v>
      </c>
      <c r="C298">
        <v>0</v>
      </c>
      <c r="D298">
        <v>0</v>
      </c>
      <c r="E298">
        <v>0</v>
      </c>
      <c r="F298">
        <v>5818</v>
      </c>
      <c r="G298">
        <v>0</v>
      </c>
      <c r="H298">
        <v>5977</v>
      </c>
      <c r="I298">
        <v>159</v>
      </c>
      <c r="J298">
        <v>2.73</v>
      </c>
      <c r="K298">
        <v>5818</v>
      </c>
      <c r="L298">
        <v>0</v>
      </c>
      <c r="M298">
        <v>0</v>
      </c>
      <c r="N298">
        <v>0</v>
      </c>
      <c r="O298">
        <v>0</v>
      </c>
      <c r="P298" t="s">
        <v>963</v>
      </c>
      <c r="Q298" t="s">
        <v>2639</v>
      </c>
      <c r="R298">
        <v>1</v>
      </c>
      <c r="S298">
        <v>1502</v>
      </c>
      <c r="T298">
        <v>5301</v>
      </c>
      <c r="U298">
        <v>6000</v>
      </c>
      <c r="V298">
        <v>666</v>
      </c>
      <c r="W298">
        <v>2</v>
      </c>
    </row>
    <row r="299" spans="1:23" x14ac:dyDescent="0.25">
      <c r="A299" t="s">
        <v>964</v>
      </c>
      <c r="B299" t="s">
        <v>965</v>
      </c>
      <c r="C299">
        <v>509</v>
      </c>
      <c r="D299">
        <v>4037858</v>
      </c>
      <c r="E299">
        <v>41782048342</v>
      </c>
      <c r="F299">
        <v>9856</v>
      </c>
      <c r="G299">
        <v>10340</v>
      </c>
      <c r="H299">
        <v>10348</v>
      </c>
      <c r="I299">
        <v>492</v>
      </c>
      <c r="J299">
        <v>4.99</v>
      </c>
      <c r="K299">
        <v>10348</v>
      </c>
      <c r="L299">
        <v>492</v>
      </c>
      <c r="M299">
        <v>4.99</v>
      </c>
      <c r="N299">
        <v>10300</v>
      </c>
      <c r="O299">
        <v>10348</v>
      </c>
      <c r="P299" t="s">
        <v>605</v>
      </c>
      <c r="Q299" t="s">
        <v>2939</v>
      </c>
      <c r="R299">
        <v>91</v>
      </c>
      <c r="S299">
        <v>631450</v>
      </c>
      <c r="T299">
        <v>10348</v>
      </c>
      <c r="U299">
        <v>10759</v>
      </c>
      <c r="V299">
        <v>1000</v>
      </c>
      <c r="W299">
        <v>1</v>
      </c>
    </row>
    <row r="300" spans="1:23" x14ac:dyDescent="0.25">
      <c r="A300" t="s">
        <v>966</v>
      </c>
      <c r="B300" t="s">
        <v>967</v>
      </c>
      <c r="C300">
        <v>0</v>
      </c>
      <c r="D300">
        <v>0</v>
      </c>
      <c r="E300">
        <v>0</v>
      </c>
      <c r="F300">
        <v>950000</v>
      </c>
      <c r="G300">
        <v>0</v>
      </c>
      <c r="H300">
        <v>950001</v>
      </c>
      <c r="I300">
        <v>1</v>
      </c>
      <c r="J300">
        <v>0</v>
      </c>
      <c r="K300">
        <v>950000</v>
      </c>
      <c r="L300">
        <v>0</v>
      </c>
      <c r="M300">
        <v>0</v>
      </c>
      <c r="N300">
        <v>0</v>
      </c>
      <c r="O300">
        <v>0</v>
      </c>
      <c r="R300">
        <v>2</v>
      </c>
      <c r="S300">
        <v>1503</v>
      </c>
      <c r="T300">
        <v>950000</v>
      </c>
      <c r="U300">
        <v>964999</v>
      </c>
      <c r="V300">
        <v>5</v>
      </c>
      <c r="W300">
        <v>1</v>
      </c>
    </row>
    <row r="301" spans="1:23" x14ac:dyDescent="0.25">
      <c r="A301" t="s">
        <v>968</v>
      </c>
      <c r="B301" t="s">
        <v>914</v>
      </c>
      <c r="C301">
        <v>1703</v>
      </c>
      <c r="D301">
        <v>22980333</v>
      </c>
      <c r="E301">
        <v>64150535352</v>
      </c>
      <c r="F301">
        <v>2690</v>
      </c>
      <c r="G301">
        <v>2750</v>
      </c>
      <c r="H301">
        <v>2752</v>
      </c>
      <c r="I301">
        <v>62</v>
      </c>
      <c r="J301">
        <v>2.2999999999999998</v>
      </c>
      <c r="K301">
        <v>2792</v>
      </c>
      <c r="L301">
        <v>102</v>
      </c>
      <c r="M301">
        <v>3.79</v>
      </c>
      <c r="N301">
        <v>2730</v>
      </c>
      <c r="O301">
        <v>2824</v>
      </c>
      <c r="P301" t="s">
        <v>915</v>
      </c>
      <c r="Q301" t="s">
        <v>2940</v>
      </c>
      <c r="R301">
        <v>1</v>
      </c>
      <c r="S301">
        <v>379</v>
      </c>
      <c r="T301">
        <v>2752</v>
      </c>
      <c r="U301">
        <v>2760</v>
      </c>
      <c r="V301">
        <v>31000</v>
      </c>
      <c r="W301">
        <v>1</v>
      </c>
    </row>
    <row r="302" spans="1:23" x14ac:dyDescent="0.25">
      <c r="A302" t="s">
        <v>969</v>
      </c>
      <c r="B302" t="s">
        <v>970</v>
      </c>
      <c r="C302">
        <v>608</v>
      </c>
      <c r="D302">
        <v>2568183</v>
      </c>
      <c r="E302">
        <v>51411183340</v>
      </c>
      <c r="F302">
        <v>19085</v>
      </c>
      <c r="G302">
        <v>19949</v>
      </c>
      <c r="H302">
        <v>20039</v>
      </c>
      <c r="I302">
        <v>954</v>
      </c>
      <c r="J302">
        <v>5</v>
      </c>
      <c r="K302">
        <v>20019</v>
      </c>
      <c r="L302">
        <v>934</v>
      </c>
      <c r="M302">
        <v>4.8899999999999997</v>
      </c>
      <c r="N302">
        <v>19511</v>
      </c>
      <c r="O302">
        <v>20039</v>
      </c>
      <c r="P302" t="s">
        <v>971</v>
      </c>
      <c r="Q302" t="s">
        <v>2941</v>
      </c>
      <c r="R302">
        <v>61</v>
      </c>
      <c r="S302">
        <v>270224</v>
      </c>
      <c r="T302">
        <v>20039</v>
      </c>
      <c r="U302">
        <v>24500</v>
      </c>
      <c r="V302">
        <v>4000</v>
      </c>
      <c r="W302">
        <v>1</v>
      </c>
    </row>
    <row r="303" spans="1:23" x14ac:dyDescent="0.25">
      <c r="A303" t="s">
        <v>972</v>
      </c>
      <c r="B303" t="s">
        <v>973</v>
      </c>
      <c r="C303">
        <v>7</v>
      </c>
      <c r="D303">
        <v>700</v>
      </c>
      <c r="E303">
        <v>18300000</v>
      </c>
      <c r="F303">
        <v>30</v>
      </c>
      <c r="G303">
        <v>29</v>
      </c>
      <c r="H303">
        <v>24</v>
      </c>
      <c r="I303">
        <v>-6</v>
      </c>
      <c r="J303">
        <v>-20</v>
      </c>
      <c r="K303">
        <v>26</v>
      </c>
      <c r="L303">
        <v>-4</v>
      </c>
      <c r="M303">
        <v>-13.33</v>
      </c>
      <c r="N303">
        <v>24</v>
      </c>
      <c r="O303">
        <v>29</v>
      </c>
      <c r="R303">
        <v>3</v>
      </c>
      <c r="S303">
        <v>217</v>
      </c>
      <c r="T303">
        <v>24</v>
      </c>
      <c r="U303">
        <v>28</v>
      </c>
      <c r="V303">
        <v>1000</v>
      </c>
      <c r="W303">
        <v>10</v>
      </c>
    </row>
    <row r="304" spans="1:23" x14ac:dyDescent="0.25">
      <c r="A304" t="s">
        <v>974</v>
      </c>
      <c r="B304" t="s">
        <v>975</v>
      </c>
      <c r="C304">
        <v>438</v>
      </c>
      <c r="D304">
        <v>1408857</v>
      </c>
      <c r="E304">
        <v>8751834349</v>
      </c>
      <c r="F304">
        <v>6225</v>
      </c>
      <c r="G304">
        <v>6210</v>
      </c>
      <c r="H304">
        <v>6195</v>
      </c>
      <c r="I304">
        <v>-30</v>
      </c>
      <c r="J304">
        <v>-0.48</v>
      </c>
      <c r="K304">
        <v>6212</v>
      </c>
      <c r="L304">
        <v>-13</v>
      </c>
      <c r="M304">
        <v>-0.21</v>
      </c>
      <c r="N304">
        <v>6170</v>
      </c>
      <c r="O304">
        <v>6299</v>
      </c>
      <c r="P304" t="s">
        <v>976</v>
      </c>
      <c r="Q304" t="s">
        <v>2942</v>
      </c>
      <c r="R304">
        <v>2</v>
      </c>
      <c r="S304">
        <v>7139</v>
      </c>
      <c r="T304">
        <v>6195</v>
      </c>
      <c r="U304">
        <v>6200</v>
      </c>
      <c r="V304">
        <v>79049</v>
      </c>
      <c r="W304">
        <v>5</v>
      </c>
    </row>
    <row r="305" spans="1:23" x14ac:dyDescent="0.25">
      <c r="A305" t="s">
        <v>977</v>
      </c>
      <c r="B305" t="s">
        <v>978</v>
      </c>
      <c r="C305">
        <v>1003</v>
      </c>
      <c r="D305">
        <v>14308340</v>
      </c>
      <c r="E305">
        <v>58249484465</v>
      </c>
      <c r="F305">
        <v>4117</v>
      </c>
      <c r="G305">
        <v>4051</v>
      </c>
      <c r="H305">
        <v>4070</v>
      </c>
      <c r="I305">
        <v>-47</v>
      </c>
      <c r="J305">
        <v>-1.1399999999999999</v>
      </c>
      <c r="K305">
        <v>4071</v>
      </c>
      <c r="L305">
        <v>-46</v>
      </c>
      <c r="M305">
        <v>-1.1200000000000001</v>
      </c>
      <c r="N305">
        <v>4051</v>
      </c>
      <c r="O305">
        <v>4099</v>
      </c>
      <c r="P305" t="s">
        <v>979</v>
      </c>
      <c r="Q305" t="s">
        <v>2943</v>
      </c>
      <c r="R305">
        <v>1</v>
      </c>
      <c r="S305">
        <v>4885</v>
      </c>
      <c r="T305">
        <v>4075</v>
      </c>
      <c r="U305">
        <v>4079</v>
      </c>
      <c r="V305">
        <v>5000</v>
      </c>
      <c r="W305">
        <v>1</v>
      </c>
    </row>
    <row r="306" spans="1:23" x14ac:dyDescent="0.25">
      <c r="A306" t="s">
        <v>980</v>
      </c>
      <c r="B306" t="s">
        <v>981</v>
      </c>
      <c r="C306">
        <v>25</v>
      </c>
      <c r="D306">
        <v>6823</v>
      </c>
      <c r="E306">
        <v>284690634</v>
      </c>
      <c r="F306">
        <v>41305</v>
      </c>
      <c r="G306">
        <v>41987</v>
      </c>
      <c r="H306">
        <v>41587</v>
      </c>
      <c r="I306">
        <v>282</v>
      </c>
      <c r="J306">
        <v>0.68</v>
      </c>
      <c r="K306">
        <v>41725</v>
      </c>
      <c r="L306">
        <v>420</v>
      </c>
      <c r="M306">
        <v>1.02</v>
      </c>
      <c r="N306">
        <v>41587</v>
      </c>
      <c r="O306">
        <v>41987</v>
      </c>
      <c r="R306">
        <v>1</v>
      </c>
      <c r="S306">
        <v>950</v>
      </c>
      <c r="T306">
        <v>41455</v>
      </c>
      <c r="U306">
        <v>41587</v>
      </c>
      <c r="V306">
        <v>48325</v>
      </c>
      <c r="W306">
        <v>1</v>
      </c>
    </row>
    <row r="307" spans="1:23" x14ac:dyDescent="0.25">
      <c r="A307" t="s">
        <v>2641</v>
      </c>
      <c r="B307" t="s">
        <v>2642</v>
      </c>
      <c r="C307">
        <v>341</v>
      </c>
      <c r="D307">
        <v>397288</v>
      </c>
      <c r="E307">
        <v>6658566432</v>
      </c>
      <c r="F307">
        <v>16372</v>
      </c>
      <c r="G307">
        <v>16000</v>
      </c>
      <c r="H307">
        <v>17043</v>
      </c>
      <c r="I307">
        <v>671</v>
      </c>
      <c r="J307">
        <v>4.0999999999999996</v>
      </c>
      <c r="K307">
        <v>16760</v>
      </c>
      <c r="L307">
        <v>388</v>
      </c>
      <c r="M307">
        <v>2.37</v>
      </c>
      <c r="N307">
        <v>16000</v>
      </c>
      <c r="O307">
        <v>17100</v>
      </c>
      <c r="P307" t="s">
        <v>2643</v>
      </c>
      <c r="Q307" t="s">
        <v>2944</v>
      </c>
      <c r="R307">
        <v>2</v>
      </c>
      <c r="S307">
        <v>2757</v>
      </c>
      <c r="T307">
        <v>17000</v>
      </c>
      <c r="U307">
        <v>17043</v>
      </c>
      <c r="V307">
        <v>7486</v>
      </c>
      <c r="W307">
        <v>1</v>
      </c>
    </row>
    <row r="308" spans="1:23" x14ac:dyDescent="0.25">
      <c r="A308" t="s">
        <v>982</v>
      </c>
      <c r="B308" t="s">
        <v>983</v>
      </c>
      <c r="C308">
        <v>213</v>
      </c>
      <c r="D308">
        <v>371065</v>
      </c>
      <c r="E308">
        <v>10184682922</v>
      </c>
      <c r="F308">
        <v>26285</v>
      </c>
      <c r="G308">
        <v>27570</v>
      </c>
      <c r="H308">
        <v>27300</v>
      </c>
      <c r="I308">
        <v>1015</v>
      </c>
      <c r="J308">
        <v>3.86</v>
      </c>
      <c r="K308">
        <v>27447</v>
      </c>
      <c r="L308">
        <v>1162</v>
      </c>
      <c r="M308">
        <v>4.42</v>
      </c>
      <c r="N308">
        <v>26500</v>
      </c>
      <c r="O308">
        <v>27570</v>
      </c>
      <c r="P308" t="s">
        <v>984</v>
      </c>
      <c r="Q308" t="s">
        <v>2945</v>
      </c>
      <c r="R308">
        <v>1</v>
      </c>
      <c r="S308">
        <v>787</v>
      </c>
      <c r="T308">
        <v>27298</v>
      </c>
      <c r="U308">
        <v>27300</v>
      </c>
      <c r="V308">
        <v>2956</v>
      </c>
      <c r="W308">
        <v>2</v>
      </c>
    </row>
    <row r="309" spans="1:23" x14ac:dyDescent="0.25">
      <c r="A309" t="s">
        <v>985</v>
      </c>
      <c r="B309" t="s">
        <v>986</v>
      </c>
      <c r="C309">
        <v>806</v>
      </c>
      <c r="D309">
        <v>365563</v>
      </c>
      <c r="E309">
        <v>20527539449</v>
      </c>
      <c r="F309">
        <v>58395</v>
      </c>
      <c r="G309">
        <v>59100</v>
      </c>
      <c r="H309">
        <v>53724</v>
      </c>
      <c r="I309">
        <v>-4671</v>
      </c>
      <c r="J309">
        <v>-8</v>
      </c>
      <c r="K309">
        <v>56153</v>
      </c>
      <c r="L309">
        <v>-2242</v>
      </c>
      <c r="M309">
        <v>-3.84</v>
      </c>
      <c r="N309">
        <v>52556</v>
      </c>
      <c r="O309">
        <v>60997</v>
      </c>
      <c r="P309" t="s">
        <v>987</v>
      </c>
      <c r="Q309" t="s">
        <v>2946</v>
      </c>
      <c r="R309">
        <v>2</v>
      </c>
      <c r="S309">
        <v>600</v>
      </c>
      <c r="T309">
        <v>53801</v>
      </c>
      <c r="U309">
        <v>54500</v>
      </c>
      <c r="V309">
        <v>1056</v>
      </c>
      <c r="W309">
        <v>2</v>
      </c>
    </row>
    <row r="310" spans="1:23" x14ac:dyDescent="0.25">
      <c r="A310" t="s">
        <v>988</v>
      </c>
      <c r="B310" t="s">
        <v>989</v>
      </c>
      <c r="C310">
        <v>605</v>
      </c>
      <c r="D310">
        <v>674908</v>
      </c>
      <c r="E310">
        <v>21454687523</v>
      </c>
      <c r="F310">
        <v>32677</v>
      </c>
      <c r="G310">
        <v>32499</v>
      </c>
      <c r="H310">
        <v>31300</v>
      </c>
      <c r="I310">
        <v>-1377</v>
      </c>
      <c r="J310">
        <v>-4.21</v>
      </c>
      <c r="K310">
        <v>31789</v>
      </c>
      <c r="L310">
        <v>-888</v>
      </c>
      <c r="M310">
        <v>-2.72</v>
      </c>
      <c r="N310">
        <v>31200</v>
      </c>
      <c r="O310">
        <v>32500</v>
      </c>
      <c r="P310" t="s">
        <v>990</v>
      </c>
      <c r="Q310" t="s">
        <v>2947</v>
      </c>
      <c r="R310">
        <v>3</v>
      </c>
      <c r="S310">
        <v>2232</v>
      </c>
      <c r="T310">
        <v>31230</v>
      </c>
      <c r="U310">
        <v>31300</v>
      </c>
      <c r="V310">
        <v>533</v>
      </c>
      <c r="W310">
        <v>1</v>
      </c>
    </row>
    <row r="311" spans="1:23" x14ac:dyDescent="0.25">
      <c r="A311" t="s">
        <v>991</v>
      </c>
      <c r="B311" t="s">
        <v>992</v>
      </c>
      <c r="C311">
        <v>0</v>
      </c>
      <c r="D311">
        <v>0</v>
      </c>
      <c r="E311">
        <v>0</v>
      </c>
      <c r="F311">
        <v>311327</v>
      </c>
      <c r="G311">
        <v>0</v>
      </c>
      <c r="H311">
        <v>306550</v>
      </c>
      <c r="I311">
        <v>-4777</v>
      </c>
      <c r="J311">
        <v>-1.53</v>
      </c>
      <c r="K311">
        <v>311327</v>
      </c>
      <c r="L311">
        <v>0</v>
      </c>
      <c r="M311">
        <v>0</v>
      </c>
      <c r="N311">
        <v>0</v>
      </c>
      <c r="O311">
        <v>0</v>
      </c>
      <c r="R311">
        <v>1</v>
      </c>
      <c r="S311">
        <v>600</v>
      </c>
      <c r="T311">
        <v>300000</v>
      </c>
      <c r="U311">
        <v>318893</v>
      </c>
      <c r="V311">
        <v>50</v>
      </c>
      <c r="W311">
        <v>1</v>
      </c>
    </row>
    <row r="312" spans="1:23" x14ac:dyDescent="0.25">
      <c r="A312" t="s">
        <v>2644</v>
      </c>
      <c r="B312" t="s">
        <v>2645</v>
      </c>
      <c r="C312">
        <v>638</v>
      </c>
      <c r="D312">
        <v>880315</v>
      </c>
      <c r="E312">
        <v>18395038542</v>
      </c>
      <c r="F312">
        <v>20308</v>
      </c>
      <c r="G312">
        <v>21000</v>
      </c>
      <c r="H312">
        <v>20430</v>
      </c>
      <c r="I312">
        <v>122</v>
      </c>
      <c r="J312">
        <v>0.6</v>
      </c>
      <c r="K312">
        <v>20896</v>
      </c>
      <c r="L312">
        <v>588</v>
      </c>
      <c r="M312">
        <v>2.9</v>
      </c>
      <c r="N312">
        <v>19600</v>
      </c>
      <c r="O312">
        <v>22222</v>
      </c>
      <c r="P312" t="s">
        <v>2646</v>
      </c>
      <c r="Q312" t="s">
        <v>2948</v>
      </c>
      <c r="R312">
        <v>2</v>
      </c>
      <c r="S312">
        <v>9879</v>
      </c>
      <c r="T312">
        <v>20400</v>
      </c>
      <c r="U312">
        <v>20450</v>
      </c>
      <c r="V312">
        <v>1567</v>
      </c>
      <c r="W312">
        <v>1</v>
      </c>
    </row>
    <row r="313" spans="1:23" x14ac:dyDescent="0.25">
      <c r="A313" t="s">
        <v>993</v>
      </c>
      <c r="B313" t="s">
        <v>994</v>
      </c>
      <c r="C313">
        <v>44</v>
      </c>
      <c r="D313">
        <v>253391</v>
      </c>
      <c r="E313">
        <v>802996079</v>
      </c>
      <c r="F313">
        <v>3019</v>
      </c>
      <c r="G313">
        <v>3169</v>
      </c>
      <c r="H313">
        <v>3169</v>
      </c>
      <c r="I313">
        <v>150</v>
      </c>
      <c r="J313">
        <v>4.97</v>
      </c>
      <c r="K313">
        <v>3169</v>
      </c>
      <c r="L313">
        <v>150</v>
      </c>
      <c r="M313">
        <v>4.97</v>
      </c>
      <c r="N313">
        <v>3169</v>
      </c>
      <c r="O313">
        <v>3169</v>
      </c>
      <c r="P313" t="s">
        <v>995</v>
      </c>
      <c r="Q313" t="s">
        <v>2949</v>
      </c>
      <c r="R313">
        <v>117</v>
      </c>
      <c r="S313">
        <v>3723233</v>
      </c>
      <c r="T313">
        <v>3169</v>
      </c>
      <c r="U313">
        <v>0</v>
      </c>
      <c r="V313">
        <v>0</v>
      </c>
      <c r="W313">
        <v>0</v>
      </c>
    </row>
    <row r="314" spans="1:23" x14ac:dyDescent="0.25">
      <c r="A314" t="s">
        <v>996</v>
      </c>
      <c r="B314" t="s">
        <v>997</v>
      </c>
      <c r="C314">
        <v>209</v>
      </c>
      <c r="D314">
        <v>738577</v>
      </c>
      <c r="E314">
        <v>4620323611</v>
      </c>
      <c r="F314">
        <v>6398</v>
      </c>
      <c r="G314">
        <v>6500</v>
      </c>
      <c r="H314">
        <v>6274</v>
      </c>
      <c r="I314">
        <v>-124</v>
      </c>
      <c r="J314">
        <v>-1.94</v>
      </c>
      <c r="K314">
        <v>6294</v>
      </c>
      <c r="L314">
        <v>-104</v>
      </c>
      <c r="M314">
        <v>-1.63</v>
      </c>
      <c r="N314">
        <v>6152</v>
      </c>
      <c r="O314">
        <v>6500</v>
      </c>
      <c r="P314" t="s">
        <v>998</v>
      </c>
      <c r="Q314" t="s">
        <v>2950</v>
      </c>
      <c r="R314">
        <v>1</v>
      </c>
      <c r="S314">
        <v>4800</v>
      </c>
      <c r="T314">
        <v>6274</v>
      </c>
      <c r="U314">
        <v>6285</v>
      </c>
      <c r="V314">
        <v>8768</v>
      </c>
      <c r="W314">
        <v>1</v>
      </c>
    </row>
    <row r="315" spans="1:23" x14ac:dyDescent="0.25">
      <c r="A315" t="s">
        <v>999</v>
      </c>
      <c r="B315" t="s">
        <v>1000</v>
      </c>
      <c r="C315">
        <v>2405</v>
      </c>
      <c r="D315">
        <v>20274619</v>
      </c>
      <c r="E315">
        <v>52672457143</v>
      </c>
      <c r="F315">
        <v>2580</v>
      </c>
      <c r="G315">
        <v>2590</v>
      </c>
      <c r="H315">
        <v>2583</v>
      </c>
      <c r="I315">
        <v>3</v>
      </c>
      <c r="J315">
        <v>0.12</v>
      </c>
      <c r="K315">
        <v>2598</v>
      </c>
      <c r="L315">
        <v>18</v>
      </c>
      <c r="M315">
        <v>0.7</v>
      </c>
      <c r="N315">
        <v>2583</v>
      </c>
      <c r="O315">
        <v>2615</v>
      </c>
      <c r="P315" t="s">
        <v>1001</v>
      </c>
      <c r="Q315" t="s">
        <v>2598</v>
      </c>
      <c r="R315">
        <v>2</v>
      </c>
      <c r="S315">
        <v>24477</v>
      </c>
      <c r="T315">
        <v>2583</v>
      </c>
      <c r="U315">
        <v>2584</v>
      </c>
      <c r="V315">
        <v>7938</v>
      </c>
      <c r="W315">
        <v>2</v>
      </c>
    </row>
    <row r="316" spans="1:23" x14ac:dyDescent="0.25">
      <c r="A316" t="s">
        <v>1002</v>
      </c>
      <c r="B316" t="s">
        <v>1003</v>
      </c>
      <c r="C316">
        <v>187</v>
      </c>
      <c r="D316">
        <v>488254</v>
      </c>
      <c r="E316">
        <v>3025199664</v>
      </c>
      <c r="F316">
        <v>5946</v>
      </c>
      <c r="G316">
        <v>6100</v>
      </c>
      <c r="H316">
        <v>6177</v>
      </c>
      <c r="I316">
        <v>231</v>
      </c>
      <c r="J316">
        <v>3.88</v>
      </c>
      <c r="K316">
        <v>6196</v>
      </c>
      <c r="L316">
        <v>250</v>
      </c>
      <c r="M316">
        <v>4.2</v>
      </c>
      <c r="N316">
        <v>6050</v>
      </c>
      <c r="O316">
        <v>6236</v>
      </c>
      <c r="P316" t="s">
        <v>341</v>
      </c>
      <c r="Q316" t="s">
        <v>2951</v>
      </c>
      <c r="R316">
        <v>2</v>
      </c>
      <c r="S316">
        <v>19143</v>
      </c>
      <c r="T316">
        <v>6177</v>
      </c>
      <c r="U316">
        <v>6227</v>
      </c>
      <c r="V316">
        <v>3610</v>
      </c>
      <c r="W316">
        <v>2</v>
      </c>
    </row>
    <row r="317" spans="1:23" x14ac:dyDescent="0.25">
      <c r="A317" t="s">
        <v>1004</v>
      </c>
      <c r="B317" t="s">
        <v>1005</v>
      </c>
      <c r="C317">
        <v>347</v>
      </c>
      <c r="D317">
        <v>4533921</v>
      </c>
      <c r="E317">
        <v>27254900000</v>
      </c>
      <c r="F317">
        <v>5873</v>
      </c>
      <c r="G317">
        <v>6050</v>
      </c>
      <c r="H317">
        <v>6000</v>
      </c>
      <c r="I317">
        <v>127</v>
      </c>
      <c r="J317">
        <v>2.16</v>
      </c>
      <c r="K317">
        <v>6011</v>
      </c>
      <c r="L317">
        <v>138</v>
      </c>
      <c r="M317">
        <v>2.35</v>
      </c>
      <c r="N317">
        <v>5953</v>
      </c>
      <c r="O317">
        <v>6080</v>
      </c>
      <c r="P317" t="s">
        <v>1006</v>
      </c>
      <c r="Q317" t="s">
        <v>2952</v>
      </c>
      <c r="R317">
        <v>1</v>
      </c>
      <c r="S317">
        <v>5500</v>
      </c>
      <c r="T317">
        <v>5997</v>
      </c>
      <c r="U317">
        <v>6000</v>
      </c>
      <c r="V317">
        <v>36612</v>
      </c>
      <c r="W317">
        <v>3</v>
      </c>
    </row>
    <row r="318" spans="1:23" x14ac:dyDescent="0.25">
      <c r="A318" t="s">
        <v>1007</v>
      </c>
      <c r="B318" t="s">
        <v>1008</v>
      </c>
      <c r="C318">
        <v>2</v>
      </c>
      <c r="D318">
        <v>297</v>
      </c>
      <c r="E318">
        <v>4111275</v>
      </c>
      <c r="F318">
        <v>13989</v>
      </c>
      <c r="G318">
        <v>13825</v>
      </c>
      <c r="H318">
        <v>13860</v>
      </c>
      <c r="I318">
        <v>-129</v>
      </c>
      <c r="J318">
        <v>-0.92</v>
      </c>
      <c r="K318">
        <v>13843</v>
      </c>
      <c r="L318">
        <v>-146</v>
      </c>
      <c r="M318">
        <v>-1.04</v>
      </c>
      <c r="N318">
        <v>13825</v>
      </c>
      <c r="O318">
        <v>13860</v>
      </c>
      <c r="R318">
        <v>2</v>
      </c>
      <c r="S318">
        <v>1851</v>
      </c>
      <c r="T318">
        <v>13900</v>
      </c>
      <c r="U318">
        <v>14000</v>
      </c>
      <c r="V318">
        <v>166</v>
      </c>
      <c r="W318">
        <v>1</v>
      </c>
    </row>
    <row r="319" spans="1:23" x14ac:dyDescent="0.25">
      <c r="A319" t="s">
        <v>2647</v>
      </c>
      <c r="B319" t="s">
        <v>2648</v>
      </c>
      <c r="C319">
        <v>0</v>
      </c>
      <c r="D319">
        <v>0</v>
      </c>
      <c r="E319">
        <v>0</v>
      </c>
      <c r="F319">
        <v>975000</v>
      </c>
      <c r="G319">
        <v>0</v>
      </c>
      <c r="H319">
        <v>975000</v>
      </c>
      <c r="I319">
        <v>0</v>
      </c>
      <c r="J319">
        <v>0</v>
      </c>
      <c r="K319">
        <v>975000</v>
      </c>
      <c r="L319">
        <v>0</v>
      </c>
      <c r="M319">
        <v>0</v>
      </c>
      <c r="N319">
        <v>0</v>
      </c>
      <c r="O319">
        <v>0</v>
      </c>
      <c r="R319">
        <v>1</v>
      </c>
      <c r="S319">
        <v>2000</v>
      </c>
      <c r="T319">
        <v>975000</v>
      </c>
      <c r="U319">
        <v>0</v>
      </c>
      <c r="V319">
        <v>0</v>
      </c>
      <c r="W319">
        <v>0</v>
      </c>
    </row>
    <row r="320" spans="1:23" x14ac:dyDescent="0.25">
      <c r="A320" t="s">
        <v>1009</v>
      </c>
      <c r="B320" t="s">
        <v>1010</v>
      </c>
      <c r="C320">
        <v>64</v>
      </c>
      <c r="D320">
        <v>34198</v>
      </c>
      <c r="E320">
        <v>1196291415</v>
      </c>
      <c r="F320">
        <v>34134</v>
      </c>
      <c r="G320">
        <v>35211</v>
      </c>
      <c r="H320">
        <v>34999</v>
      </c>
      <c r="I320">
        <v>865</v>
      </c>
      <c r="J320">
        <v>2.5299999999999998</v>
      </c>
      <c r="K320">
        <v>34981</v>
      </c>
      <c r="L320">
        <v>847</v>
      </c>
      <c r="M320">
        <v>2.48</v>
      </c>
      <c r="N320">
        <v>34135</v>
      </c>
      <c r="O320">
        <v>35500</v>
      </c>
      <c r="P320" t="s">
        <v>1011</v>
      </c>
      <c r="Q320" t="s">
        <v>2953</v>
      </c>
      <c r="R320">
        <v>2</v>
      </c>
      <c r="S320">
        <v>875</v>
      </c>
      <c r="T320">
        <v>34370</v>
      </c>
      <c r="U320">
        <v>34997</v>
      </c>
      <c r="V320">
        <v>1837</v>
      </c>
      <c r="W320">
        <v>1</v>
      </c>
    </row>
    <row r="321" spans="1:23" x14ac:dyDescent="0.25">
      <c r="A321" t="s">
        <v>1012</v>
      </c>
      <c r="B321" t="s">
        <v>1013</v>
      </c>
      <c r="C321">
        <v>4</v>
      </c>
      <c r="D321">
        <v>5118</v>
      </c>
      <c r="E321">
        <v>4249571100</v>
      </c>
      <c r="F321">
        <v>829507</v>
      </c>
      <c r="G321">
        <v>829900</v>
      </c>
      <c r="H321">
        <v>831131</v>
      </c>
      <c r="I321">
        <v>1624</v>
      </c>
      <c r="J321">
        <v>0.2</v>
      </c>
      <c r="K321">
        <v>830319</v>
      </c>
      <c r="L321">
        <v>812</v>
      </c>
      <c r="M321">
        <v>0.1</v>
      </c>
      <c r="N321">
        <v>829900</v>
      </c>
      <c r="O321">
        <v>831132</v>
      </c>
      <c r="R321">
        <v>2</v>
      </c>
      <c r="S321">
        <v>8800</v>
      </c>
      <c r="T321">
        <v>831131</v>
      </c>
      <c r="U321">
        <v>832000</v>
      </c>
      <c r="V321">
        <v>84</v>
      </c>
      <c r="W321">
        <v>1</v>
      </c>
    </row>
    <row r="322" spans="1:23" x14ac:dyDescent="0.25">
      <c r="A322" t="s">
        <v>1014</v>
      </c>
      <c r="B322" t="s">
        <v>1015</v>
      </c>
      <c r="C322">
        <v>0</v>
      </c>
      <c r="D322">
        <v>0</v>
      </c>
      <c r="E322">
        <v>0</v>
      </c>
      <c r="F322">
        <v>350</v>
      </c>
      <c r="G322">
        <v>0</v>
      </c>
      <c r="H322">
        <v>350</v>
      </c>
      <c r="I322">
        <v>0</v>
      </c>
      <c r="J322">
        <v>0</v>
      </c>
      <c r="K322">
        <v>350</v>
      </c>
      <c r="L322">
        <v>0</v>
      </c>
      <c r="M322">
        <v>0</v>
      </c>
      <c r="N322">
        <v>0</v>
      </c>
      <c r="O322">
        <v>0</v>
      </c>
      <c r="R322">
        <v>0</v>
      </c>
      <c r="S322">
        <v>0</v>
      </c>
      <c r="T322">
        <v>0</v>
      </c>
      <c r="U322">
        <v>350</v>
      </c>
      <c r="V322">
        <v>50</v>
      </c>
      <c r="W322">
        <v>1</v>
      </c>
    </row>
    <row r="323" spans="1:23" x14ac:dyDescent="0.25">
      <c r="A323" t="s">
        <v>1016</v>
      </c>
      <c r="B323" t="s">
        <v>1017</v>
      </c>
      <c r="C323">
        <v>0</v>
      </c>
      <c r="D323">
        <v>0</v>
      </c>
      <c r="E323">
        <v>0</v>
      </c>
      <c r="F323">
        <v>960000</v>
      </c>
      <c r="G323">
        <v>0</v>
      </c>
      <c r="H323">
        <v>960000</v>
      </c>
      <c r="I323">
        <v>0</v>
      </c>
      <c r="J323">
        <v>0</v>
      </c>
      <c r="K323">
        <v>960000</v>
      </c>
      <c r="L323">
        <v>0</v>
      </c>
      <c r="M323">
        <v>0</v>
      </c>
      <c r="N323">
        <v>0</v>
      </c>
      <c r="O323">
        <v>0</v>
      </c>
      <c r="R323">
        <v>1</v>
      </c>
      <c r="S323">
        <v>20</v>
      </c>
      <c r="T323">
        <v>960000</v>
      </c>
      <c r="U323">
        <v>990000</v>
      </c>
      <c r="V323">
        <v>155</v>
      </c>
      <c r="W323">
        <v>1</v>
      </c>
    </row>
    <row r="324" spans="1:23" x14ac:dyDescent="0.25">
      <c r="A324" t="s">
        <v>1018</v>
      </c>
      <c r="B324" t="s">
        <v>1019</v>
      </c>
      <c r="C324">
        <v>47</v>
      </c>
      <c r="D324">
        <v>109537</v>
      </c>
      <c r="E324">
        <v>2277821915</v>
      </c>
      <c r="F324">
        <v>19805</v>
      </c>
      <c r="G324">
        <v>20795</v>
      </c>
      <c r="H324">
        <v>20795</v>
      </c>
      <c r="I324">
        <v>990</v>
      </c>
      <c r="J324">
        <v>5</v>
      </c>
      <c r="K324">
        <v>20532</v>
      </c>
      <c r="L324">
        <v>727</v>
      </c>
      <c r="M324">
        <v>3.67</v>
      </c>
      <c r="N324">
        <v>20795</v>
      </c>
      <c r="O324">
        <v>20795</v>
      </c>
      <c r="P324" t="s">
        <v>1020</v>
      </c>
      <c r="Q324" t="s">
        <v>2954</v>
      </c>
      <c r="R324">
        <v>354</v>
      </c>
      <c r="S324">
        <v>5469819</v>
      </c>
      <c r="T324">
        <v>20795</v>
      </c>
      <c r="U324">
        <v>32032</v>
      </c>
      <c r="V324">
        <v>50000</v>
      </c>
      <c r="W324">
        <v>1</v>
      </c>
    </row>
    <row r="325" spans="1:23" x14ac:dyDescent="0.25">
      <c r="A325" t="s">
        <v>1021</v>
      </c>
      <c r="B325" t="s">
        <v>1022</v>
      </c>
      <c r="C325">
        <v>2749</v>
      </c>
      <c r="D325">
        <v>25651483</v>
      </c>
      <c r="E325">
        <v>142071186953</v>
      </c>
      <c r="F325">
        <v>5379</v>
      </c>
      <c r="G325">
        <v>5400</v>
      </c>
      <c r="H325">
        <v>5647</v>
      </c>
      <c r="I325">
        <v>268</v>
      </c>
      <c r="J325">
        <v>4.9800000000000004</v>
      </c>
      <c r="K325">
        <v>5539</v>
      </c>
      <c r="L325">
        <v>160</v>
      </c>
      <c r="M325">
        <v>2.97</v>
      </c>
      <c r="N325">
        <v>5399</v>
      </c>
      <c r="O325">
        <v>5647</v>
      </c>
      <c r="P325" t="s">
        <v>1023</v>
      </c>
      <c r="Q325" t="s">
        <v>2955</v>
      </c>
      <c r="R325">
        <v>274</v>
      </c>
      <c r="S325">
        <v>5274377</v>
      </c>
      <c r="T325">
        <v>5647</v>
      </c>
      <c r="U325">
        <v>5690</v>
      </c>
      <c r="V325">
        <v>400</v>
      </c>
      <c r="W325">
        <v>1</v>
      </c>
    </row>
    <row r="326" spans="1:23" x14ac:dyDescent="0.25">
      <c r="A326" t="s">
        <v>1024</v>
      </c>
      <c r="B326" t="s">
        <v>1025</v>
      </c>
      <c r="C326">
        <v>0</v>
      </c>
      <c r="D326">
        <v>0</v>
      </c>
      <c r="E326">
        <v>0</v>
      </c>
      <c r="F326">
        <v>40</v>
      </c>
      <c r="G326">
        <v>0</v>
      </c>
      <c r="H326">
        <v>40</v>
      </c>
      <c r="I326">
        <v>0</v>
      </c>
      <c r="J326">
        <v>0</v>
      </c>
      <c r="K326">
        <v>40</v>
      </c>
      <c r="L326">
        <v>0</v>
      </c>
      <c r="M326">
        <v>0</v>
      </c>
      <c r="N326">
        <v>0</v>
      </c>
      <c r="O326">
        <v>0</v>
      </c>
      <c r="R326">
        <v>0</v>
      </c>
      <c r="S326">
        <v>0</v>
      </c>
      <c r="T326">
        <v>0</v>
      </c>
      <c r="U326">
        <v>139</v>
      </c>
      <c r="V326">
        <v>100</v>
      </c>
      <c r="W326">
        <v>1</v>
      </c>
    </row>
    <row r="327" spans="1:23" x14ac:dyDescent="0.25">
      <c r="A327" t="s">
        <v>1026</v>
      </c>
      <c r="B327" t="s">
        <v>1027</v>
      </c>
      <c r="C327">
        <v>31</v>
      </c>
      <c r="D327">
        <v>136027</v>
      </c>
      <c r="E327">
        <v>1743866140</v>
      </c>
      <c r="F327">
        <v>12210</v>
      </c>
      <c r="G327">
        <v>12820</v>
      </c>
      <c r="H327">
        <v>12820</v>
      </c>
      <c r="I327">
        <v>610</v>
      </c>
      <c r="J327">
        <v>5</v>
      </c>
      <c r="K327">
        <v>12420</v>
      </c>
      <c r="L327">
        <v>210</v>
      </c>
      <c r="M327">
        <v>1.72</v>
      </c>
      <c r="N327">
        <v>12820</v>
      </c>
      <c r="O327">
        <v>12820</v>
      </c>
      <c r="P327" t="s">
        <v>1028</v>
      </c>
      <c r="Q327" t="s">
        <v>2956</v>
      </c>
      <c r="R327">
        <v>155</v>
      </c>
      <c r="S327">
        <v>3070073</v>
      </c>
      <c r="T327">
        <v>12820</v>
      </c>
      <c r="U327">
        <v>0</v>
      </c>
      <c r="V327">
        <v>0</v>
      </c>
      <c r="W327">
        <v>0</v>
      </c>
    </row>
    <row r="328" spans="1:23" x14ac:dyDescent="0.25">
      <c r="A328" t="s">
        <v>1029</v>
      </c>
      <c r="B328" t="s">
        <v>1030</v>
      </c>
      <c r="C328">
        <v>202</v>
      </c>
      <c r="D328">
        <v>1772096</v>
      </c>
      <c r="E328">
        <v>8818873335</v>
      </c>
      <c r="F328">
        <v>4957</v>
      </c>
      <c r="G328">
        <v>4995</v>
      </c>
      <c r="H328">
        <v>4919</v>
      </c>
      <c r="I328">
        <v>-38</v>
      </c>
      <c r="J328">
        <v>-0.77</v>
      </c>
      <c r="K328">
        <v>4977</v>
      </c>
      <c r="L328">
        <v>20</v>
      </c>
      <c r="M328">
        <v>0.4</v>
      </c>
      <c r="N328">
        <v>4919</v>
      </c>
      <c r="O328">
        <v>5050</v>
      </c>
      <c r="P328" t="s">
        <v>1031</v>
      </c>
      <c r="Q328" t="s">
        <v>2957</v>
      </c>
      <c r="R328">
        <v>1</v>
      </c>
      <c r="S328">
        <v>1000</v>
      </c>
      <c r="T328">
        <v>4920</v>
      </c>
      <c r="U328">
        <v>4930</v>
      </c>
      <c r="V328">
        <v>14692</v>
      </c>
      <c r="W328">
        <v>1</v>
      </c>
    </row>
    <row r="329" spans="1:23" x14ac:dyDescent="0.25">
      <c r="A329" t="s">
        <v>1032</v>
      </c>
      <c r="B329" t="s">
        <v>1033</v>
      </c>
      <c r="C329">
        <v>406</v>
      </c>
      <c r="D329">
        <v>452221</v>
      </c>
      <c r="E329">
        <v>17887835785</v>
      </c>
      <c r="F329">
        <v>37993</v>
      </c>
      <c r="G329">
        <v>39880</v>
      </c>
      <c r="H329">
        <v>39005</v>
      </c>
      <c r="I329">
        <v>1012</v>
      </c>
      <c r="J329">
        <v>2.66</v>
      </c>
      <c r="K329">
        <v>39556</v>
      </c>
      <c r="L329">
        <v>1563</v>
      </c>
      <c r="M329">
        <v>4.1100000000000003</v>
      </c>
      <c r="N329">
        <v>38800</v>
      </c>
      <c r="O329">
        <v>39880</v>
      </c>
      <c r="P329" t="s">
        <v>1034</v>
      </c>
      <c r="Q329" t="s">
        <v>2611</v>
      </c>
      <c r="R329">
        <v>1</v>
      </c>
      <c r="S329">
        <v>1000</v>
      </c>
      <c r="T329">
        <v>39006</v>
      </c>
      <c r="U329">
        <v>39298</v>
      </c>
      <c r="V329">
        <v>1822</v>
      </c>
      <c r="W329">
        <v>1</v>
      </c>
    </row>
    <row r="330" spans="1:23" x14ac:dyDescent="0.25">
      <c r="A330" t="s">
        <v>1035</v>
      </c>
      <c r="B330" t="s">
        <v>1036</v>
      </c>
      <c r="C330">
        <v>392</v>
      </c>
      <c r="D330">
        <v>1351079</v>
      </c>
      <c r="E330">
        <v>10029198832</v>
      </c>
      <c r="F330">
        <v>7341</v>
      </c>
      <c r="G330">
        <v>7650</v>
      </c>
      <c r="H330">
        <v>7340</v>
      </c>
      <c r="I330">
        <v>-1</v>
      </c>
      <c r="J330">
        <v>-0.01</v>
      </c>
      <c r="K330">
        <v>7423</v>
      </c>
      <c r="L330">
        <v>82</v>
      </c>
      <c r="M330">
        <v>1.1200000000000001</v>
      </c>
      <c r="N330">
        <v>7340</v>
      </c>
      <c r="O330">
        <v>7650</v>
      </c>
      <c r="P330" t="s">
        <v>1037</v>
      </c>
      <c r="Q330" t="s">
        <v>2958</v>
      </c>
      <c r="R330">
        <v>5</v>
      </c>
      <c r="S330">
        <v>7773</v>
      </c>
      <c r="T330">
        <v>7340</v>
      </c>
      <c r="U330">
        <v>7341</v>
      </c>
      <c r="V330">
        <v>19850</v>
      </c>
      <c r="W330">
        <v>1</v>
      </c>
    </row>
    <row r="331" spans="1:23" x14ac:dyDescent="0.25">
      <c r="A331" t="s">
        <v>1038</v>
      </c>
      <c r="B331" t="s">
        <v>1039</v>
      </c>
      <c r="C331">
        <v>2146</v>
      </c>
      <c r="D331">
        <v>22730714</v>
      </c>
      <c r="E331">
        <v>53189808900</v>
      </c>
      <c r="F331">
        <v>2316</v>
      </c>
      <c r="G331">
        <v>2420</v>
      </c>
      <c r="H331">
        <v>2328</v>
      </c>
      <c r="I331">
        <v>12</v>
      </c>
      <c r="J331">
        <v>0.52</v>
      </c>
      <c r="K331">
        <v>2340</v>
      </c>
      <c r="L331">
        <v>24</v>
      </c>
      <c r="M331">
        <v>1.04</v>
      </c>
      <c r="N331">
        <v>2260</v>
      </c>
      <c r="O331">
        <v>2420</v>
      </c>
      <c r="P331" t="s">
        <v>1040</v>
      </c>
      <c r="Q331" t="s">
        <v>1288</v>
      </c>
      <c r="R331">
        <v>1</v>
      </c>
      <c r="S331">
        <v>19025</v>
      </c>
      <c r="T331">
        <v>2321</v>
      </c>
      <c r="U331">
        <v>2328</v>
      </c>
      <c r="V331">
        <v>12876</v>
      </c>
      <c r="W331">
        <v>1</v>
      </c>
    </row>
    <row r="332" spans="1:23" x14ac:dyDescent="0.25">
      <c r="A332" t="s">
        <v>1041</v>
      </c>
      <c r="B332" t="s">
        <v>1042</v>
      </c>
      <c r="C332">
        <v>411</v>
      </c>
      <c r="D332">
        <v>1004577</v>
      </c>
      <c r="E332">
        <v>8626195924</v>
      </c>
      <c r="F332">
        <v>8737</v>
      </c>
      <c r="G332">
        <v>8898</v>
      </c>
      <c r="H332">
        <v>8530</v>
      </c>
      <c r="I332">
        <v>-207</v>
      </c>
      <c r="J332">
        <v>-2.37</v>
      </c>
      <c r="K332">
        <v>8587</v>
      </c>
      <c r="L332">
        <v>-150</v>
      </c>
      <c r="M332">
        <v>-1.72</v>
      </c>
      <c r="N332">
        <v>8520</v>
      </c>
      <c r="O332">
        <v>8898</v>
      </c>
      <c r="P332" t="s">
        <v>1043</v>
      </c>
      <c r="Q332" t="s">
        <v>2959</v>
      </c>
      <c r="R332">
        <v>1</v>
      </c>
      <c r="S332">
        <v>603</v>
      </c>
      <c r="T332">
        <v>8530</v>
      </c>
      <c r="U332">
        <v>8538</v>
      </c>
      <c r="V332">
        <v>900</v>
      </c>
      <c r="W332">
        <v>1</v>
      </c>
    </row>
    <row r="333" spans="1:23" x14ac:dyDescent="0.25">
      <c r="A333" t="s">
        <v>1044</v>
      </c>
      <c r="B333" t="s">
        <v>1045</v>
      </c>
      <c r="C333">
        <v>260</v>
      </c>
      <c r="D333">
        <v>855397</v>
      </c>
      <c r="E333">
        <v>7707830412</v>
      </c>
      <c r="F333">
        <v>8887</v>
      </c>
      <c r="G333">
        <v>9090</v>
      </c>
      <c r="H333">
        <v>8999</v>
      </c>
      <c r="I333">
        <v>112</v>
      </c>
      <c r="J333">
        <v>1.26</v>
      </c>
      <c r="K333">
        <v>9011</v>
      </c>
      <c r="L333">
        <v>124</v>
      </c>
      <c r="M333">
        <v>1.4</v>
      </c>
      <c r="N333">
        <v>8560</v>
      </c>
      <c r="O333">
        <v>9090</v>
      </c>
      <c r="P333" t="s">
        <v>1046</v>
      </c>
      <c r="Q333" t="s">
        <v>2960</v>
      </c>
      <c r="R333">
        <v>3</v>
      </c>
      <c r="S333">
        <v>4682</v>
      </c>
      <c r="T333">
        <v>8999</v>
      </c>
      <c r="U333">
        <v>9035</v>
      </c>
      <c r="V333">
        <v>4574</v>
      </c>
      <c r="W333">
        <v>2</v>
      </c>
    </row>
    <row r="334" spans="1:23" x14ac:dyDescent="0.25">
      <c r="A334" t="s">
        <v>1047</v>
      </c>
      <c r="B334" t="s">
        <v>1048</v>
      </c>
      <c r="C334">
        <v>0</v>
      </c>
      <c r="D334">
        <v>0</v>
      </c>
      <c r="E334">
        <v>0</v>
      </c>
      <c r="F334">
        <v>300</v>
      </c>
      <c r="G334">
        <v>0</v>
      </c>
      <c r="H334">
        <v>300</v>
      </c>
      <c r="I334">
        <v>0</v>
      </c>
      <c r="J334">
        <v>0</v>
      </c>
      <c r="K334">
        <v>300</v>
      </c>
      <c r="L334">
        <v>0</v>
      </c>
      <c r="M334">
        <v>0</v>
      </c>
      <c r="N334">
        <v>0</v>
      </c>
      <c r="O334">
        <v>0</v>
      </c>
      <c r="R334">
        <v>1</v>
      </c>
      <c r="S334">
        <v>10</v>
      </c>
      <c r="T334">
        <v>200</v>
      </c>
      <c r="U334">
        <v>500</v>
      </c>
      <c r="V334">
        <v>15</v>
      </c>
      <c r="W334">
        <v>1</v>
      </c>
    </row>
    <row r="335" spans="1:23" x14ac:dyDescent="0.25">
      <c r="A335" t="s">
        <v>1049</v>
      </c>
      <c r="B335" t="s">
        <v>1050</v>
      </c>
      <c r="C335">
        <v>1546</v>
      </c>
      <c r="D335">
        <v>16822465</v>
      </c>
      <c r="E335">
        <v>45222053111</v>
      </c>
      <c r="F335">
        <v>2637</v>
      </c>
      <c r="G335">
        <v>2749</v>
      </c>
      <c r="H335">
        <v>2650</v>
      </c>
      <c r="I335">
        <v>13</v>
      </c>
      <c r="J335">
        <v>0.49</v>
      </c>
      <c r="K335">
        <v>2688</v>
      </c>
      <c r="L335">
        <v>51</v>
      </c>
      <c r="M335">
        <v>1.93</v>
      </c>
      <c r="N335">
        <v>2640</v>
      </c>
      <c r="O335">
        <v>2749</v>
      </c>
      <c r="P335" t="s">
        <v>1051</v>
      </c>
      <c r="Q335" t="s">
        <v>2961</v>
      </c>
      <c r="R335">
        <v>4</v>
      </c>
      <c r="S335">
        <v>25170</v>
      </c>
      <c r="T335">
        <v>2642</v>
      </c>
      <c r="U335">
        <v>2644</v>
      </c>
      <c r="V335">
        <v>19112</v>
      </c>
      <c r="W335">
        <v>1</v>
      </c>
    </row>
    <row r="336" spans="1:23" x14ac:dyDescent="0.25">
      <c r="A336" t="s">
        <v>2651</v>
      </c>
      <c r="B336" t="s">
        <v>2652</v>
      </c>
      <c r="C336">
        <v>510</v>
      </c>
      <c r="D336">
        <v>3211124</v>
      </c>
      <c r="E336">
        <v>24334553576</v>
      </c>
      <c r="F336">
        <v>7670</v>
      </c>
      <c r="G336">
        <v>7890</v>
      </c>
      <c r="H336">
        <v>7600</v>
      </c>
      <c r="I336">
        <v>-70</v>
      </c>
      <c r="J336">
        <v>-0.91</v>
      </c>
      <c r="K336">
        <v>7578</v>
      </c>
      <c r="L336">
        <v>-92</v>
      </c>
      <c r="M336">
        <v>-1.2</v>
      </c>
      <c r="N336">
        <v>7410</v>
      </c>
      <c r="O336">
        <v>7890</v>
      </c>
      <c r="P336" t="s">
        <v>2653</v>
      </c>
      <c r="Q336" t="s">
        <v>2962</v>
      </c>
      <c r="R336">
        <v>1</v>
      </c>
      <c r="S336">
        <v>50000</v>
      </c>
      <c r="T336">
        <v>7590</v>
      </c>
      <c r="U336">
        <v>7600</v>
      </c>
      <c r="V336">
        <v>2164</v>
      </c>
      <c r="W336">
        <v>1</v>
      </c>
    </row>
    <row r="337" spans="1:23" x14ac:dyDescent="0.25">
      <c r="A337" t="s">
        <v>1052</v>
      </c>
      <c r="B337" t="s">
        <v>1053</v>
      </c>
      <c r="C337">
        <v>0</v>
      </c>
      <c r="D337">
        <v>0</v>
      </c>
      <c r="E337">
        <v>0</v>
      </c>
      <c r="F337">
        <v>1</v>
      </c>
      <c r="G337">
        <v>0</v>
      </c>
      <c r="H337">
        <v>1</v>
      </c>
      <c r="I337">
        <v>0</v>
      </c>
      <c r="J337">
        <v>0</v>
      </c>
      <c r="K337">
        <v>1</v>
      </c>
      <c r="L337">
        <v>0</v>
      </c>
      <c r="M337">
        <v>0</v>
      </c>
      <c r="N337">
        <v>0</v>
      </c>
      <c r="O337">
        <v>0</v>
      </c>
      <c r="R337">
        <v>1</v>
      </c>
      <c r="S337">
        <v>10</v>
      </c>
      <c r="T337">
        <v>1</v>
      </c>
      <c r="U337">
        <v>0</v>
      </c>
      <c r="V337">
        <v>0</v>
      </c>
      <c r="W337">
        <v>0</v>
      </c>
    </row>
    <row r="338" spans="1:23" x14ac:dyDescent="0.25">
      <c r="A338" t="s">
        <v>1054</v>
      </c>
      <c r="B338" t="s">
        <v>1055</v>
      </c>
      <c r="C338">
        <v>22</v>
      </c>
      <c r="D338">
        <v>190</v>
      </c>
      <c r="E338">
        <v>77373219</v>
      </c>
      <c r="F338">
        <v>412422</v>
      </c>
      <c r="G338">
        <v>400000</v>
      </c>
      <c r="H338">
        <v>402000</v>
      </c>
      <c r="I338">
        <v>-10422</v>
      </c>
      <c r="J338">
        <v>-2.5299999999999998</v>
      </c>
      <c r="K338">
        <v>407227</v>
      </c>
      <c r="L338">
        <v>-5195</v>
      </c>
      <c r="M338">
        <v>-1.26</v>
      </c>
      <c r="N338">
        <v>396044</v>
      </c>
      <c r="O338">
        <v>412000</v>
      </c>
      <c r="R338">
        <v>1</v>
      </c>
      <c r="S338">
        <v>9</v>
      </c>
      <c r="T338">
        <v>402011</v>
      </c>
      <c r="U338">
        <v>411888</v>
      </c>
      <c r="V338">
        <v>1</v>
      </c>
      <c r="W338">
        <v>1</v>
      </c>
    </row>
    <row r="339" spans="1:23" x14ac:dyDescent="0.25">
      <c r="A339" t="s">
        <v>1056</v>
      </c>
      <c r="B339" t="s">
        <v>1057</v>
      </c>
      <c r="C339">
        <v>2716</v>
      </c>
      <c r="D339">
        <v>9505252</v>
      </c>
      <c r="E339">
        <v>96113038203</v>
      </c>
      <c r="F339">
        <v>10374</v>
      </c>
      <c r="G339">
        <v>9800</v>
      </c>
      <c r="H339">
        <v>10399</v>
      </c>
      <c r="I339">
        <v>25</v>
      </c>
      <c r="J339">
        <v>0.24</v>
      </c>
      <c r="K339">
        <v>10112</v>
      </c>
      <c r="L339">
        <v>-262</v>
      </c>
      <c r="M339">
        <v>-2.5299999999999998</v>
      </c>
      <c r="N339">
        <v>9500</v>
      </c>
      <c r="O339">
        <v>10800</v>
      </c>
      <c r="P339" t="s">
        <v>1058</v>
      </c>
      <c r="Q339" t="s">
        <v>2963</v>
      </c>
      <c r="R339">
        <v>1</v>
      </c>
      <c r="S339">
        <v>2000</v>
      </c>
      <c r="T339">
        <v>10397</v>
      </c>
      <c r="U339">
        <v>10399</v>
      </c>
      <c r="V339">
        <v>22963</v>
      </c>
      <c r="W339">
        <v>3</v>
      </c>
    </row>
    <row r="340" spans="1:23" x14ac:dyDescent="0.25">
      <c r="A340" t="s">
        <v>1059</v>
      </c>
      <c r="B340" t="s">
        <v>1060</v>
      </c>
      <c r="C340">
        <v>99</v>
      </c>
      <c r="D340">
        <v>4092366</v>
      </c>
      <c r="E340">
        <v>41034771160</v>
      </c>
      <c r="F340">
        <v>10023</v>
      </c>
      <c r="G340">
        <v>10031</v>
      </c>
      <c r="H340">
        <v>10027</v>
      </c>
      <c r="I340">
        <v>4</v>
      </c>
      <c r="J340">
        <v>0.04</v>
      </c>
      <c r="K340">
        <v>10027</v>
      </c>
      <c r="L340">
        <v>4</v>
      </c>
      <c r="M340">
        <v>0.04</v>
      </c>
      <c r="N340">
        <v>10025</v>
      </c>
      <c r="O340">
        <v>10031</v>
      </c>
      <c r="R340">
        <v>8</v>
      </c>
      <c r="S340">
        <v>624822</v>
      </c>
      <c r="T340">
        <v>10025</v>
      </c>
      <c r="U340">
        <v>10027</v>
      </c>
      <c r="V340">
        <v>452398</v>
      </c>
      <c r="W340">
        <v>6</v>
      </c>
    </row>
    <row r="341" spans="1:23" x14ac:dyDescent="0.25">
      <c r="A341" t="s">
        <v>1061</v>
      </c>
      <c r="B341" t="s">
        <v>1062</v>
      </c>
      <c r="C341">
        <v>0</v>
      </c>
      <c r="D341">
        <v>0</v>
      </c>
      <c r="E341">
        <v>0</v>
      </c>
      <c r="F341">
        <v>250</v>
      </c>
      <c r="G341">
        <v>0</v>
      </c>
      <c r="H341">
        <v>250</v>
      </c>
      <c r="I341">
        <v>0</v>
      </c>
      <c r="J341">
        <v>0</v>
      </c>
      <c r="K341">
        <v>250</v>
      </c>
      <c r="L341">
        <v>0</v>
      </c>
      <c r="M341">
        <v>0</v>
      </c>
      <c r="N341">
        <v>0</v>
      </c>
      <c r="O341">
        <v>0</v>
      </c>
      <c r="R341">
        <v>1</v>
      </c>
      <c r="S341">
        <v>100</v>
      </c>
      <c r="T341">
        <v>201</v>
      </c>
      <c r="U341">
        <v>350</v>
      </c>
      <c r="V341">
        <v>1000</v>
      </c>
      <c r="W341">
        <v>10</v>
      </c>
    </row>
    <row r="342" spans="1:23" x14ac:dyDescent="0.25">
      <c r="A342" t="s">
        <v>2654</v>
      </c>
      <c r="B342" t="s">
        <v>2655</v>
      </c>
      <c r="C342">
        <v>0</v>
      </c>
      <c r="D342">
        <v>0</v>
      </c>
      <c r="E342">
        <v>0</v>
      </c>
      <c r="F342">
        <v>1</v>
      </c>
      <c r="G342">
        <v>0</v>
      </c>
      <c r="H342">
        <v>1</v>
      </c>
      <c r="I342">
        <v>0</v>
      </c>
      <c r="J342">
        <v>0</v>
      </c>
      <c r="K342">
        <v>1</v>
      </c>
      <c r="L342">
        <v>0</v>
      </c>
      <c r="M342">
        <v>0</v>
      </c>
      <c r="N342">
        <v>0</v>
      </c>
      <c r="O342">
        <v>0</v>
      </c>
      <c r="R342">
        <v>1</v>
      </c>
      <c r="S342">
        <v>100</v>
      </c>
      <c r="T342">
        <v>11</v>
      </c>
      <c r="U342">
        <v>0</v>
      </c>
      <c r="V342">
        <v>0</v>
      </c>
      <c r="W342">
        <v>0</v>
      </c>
    </row>
    <row r="343" spans="1:23" x14ac:dyDescent="0.25">
      <c r="A343" t="s">
        <v>1063</v>
      </c>
      <c r="B343" t="s">
        <v>1064</v>
      </c>
      <c r="C343">
        <v>27</v>
      </c>
      <c r="D343">
        <v>223314</v>
      </c>
      <c r="E343">
        <v>2010268688</v>
      </c>
      <c r="F343">
        <v>8583</v>
      </c>
      <c r="G343">
        <v>9002</v>
      </c>
      <c r="H343">
        <v>9002</v>
      </c>
      <c r="I343">
        <v>419</v>
      </c>
      <c r="J343">
        <v>4.88</v>
      </c>
      <c r="K343">
        <v>9002</v>
      </c>
      <c r="L343">
        <v>419</v>
      </c>
      <c r="M343">
        <v>4.88</v>
      </c>
      <c r="N343">
        <v>9000</v>
      </c>
      <c r="O343">
        <v>9002</v>
      </c>
      <c r="P343" t="s">
        <v>1065</v>
      </c>
      <c r="Q343" t="s">
        <v>2964</v>
      </c>
      <c r="R343">
        <v>1</v>
      </c>
      <c r="S343">
        <v>1000</v>
      </c>
      <c r="T343">
        <v>8710</v>
      </c>
      <c r="U343">
        <v>9002</v>
      </c>
      <c r="V343">
        <v>155670</v>
      </c>
      <c r="W343">
        <v>12</v>
      </c>
    </row>
    <row r="344" spans="1:23" x14ac:dyDescent="0.25">
      <c r="A344" t="s">
        <v>1067</v>
      </c>
      <c r="B344" t="s">
        <v>1068</v>
      </c>
      <c r="C344">
        <v>1473</v>
      </c>
      <c r="D344">
        <v>5849493</v>
      </c>
      <c r="E344">
        <v>45618875544</v>
      </c>
      <c r="F344">
        <v>7640</v>
      </c>
      <c r="G344">
        <v>8000</v>
      </c>
      <c r="H344">
        <v>7696</v>
      </c>
      <c r="I344">
        <v>56</v>
      </c>
      <c r="J344">
        <v>0.73</v>
      </c>
      <c r="K344">
        <v>7799</v>
      </c>
      <c r="L344">
        <v>159</v>
      </c>
      <c r="M344">
        <v>2.08</v>
      </c>
      <c r="N344">
        <v>7641</v>
      </c>
      <c r="O344">
        <v>8020</v>
      </c>
      <c r="P344" t="s">
        <v>1069</v>
      </c>
      <c r="Q344" t="s">
        <v>2965</v>
      </c>
      <c r="R344">
        <v>2</v>
      </c>
      <c r="S344">
        <v>12057</v>
      </c>
      <c r="T344">
        <v>7696</v>
      </c>
      <c r="U344">
        <v>7700</v>
      </c>
      <c r="V344">
        <v>42992</v>
      </c>
      <c r="W344">
        <v>8</v>
      </c>
    </row>
    <row r="345" spans="1:23" x14ac:dyDescent="0.25">
      <c r="A345" t="s">
        <v>1070</v>
      </c>
      <c r="B345" t="s">
        <v>1071</v>
      </c>
      <c r="C345">
        <v>987</v>
      </c>
      <c r="D345">
        <v>7647954</v>
      </c>
      <c r="E345">
        <v>38808518576</v>
      </c>
      <c r="F345">
        <v>5223</v>
      </c>
      <c r="G345">
        <v>5300</v>
      </c>
      <c r="H345">
        <v>5110</v>
      </c>
      <c r="I345">
        <v>-113</v>
      </c>
      <c r="J345">
        <v>-2.16</v>
      </c>
      <c r="K345">
        <v>5074</v>
      </c>
      <c r="L345">
        <v>-149</v>
      </c>
      <c r="M345">
        <v>-2.85</v>
      </c>
      <c r="N345">
        <v>5000</v>
      </c>
      <c r="O345">
        <v>5300</v>
      </c>
      <c r="P345" t="s">
        <v>475</v>
      </c>
      <c r="Q345" t="s">
        <v>2966</v>
      </c>
      <c r="R345">
        <v>1</v>
      </c>
      <c r="S345">
        <v>4095</v>
      </c>
      <c r="T345">
        <v>5082</v>
      </c>
      <c r="U345">
        <v>5109</v>
      </c>
      <c r="V345">
        <v>14000</v>
      </c>
      <c r="W345">
        <v>1</v>
      </c>
    </row>
    <row r="346" spans="1:23" x14ac:dyDescent="0.25">
      <c r="A346" t="s">
        <v>1073</v>
      </c>
      <c r="B346" t="s">
        <v>2657</v>
      </c>
      <c r="C346">
        <v>0</v>
      </c>
      <c r="D346">
        <v>0</v>
      </c>
      <c r="E346">
        <v>0</v>
      </c>
      <c r="F346">
        <v>2250</v>
      </c>
      <c r="G346">
        <v>0</v>
      </c>
      <c r="H346">
        <v>2250</v>
      </c>
      <c r="I346">
        <v>0</v>
      </c>
      <c r="J346">
        <v>0</v>
      </c>
      <c r="K346">
        <v>2250</v>
      </c>
      <c r="L346">
        <v>0</v>
      </c>
      <c r="M346">
        <v>0</v>
      </c>
      <c r="N346">
        <v>0</v>
      </c>
      <c r="O346">
        <v>0</v>
      </c>
      <c r="R346">
        <v>1</v>
      </c>
      <c r="S346">
        <v>40</v>
      </c>
      <c r="T346">
        <v>1010</v>
      </c>
      <c r="U346">
        <v>2550</v>
      </c>
      <c r="V346">
        <v>50</v>
      </c>
      <c r="W346">
        <v>1</v>
      </c>
    </row>
    <row r="347" spans="1:23" x14ac:dyDescent="0.25">
      <c r="A347" t="s">
        <v>1074</v>
      </c>
      <c r="B347" t="s">
        <v>1075</v>
      </c>
      <c r="C347">
        <v>40</v>
      </c>
      <c r="D347">
        <v>18414</v>
      </c>
      <c r="E347">
        <v>537039660</v>
      </c>
      <c r="F347">
        <v>29057</v>
      </c>
      <c r="G347">
        <v>28300</v>
      </c>
      <c r="H347">
        <v>29798</v>
      </c>
      <c r="I347">
        <v>741</v>
      </c>
      <c r="J347">
        <v>2.5499999999999998</v>
      </c>
      <c r="K347">
        <v>29140</v>
      </c>
      <c r="L347">
        <v>83</v>
      </c>
      <c r="M347">
        <v>0.28999999999999998</v>
      </c>
      <c r="N347">
        <v>28200</v>
      </c>
      <c r="O347">
        <v>29799</v>
      </c>
      <c r="P347" t="s">
        <v>1076</v>
      </c>
      <c r="Q347" t="s">
        <v>2967</v>
      </c>
      <c r="R347">
        <v>1</v>
      </c>
      <c r="S347">
        <v>35</v>
      </c>
      <c r="T347">
        <v>29041</v>
      </c>
      <c r="U347">
        <v>29798</v>
      </c>
      <c r="V347">
        <v>770</v>
      </c>
      <c r="W347">
        <v>1</v>
      </c>
    </row>
    <row r="348" spans="1:23" x14ac:dyDescent="0.25">
      <c r="A348" t="s">
        <v>1077</v>
      </c>
      <c r="B348" t="s">
        <v>1078</v>
      </c>
      <c r="C348">
        <v>92</v>
      </c>
      <c r="D348">
        <v>1196844</v>
      </c>
      <c r="E348">
        <v>7173882936</v>
      </c>
      <c r="F348">
        <v>5709</v>
      </c>
      <c r="G348">
        <v>5994</v>
      </c>
      <c r="H348">
        <v>5994</v>
      </c>
      <c r="I348">
        <v>285</v>
      </c>
      <c r="J348">
        <v>4.99</v>
      </c>
      <c r="K348">
        <v>5882</v>
      </c>
      <c r="L348">
        <v>173</v>
      </c>
      <c r="M348">
        <v>3.03</v>
      </c>
      <c r="N348">
        <v>5994</v>
      </c>
      <c r="O348">
        <v>5994</v>
      </c>
      <c r="P348" t="s">
        <v>1079</v>
      </c>
      <c r="Q348" t="s">
        <v>2751</v>
      </c>
      <c r="R348">
        <v>257</v>
      </c>
      <c r="S348">
        <v>8155181</v>
      </c>
      <c r="T348">
        <v>5994</v>
      </c>
      <c r="U348">
        <v>6198</v>
      </c>
      <c r="V348">
        <v>2000</v>
      </c>
      <c r="W348">
        <v>1</v>
      </c>
    </row>
    <row r="349" spans="1:23" x14ac:dyDescent="0.25">
      <c r="A349" t="s">
        <v>1080</v>
      </c>
      <c r="B349" t="s">
        <v>1081</v>
      </c>
      <c r="C349">
        <v>1421</v>
      </c>
      <c r="D349">
        <v>11923144</v>
      </c>
      <c r="E349">
        <v>36237992163</v>
      </c>
      <c r="F349">
        <v>3050</v>
      </c>
      <c r="G349">
        <v>3110</v>
      </c>
      <c r="H349">
        <v>3090</v>
      </c>
      <c r="I349">
        <v>40</v>
      </c>
      <c r="J349">
        <v>1.31</v>
      </c>
      <c r="K349">
        <v>3039</v>
      </c>
      <c r="L349">
        <v>-11</v>
      </c>
      <c r="M349">
        <v>-0.36</v>
      </c>
      <c r="N349">
        <v>2901</v>
      </c>
      <c r="O349">
        <v>3110</v>
      </c>
      <c r="P349" t="s">
        <v>1082</v>
      </c>
      <c r="Q349" t="s">
        <v>2968</v>
      </c>
      <c r="R349">
        <v>1</v>
      </c>
      <c r="S349">
        <v>30000</v>
      </c>
      <c r="T349">
        <v>3082</v>
      </c>
      <c r="U349">
        <v>3090</v>
      </c>
      <c r="V349">
        <v>26217</v>
      </c>
      <c r="W349">
        <v>2</v>
      </c>
    </row>
    <row r="350" spans="1:23" x14ac:dyDescent="0.25">
      <c r="A350" t="s">
        <v>1083</v>
      </c>
      <c r="B350" t="s">
        <v>1084</v>
      </c>
      <c r="C350">
        <v>127</v>
      </c>
      <c r="D350">
        <v>1279704</v>
      </c>
      <c r="E350">
        <v>17159138187</v>
      </c>
      <c r="F350">
        <v>12771</v>
      </c>
      <c r="G350">
        <v>13408</v>
      </c>
      <c r="H350">
        <v>13409</v>
      </c>
      <c r="I350">
        <v>638</v>
      </c>
      <c r="J350">
        <v>5</v>
      </c>
      <c r="K350">
        <v>13409</v>
      </c>
      <c r="L350">
        <v>638</v>
      </c>
      <c r="M350">
        <v>5</v>
      </c>
      <c r="N350">
        <v>13408</v>
      </c>
      <c r="O350">
        <v>13409</v>
      </c>
      <c r="P350" t="s">
        <v>1085</v>
      </c>
      <c r="Q350" t="s">
        <v>2969</v>
      </c>
      <c r="R350">
        <v>140</v>
      </c>
      <c r="S350">
        <v>3120869</v>
      </c>
      <c r="T350">
        <v>13409</v>
      </c>
      <c r="U350">
        <v>18550</v>
      </c>
      <c r="V350">
        <v>100000</v>
      </c>
      <c r="W350">
        <v>1</v>
      </c>
    </row>
    <row r="351" spans="1:23" x14ac:dyDescent="0.25">
      <c r="A351" t="s">
        <v>1086</v>
      </c>
      <c r="B351" t="s">
        <v>1087</v>
      </c>
      <c r="C351">
        <v>0</v>
      </c>
      <c r="D351">
        <v>0</v>
      </c>
      <c r="E351">
        <v>0</v>
      </c>
      <c r="F351">
        <v>10876</v>
      </c>
      <c r="G351">
        <v>0</v>
      </c>
      <c r="H351">
        <v>11000</v>
      </c>
      <c r="I351">
        <v>124</v>
      </c>
      <c r="J351">
        <v>1.1399999999999999</v>
      </c>
      <c r="K351">
        <v>10876</v>
      </c>
      <c r="L351">
        <v>0</v>
      </c>
      <c r="M351">
        <v>0</v>
      </c>
      <c r="N351">
        <v>0</v>
      </c>
      <c r="O351">
        <v>0</v>
      </c>
      <c r="P351" t="s">
        <v>1088</v>
      </c>
      <c r="Q351" t="s">
        <v>2658</v>
      </c>
      <c r="R351">
        <v>0</v>
      </c>
      <c r="S351">
        <v>0</v>
      </c>
      <c r="T351">
        <v>0</v>
      </c>
      <c r="U351">
        <v>14999</v>
      </c>
      <c r="V351">
        <v>20000</v>
      </c>
      <c r="W351">
        <v>1</v>
      </c>
    </row>
    <row r="352" spans="1:23" x14ac:dyDescent="0.25">
      <c r="A352" t="s">
        <v>1089</v>
      </c>
      <c r="B352" t="s">
        <v>1090</v>
      </c>
      <c r="C352">
        <v>0</v>
      </c>
      <c r="D352">
        <v>0</v>
      </c>
      <c r="E352">
        <v>0</v>
      </c>
      <c r="F352">
        <v>1</v>
      </c>
      <c r="G352">
        <v>0</v>
      </c>
      <c r="H352">
        <v>1</v>
      </c>
      <c r="I352">
        <v>0</v>
      </c>
      <c r="J352">
        <v>0</v>
      </c>
      <c r="K352">
        <v>1</v>
      </c>
      <c r="L352">
        <v>0</v>
      </c>
      <c r="M352">
        <v>0</v>
      </c>
      <c r="N352">
        <v>0</v>
      </c>
      <c r="O352">
        <v>0</v>
      </c>
      <c r="R352">
        <v>1</v>
      </c>
      <c r="S352">
        <v>100</v>
      </c>
      <c r="T352">
        <v>5</v>
      </c>
      <c r="U352">
        <v>0</v>
      </c>
      <c r="V352">
        <v>0</v>
      </c>
      <c r="W352">
        <v>0</v>
      </c>
    </row>
    <row r="353" spans="1:23" x14ac:dyDescent="0.25">
      <c r="A353" t="s">
        <v>1091</v>
      </c>
      <c r="B353" t="s">
        <v>1092</v>
      </c>
      <c r="C353">
        <v>0</v>
      </c>
      <c r="D353">
        <v>0</v>
      </c>
      <c r="E353">
        <v>0</v>
      </c>
      <c r="F353">
        <v>1000000</v>
      </c>
      <c r="G353">
        <v>0</v>
      </c>
      <c r="H353">
        <v>1000000</v>
      </c>
      <c r="I353">
        <v>0</v>
      </c>
      <c r="J353">
        <v>0</v>
      </c>
      <c r="K353">
        <v>1000000</v>
      </c>
      <c r="L353">
        <v>0</v>
      </c>
      <c r="M353">
        <v>0</v>
      </c>
      <c r="N353">
        <v>0</v>
      </c>
      <c r="O353">
        <v>0</v>
      </c>
      <c r="R353">
        <v>1</v>
      </c>
      <c r="S353">
        <v>750</v>
      </c>
      <c r="T353">
        <v>1100000</v>
      </c>
      <c r="U353">
        <v>0</v>
      </c>
      <c r="V353">
        <v>0</v>
      </c>
      <c r="W353">
        <v>0</v>
      </c>
    </row>
    <row r="354" spans="1:23" x14ac:dyDescent="0.25">
      <c r="A354" t="s">
        <v>1093</v>
      </c>
      <c r="B354" t="s">
        <v>1094</v>
      </c>
      <c r="C354">
        <v>1046</v>
      </c>
      <c r="D354">
        <v>13821355</v>
      </c>
      <c r="E354">
        <v>36313318298</v>
      </c>
      <c r="F354">
        <v>2576</v>
      </c>
      <c r="G354">
        <v>2607</v>
      </c>
      <c r="H354">
        <v>2600</v>
      </c>
      <c r="I354">
        <v>24</v>
      </c>
      <c r="J354">
        <v>0.93</v>
      </c>
      <c r="K354">
        <v>2627</v>
      </c>
      <c r="L354">
        <v>51</v>
      </c>
      <c r="M354">
        <v>1.98</v>
      </c>
      <c r="N354">
        <v>2600</v>
      </c>
      <c r="O354">
        <v>2656</v>
      </c>
      <c r="P354" t="s">
        <v>1095</v>
      </c>
      <c r="Q354" t="s">
        <v>369</v>
      </c>
      <c r="R354">
        <v>4</v>
      </c>
      <c r="S354">
        <v>51800</v>
      </c>
      <c r="T354">
        <v>2598</v>
      </c>
      <c r="U354">
        <v>2600</v>
      </c>
      <c r="V354">
        <v>35140</v>
      </c>
      <c r="W354">
        <v>3</v>
      </c>
    </row>
    <row r="355" spans="1:23" x14ac:dyDescent="0.25">
      <c r="A355" t="s">
        <v>1096</v>
      </c>
      <c r="B355" t="s">
        <v>1097</v>
      </c>
      <c r="C355">
        <v>0</v>
      </c>
      <c r="D355">
        <v>0</v>
      </c>
      <c r="E355">
        <v>0</v>
      </c>
      <c r="F355">
        <v>500</v>
      </c>
      <c r="G355">
        <v>0</v>
      </c>
      <c r="H355">
        <v>500</v>
      </c>
      <c r="I355">
        <v>0</v>
      </c>
      <c r="J355">
        <v>0</v>
      </c>
      <c r="K355">
        <v>500</v>
      </c>
      <c r="L355">
        <v>0</v>
      </c>
      <c r="M355">
        <v>0</v>
      </c>
      <c r="N355">
        <v>0</v>
      </c>
      <c r="O355">
        <v>0</v>
      </c>
      <c r="R355">
        <v>1</v>
      </c>
      <c r="S355">
        <v>30</v>
      </c>
      <c r="T355">
        <v>252</v>
      </c>
      <c r="U355">
        <v>0</v>
      </c>
      <c r="V355">
        <v>0</v>
      </c>
      <c r="W355">
        <v>0</v>
      </c>
    </row>
    <row r="356" spans="1:23" x14ac:dyDescent="0.25">
      <c r="A356" t="s">
        <v>1098</v>
      </c>
      <c r="B356" t="s">
        <v>1099</v>
      </c>
      <c r="C356">
        <v>178</v>
      </c>
      <c r="D356">
        <v>834719</v>
      </c>
      <c r="E356">
        <v>25952248429</v>
      </c>
      <c r="F356">
        <v>29611</v>
      </c>
      <c r="G356">
        <v>31091</v>
      </c>
      <c r="H356">
        <v>31091</v>
      </c>
      <c r="I356">
        <v>1480</v>
      </c>
      <c r="J356">
        <v>5</v>
      </c>
      <c r="K356">
        <v>31091</v>
      </c>
      <c r="L356">
        <v>1480</v>
      </c>
      <c r="M356">
        <v>5</v>
      </c>
      <c r="N356">
        <v>31091</v>
      </c>
      <c r="O356">
        <v>31091</v>
      </c>
      <c r="P356" t="s">
        <v>1100</v>
      </c>
      <c r="Q356" t="s">
        <v>2970</v>
      </c>
      <c r="R356">
        <v>32</v>
      </c>
      <c r="S356">
        <v>174307</v>
      </c>
      <c r="T356">
        <v>31091</v>
      </c>
      <c r="U356">
        <v>0</v>
      </c>
      <c r="V356">
        <v>0</v>
      </c>
      <c r="W356">
        <v>0</v>
      </c>
    </row>
    <row r="357" spans="1:23" x14ac:dyDescent="0.25">
      <c r="A357" t="s">
        <v>1101</v>
      </c>
      <c r="B357" t="s">
        <v>1102</v>
      </c>
      <c r="C357">
        <v>0</v>
      </c>
      <c r="D357">
        <v>0</v>
      </c>
      <c r="E357">
        <v>0</v>
      </c>
      <c r="F357">
        <v>160</v>
      </c>
      <c r="G357">
        <v>0</v>
      </c>
      <c r="H357">
        <v>160</v>
      </c>
      <c r="I357">
        <v>0</v>
      </c>
      <c r="J357">
        <v>0</v>
      </c>
      <c r="K357">
        <v>160</v>
      </c>
      <c r="L357">
        <v>0</v>
      </c>
      <c r="M357">
        <v>0</v>
      </c>
      <c r="N357">
        <v>0</v>
      </c>
      <c r="O357">
        <v>0</v>
      </c>
      <c r="R357">
        <v>1</v>
      </c>
      <c r="S357">
        <v>30</v>
      </c>
      <c r="T357">
        <v>96</v>
      </c>
      <c r="U357">
        <v>0</v>
      </c>
      <c r="V357">
        <v>0</v>
      </c>
      <c r="W357">
        <v>0</v>
      </c>
    </row>
    <row r="358" spans="1:23" x14ac:dyDescent="0.25">
      <c r="A358" t="s">
        <v>1103</v>
      </c>
      <c r="B358" t="s">
        <v>1104</v>
      </c>
      <c r="C358">
        <v>0</v>
      </c>
      <c r="D358">
        <v>0</v>
      </c>
      <c r="E358">
        <v>0</v>
      </c>
      <c r="F358">
        <v>600</v>
      </c>
      <c r="G358">
        <v>0</v>
      </c>
      <c r="H358">
        <v>600</v>
      </c>
      <c r="I358">
        <v>0</v>
      </c>
      <c r="J358">
        <v>0</v>
      </c>
      <c r="K358">
        <v>600</v>
      </c>
      <c r="L358">
        <v>0</v>
      </c>
      <c r="M358">
        <v>0</v>
      </c>
      <c r="N358">
        <v>0</v>
      </c>
      <c r="O358">
        <v>0</v>
      </c>
      <c r="R358">
        <v>1</v>
      </c>
      <c r="S358">
        <v>100</v>
      </c>
      <c r="T358">
        <v>20</v>
      </c>
      <c r="U358">
        <v>2490</v>
      </c>
      <c r="V358">
        <v>16</v>
      </c>
      <c r="W358">
        <v>1</v>
      </c>
    </row>
    <row r="359" spans="1:23" x14ac:dyDescent="0.25">
      <c r="A359" t="s">
        <v>1105</v>
      </c>
      <c r="B359" t="s">
        <v>1106</v>
      </c>
      <c r="C359">
        <v>414</v>
      </c>
      <c r="D359">
        <v>4703925</v>
      </c>
      <c r="E359">
        <v>8604222669</v>
      </c>
      <c r="F359">
        <v>1744</v>
      </c>
      <c r="G359">
        <v>1831</v>
      </c>
      <c r="H359">
        <v>1830</v>
      </c>
      <c r="I359">
        <v>86</v>
      </c>
      <c r="J359">
        <v>4.93</v>
      </c>
      <c r="K359">
        <v>1829</v>
      </c>
      <c r="L359">
        <v>85</v>
      </c>
      <c r="M359">
        <v>4.87</v>
      </c>
      <c r="N359">
        <v>1800</v>
      </c>
      <c r="O359">
        <v>1831</v>
      </c>
      <c r="P359" t="s">
        <v>1107</v>
      </c>
      <c r="Q359" t="s">
        <v>2971</v>
      </c>
      <c r="R359">
        <v>1</v>
      </c>
      <c r="S359">
        <v>1900</v>
      </c>
      <c r="T359">
        <v>1821</v>
      </c>
      <c r="U359">
        <v>1830</v>
      </c>
      <c r="V359">
        <v>52291</v>
      </c>
      <c r="W359">
        <v>4</v>
      </c>
    </row>
    <row r="360" spans="1:23" x14ac:dyDescent="0.25">
      <c r="A360" t="s">
        <v>1108</v>
      </c>
      <c r="B360" t="s">
        <v>1109</v>
      </c>
      <c r="C360">
        <v>1162</v>
      </c>
      <c r="D360">
        <v>3995795</v>
      </c>
      <c r="E360">
        <v>42761291221</v>
      </c>
      <c r="F360">
        <v>10377</v>
      </c>
      <c r="G360">
        <v>10700</v>
      </c>
      <c r="H360">
        <v>10543</v>
      </c>
      <c r="I360">
        <v>166</v>
      </c>
      <c r="J360">
        <v>1.6</v>
      </c>
      <c r="K360">
        <v>10702</v>
      </c>
      <c r="L360">
        <v>325</v>
      </c>
      <c r="M360">
        <v>3.13</v>
      </c>
      <c r="N360">
        <v>10499</v>
      </c>
      <c r="O360">
        <v>10894</v>
      </c>
      <c r="P360" t="s">
        <v>1110</v>
      </c>
      <c r="Q360" t="s">
        <v>2972</v>
      </c>
      <c r="R360">
        <v>1</v>
      </c>
      <c r="S360">
        <v>97</v>
      </c>
      <c r="T360">
        <v>10544</v>
      </c>
      <c r="U360">
        <v>10545</v>
      </c>
      <c r="V360">
        <v>56</v>
      </c>
      <c r="W360">
        <v>1</v>
      </c>
    </row>
    <row r="361" spans="1:23" x14ac:dyDescent="0.25">
      <c r="A361" t="s">
        <v>2659</v>
      </c>
      <c r="B361" t="s">
        <v>2660</v>
      </c>
      <c r="C361">
        <v>0</v>
      </c>
      <c r="D361">
        <v>0</v>
      </c>
      <c r="E361">
        <v>0</v>
      </c>
      <c r="F361">
        <v>203421</v>
      </c>
      <c r="G361">
        <v>0</v>
      </c>
      <c r="H361">
        <v>203421</v>
      </c>
      <c r="I361">
        <v>0</v>
      </c>
      <c r="J361">
        <v>0</v>
      </c>
      <c r="K361">
        <v>203421</v>
      </c>
      <c r="L361">
        <v>0</v>
      </c>
      <c r="M361">
        <v>0</v>
      </c>
      <c r="N361">
        <v>0</v>
      </c>
      <c r="O361">
        <v>0</v>
      </c>
      <c r="R361">
        <v>1</v>
      </c>
      <c r="S361">
        <v>6</v>
      </c>
      <c r="T361">
        <v>193250</v>
      </c>
      <c r="U361">
        <v>0</v>
      </c>
      <c r="V361">
        <v>0</v>
      </c>
      <c r="W361">
        <v>0</v>
      </c>
    </row>
    <row r="362" spans="1:23" x14ac:dyDescent="0.25">
      <c r="A362" t="s">
        <v>1111</v>
      </c>
      <c r="B362" t="s">
        <v>1112</v>
      </c>
      <c r="C362">
        <v>0</v>
      </c>
      <c r="D362">
        <v>0</v>
      </c>
      <c r="E362">
        <v>0</v>
      </c>
      <c r="F362">
        <v>2398</v>
      </c>
      <c r="G362">
        <v>0</v>
      </c>
      <c r="H362">
        <v>3000</v>
      </c>
      <c r="I362">
        <v>602</v>
      </c>
      <c r="J362">
        <v>25.1</v>
      </c>
      <c r="K362">
        <v>2398</v>
      </c>
      <c r="L362">
        <v>0</v>
      </c>
      <c r="M362">
        <v>0</v>
      </c>
      <c r="N362">
        <v>0</v>
      </c>
      <c r="O362">
        <v>0</v>
      </c>
      <c r="R362">
        <v>1</v>
      </c>
      <c r="S362">
        <v>10</v>
      </c>
      <c r="T362">
        <v>457</v>
      </c>
      <c r="U362">
        <v>1498</v>
      </c>
      <c r="V362">
        <v>54</v>
      </c>
      <c r="W362">
        <v>1</v>
      </c>
    </row>
    <row r="363" spans="1:23" x14ac:dyDescent="0.25">
      <c r="A363" t="s">
        <v>1113</v>
      </c>
      <c r="B363" t="s">
        <v>1114</v>
      </c>
      <c r="C363">
        <v>366</v>
      </c>
      <c r="D363">
        <v>4753766</v>
      </c>
      <c r="E363">
        <v>8985901626</v>
      </c>
      <c r="F363">
        <v>1886</v>
      </c>
      <c r="G363">
        <v>1874</v>
      </c>
      <c r="H363">
        <v>1863</v>
      </c>
      <c r="I363">
        <v>-23</v>
      </c>
      <c r="J363">
        <v>-1.22</v>
      </c>
      <c r="K363">
        <v>1890</v>
      </c>
      <c r="L363">
        <v>4</v>
      </c>
      <c r="M363">
        <v>0.21</v>
      </c>
      <c r="N363">
        <v>1838</v>
      </c>
      <c r="O363">
        <v>1924</v>
      </c>
      <c r="P363" t="s">
        <v>1115</v>
      </c>
      <c r="Q363" t="s">
        <v>2973</v>
      </c>
      <c r="R363">
        <v>2</v>
      </c>
      <c r="S363">
        <v>133503</v>
      </c>
      <c r="T363">
        <v>1860</v>
      </c>
      <c r="U363">
        <v>1863</v>
      </c>
      <c r="V363">
        <v>1782</v>
      </c>
      <c r="W363">
        <v>1</v>
      </c>
    </row>
    <row r="364" spans="1:23" x14ac:dyDescent="0.25">
      <c r="A364" t="s">
        <v>1116</v>
      </c>
      <c r="B364" t="s">
        <v>1117</v>
      </c>
      <c r="C364">
        <v>0</v>
      </c>
      <c r="D364">
        <v>0</v>
      </c>
      <c r="E364">
        <v>0</v>
      </c>
      <c r="F364">
        <v>1</v>
      </c>
      <c r="G364">
        <v>0</v>
      </c>
      <c r="H364">
        <v>1</v>
      </c>
      <c r="I364">
        <v>0</v>
      </c>
      <c r="J364">
        <v>0</v>
      </c>
      <c r="K364">
        <v>1</v>
      </c>
      <c r="L364">
        <v>0</v>
      </c>
      <c r="M364">
        <v>0</v>
      </c>
      <c r="N364">
        <v>0</v>
      </c>
      <c r="O364">
        <v>0</v>
      </c>
      <c r="R364">
        <v>1</v>
      </c>
      <c r="S364">
        <v>10</v>
      </c>
      <c r="T364">
        <v>300</v>
      </c>
      <c r="U364">
        <v>0</v>
      </c>
      <c r="V364">
        <v>0</v>
      </c>
      <c r="W364">
        <v>0</v>
      </c>
    </row>
    <row r="365" spans="1:23" x14ac:dyDescent="0.25">
      <c r="A365" t="s">
        <v>1118</v>
      </c>
      <c r="B365" t="s">
        <v>1119</v>
      </c>
      <c r="C365">
        <v>0</v>
      </c>
      <c r="D365">
        <v>0</v>
      </c>
      <c r="E365">
        <v>0</v>
      </c>
      <c r="F365">
        <v>933229</v>
      </c>
      <c r="G365">
        <v>0</v>
      </c>
      <c r="H365">
        <v>933229</v>
      </c>
      <c r="I365">
        <v>0</v>
      </c>
      <c r="J365">
        <v>0</v>
      </c>
      <c r="K365">
        <v>933229</v>
      </c>
      <c r="L365">
        <v>0</v>
      </c>
      <c r="M365">
        <v>0</v>
      </c>
      <c r="N365">
        <v>0</v>
      </c>
      <c r="O365">
        <v>0</v>
      </c>
      <c r="R365">
        <v>0</v>
      </c>
      <c r="S365">
        <v>0</v>
      </c>
      <c r="T365">
        <v>0</v>
      </c>
      <c r="U365">
        <v>975000</v>
      </c>
      <c r="V365">
        <v>290</v>
      </c>
      <c r="W365">
        <v>1</v>
      </c>
    </row>
    <row r="366" spans="1:23" x14ac:dyDescent="0.25">
      <c r="A366" t="s">
        <v>1120</v>
      </c>
      <c r="B366" t="s">
        <v>1121</v>
      </c>
      <c r="C366">
        <v>0</v>
      </c>
      <c r="D366">
        <v>0</v>
      </c>
      <c r="E366">
        <v>0</v>
      </c>
      <c r="F366">
        <v>1</v>
      </c>
      <c r="G366">
        <v>0</v>
      </c>
      <c r="H366">
        <v>1</v>
      </c>
      <c r="I366">
        <v>0</v>
      </c>
      <c r="J366">
        <v>0</v>
      </c>
      <c r="K366">
        <v>1</v>
      </c>
      <c r="L366">
        <v>0</v>
      </c>
      <c r="M366">
        <v>0</v>
      </c>
      <c r="N366">
        <v>0</v>
      </c>
      <c r="O366">
        <v>0</v>
      </c>
      <c r="R366">
        <v>1</v>
      </c>
      <c r="S366">
        <v>10</v>
      </c>
      <c r="T366">
        <v>150</v>
      </c>
      <c r="U366">
        <v>0</v>
      </c>
      <c r="V366">
        <v>0</v>
      </c>
      <c r="W366">
        <v>0</v>
      </c>
    </row>
    <row r="367" spans="1:23" x14ac:dyDescent="0.25">
      <c r="A367" t="s">
        <v>1122</v>
      </c>
      <c r="B367" t="s">
        <v>1123</v>
      </c>
      <c r="C367">
        <v>200</v>
      </c>
      <c r="D367">
        <v>3936727</v>
      </c>
      <c r="E367">
        <v>8952117198</v>
      </c>
      <c r="F367">
        <v>2166</v>
      </c>
      <c r="G367">
        <v>2274</v>
      </c>
      <c r="H367">
        <v>2274</v>
      </c>
      <c r="I367">
        <v>108</v>
      </c>
      <c r="J367">
        <v>4.99</v>
      </c>
      <c r="K367">
        <v>2274</v>
      </c>
      <c r="L367">
        <v>108</v>
      </c>
      <c r="M367">
        <v>4.99</v>
      </c>
      <c r="N367">
        <v>2274</v>
      </c>
      <c r="O367">
        <v>2274</v>
      </c>
      <c r="P367" t="s">
        <v>480</v>
      </c>
      <c r="Q367" t="s">
        <v>2974</v>
      </c>
      <c r="R367">
        <v>357</v>
      </c>
      <c r="S367">
        <v>8387933</v>
      </c>
      <c r="T367">
        <v>2274</v>
      </c>
      <c r="U367">
        <v>2500</v>
      </c>
      <c r="V367">
        <v>1000</v>
      </c>
      <c r="W367">
        <v>1</v>
      </c>
    </row>
    <row r="368" spans="1:23" x14ac:dyDescent="0.25">
      <c r="A368" t="s">
        <v>1124</v>
      </c>
      <c r="B368" t="s">
        <v>1125</v>
      </c>
      <c r="C368">
        <v>84</v>
      </c>
      <c r="D368">
        <v>120761</v>
      </c>
      <c r="E368">
        <v>964766239</v>
      </c>
      <c r="F368">
        <v>8022</v>
      </c>
      <c r="G368">
        <v>8119</v>
      </c>
      <c r="H368">
        <v>8100</v>
      </c>
      <c r="I368">
        <v>78</v>
      </c>
      <c r="J368">
        <v>0.97</v>
      </c>
      <c r="K368">
        <v>8014</v>
      </c>
      <c r="L368">
        <v>-8</v>
      </c>
      <c r="M368">
        <v>-0.1</v>
      </c>
      <c r="N368">
        <v>7701</v>
      </c>
      <c r="O368">
        <v>8200</v>
      </c>
      <c r="P368" t="s">
        <v>1126</v>
      </c>
      <c r="Q368" t="s">
        <v>2975</v>
      </c>
      <c r="R368">
        <v>1</v>
      </c>
      <c r="S368">
        <v>1000</v>
      </c>
      <c r="T368">
        <v>8050</v>
      </c>
      <c r="U368">
        <v>8259</v>
      </c>
      <c r="V368">
        <v>363</v>
      </c>
      <c r="W368">
        <v>1</v>
      </c>
    </row>
    <row r="369" spans="1:23" x14ac:dyDescent="0.25">
      <c r="A369" t="s">
        <v>1127</v>
      </c>
      <c r="B369" t="s">
        <v>1128</v>
      </c>
      <c r="C369">
        <v>0</v>
      </c>
      <c r="D369">
        <v>0</v>
      </c>
      <c r="E369">
        <v>0</v>
      </c>
      <c r="F369">
        <v>1</v>
      </c>
      <c r="G369">
        <v>0</v>
      </c>
      <c r="H369">
        <v>1</v>
      </c>
      <c r="I369">
        <v>0</v>
      </c>
      <c r="J369">
        <v>0</v>
      </c>
      <c r="K369">
        <v>1</v>
      </c>
      <c r="L369">
        <v>0</v>
      </c>
      <c r="M369">
        <v>0</v>
      </c>
      <c r="N369">
        <v>0</v>
      </c>
      <c r="O369">
        <v>0</v>
      </c>
      <c r="R369">
        <v>1</v>
      </c>
      <c r="S369">
        <v>70</v>
      </c>
      <c r="T369">
        <v>1000</v>
      </c>
      <c r="U369">
        <v>0</v>
      </c>
      <c r="V369">
        <v>0</v>
      </c>
      <c r="W369">
        <v>0</v>
      </c>
    </row>
    <row r="370" spans="1:23" x14ac:dyDescent="0.25">
      <c r="A370" t="s">
        <v>1129</v>
      </c>
      <c r="B370" t="s">
        <v>1130</v>
      </c>
      <c r="C370">
        <v>2023</v>
      </c>
      <c r="D370">
        <v>1512836</v>
      </c>
      <c r="E370">
        <v>43556112557</v>
      </c>
      <c r="F370">
        <v>28806</v>
      </c>
      <c r="G370">
        <v>29301</v>
      </c>
      <c r="H370">
        <v>28852</v>
      </c>
      <c r="I370">
        <v>46</v>
      </c>
      <c r="J370">
        <v>0.16</v>
      </c>
      <c r="K370">
        <v>28791</v>
      </c>
      <c r="L370">
        <v>-15</v>
      </c>
      <c r="M370">
        <v>-0.05</v>
      </c>
      <c r="N370">
        <v>28501</v>
      </c>
      <c r="O370">
        <v>29330</v>
      </c>
      <c r="P370" t="s">
        <v>1131</v>
      </c>
      <c r="Q370" t="s">
        <v>2650</v>
      </c>
      <c r="R370">
        <v>1</v>
      </c>
      <c r="S370">
        <v>2355</v>
      </c>
      <c r="T370">
        <v>28852</v>
      </c>
      <c r="U370">
        <v>28859</v>
      </c>
      <c r="V370">
        <v>2086</v>
      </c>
      <c r="W370">
        <v>5</v>
      </c>
    </row>
    <row r="371" spans="1:23" x14ac:dyDescent="0.25">
      <c r="A371" t="s">
        <v>1132</v>
      </c>
      <c r="B371" t="s">
        <v>1133</v>
      </c>
      <c r="C371">
        <v>999</v>
      </c>
      <c r="D371">
        <v>10554738</v>
      </c>
      <c r="E371">
        <v>28675417380</v>
      </c>
      <c r="F371">
        <v>2601</v>
      </c>
      <c r="G371">
        <v>2650</v>
      </c>
      <c r="H371">
        <v>2731</v>
      </c>
      <c r="I371">
        <v>130</v>
      </c>
      <c r="J371">
        <v>5</v>
      </c>
      <c r="K371">
        <v>2717</v>
      </c>
      <c r="L371">
        <v>116</v>
      </c>
      <c r="M371">
        <v>4.46</v>
      </c>
      <c r="N371">
        <v>2649</v>
      </c>
      <c r="O371">
        <v>2731</v>
      </c>
      <c r="P371" t="s">
        <v>383</v>
      </c>
      <c r="Q371" t="s">
        <v>2976</v>
      </c>
      <c r="R371">
        <v>42</v>
      </c>
      <c r="S371">
        <v>617617</v>
      </c>
      <c r="T371">
        <v>2731</v>
      </c>
      <c r="U371">
        <v>0</v>
      </c>
      <c r="V371">
        <v>0</v>
      </c>
      <c r="W371">
        <v>0</v>
      </c>
    </row>
    <row r="372" spans="1:23" x14ac:dyDescent="0.25">
      <c r="A372" t="s">
        <v>1134</v>
      </c>
      <c r="B372" t="s">
        <v>1135</v>
      </c>
      <c r="C372">
        <v>0</v>
      </c>
      <c r="D372">
        <v>0</v>
      </c>
      <c r="E372">
        <v>0</v>
      </c>
      <c r="F372">
        <v>324</v>
      </c>
      <c r="G372">
        <v>0</v>
      </c>
      <c r="H372">
        <v>330</v>
      </c>
      <c r="I372">
        <v>6</v>
      </c>
      <c r="J372">
        <v>1.85</v>
      </c>
      <c r="K372">
        <v>324</v>
      </c>
      <c r="L372">
        <v>0</v>
      </c>
      <c r="M372">
        <v>0</v>
      </c>
      <c r="N372">
        <v>0</v>
      </c>
      <c r="O372">
        <v>0</v>
      </c>
      <c r="R372">
        <v>0</v>
      </c>
      <c r="S372">
        <v>0</v>
      </c>
      <c r="T372">
        <v>0</v>
      </c>
      <c r="U372">
        <v>440</v>
      </c>
      <c r="V372">
        <v>40</v>
      </c>
      <c r="W372">
        <v>3</v>
      </c>
    </row>
    <row r="373" spans="1:23" x14ac:dyDescent="0.25">
      <c r="A373" t="s">
        <v>1136</v>
      </c>
      <c r="B373" t="s">
        <v>1137</v>
      </c>
      <c r="C373">
        <v>0</v>
      </c>
      <c r="D373">
        <v>0</v>
      </c>
      <c r="E373">
        <v>0</v>
      </c>
      <c r="F373">
        <v>1000000</v>
      </c>
      <c r="G373">
        <v>0</v>
      </c>
      <c r="H373">
        <v>1000000</v>
      </c>
      <c r="I373">
        <v>0</v>
      </c>
      <c r="J373">
        <v>0</v>
      </c>
      <c r="K373">
        <v>1000000</v>
      </c>
      <c r="L373">
        <v>0</v>
      </c>
      <c r="M373">
        <v>0</v>
      </c>
      <c r="N373">
        <v>0</v>
      </c>
      <c r="O373">
        <v>0</v>
      </c>
      <c r="R373">
        <v>1</v>
      </c>
      <c r="S373">
        <v>3000</v>
      </c>
      <c r="T373">
        <v>1000000</v>
      </c>
      <c r="U373">
        <v>1010000</v>
      </c>
      <c r="V373">
        <v>3000</v>
      </c>
      <c r="W373">
        <v>1</v>
      </c>
    </row>
    <row r="374" spans="1:23" x14ac:dyDescent="0.25">
      <c r="A374" t="s">
        <v>1138</v>
      </c>
      <c r="B374" t="s">
        <v>1139</v>
      </c>
      <c r="C374">
        <v>1864</v>
      </c>
      <c r="D374">
        <v>26275417</v>
      </c>
      <c r="E374">
        <v>33888947916</v>
      </c>
      <c r="F374">
        <v>1187</v>
      </c>
      <c r="G374">
        <v>1250</v>
      </c>
      <c r="H374">
        <v>1305</v>
      </c>
      <c r="I374">
        <v>118</v>
      </c>
      <c r="J374">
        <v>9.94</v>
      </c>
      <c r="K374">
        <v>1290</v>
      </c>
      <c r="L374">
        <v>103</v>
      </c>
      <c r="M374">
        <v>8.68</v>
      </c>
      <c r="N374">
        <v>1211</v>
      </c>
      <c r="O374">
        <v>1305</v>
      </c>
      <c r="P374" t="s">
        <v>1140</v>
      </c>
      <c r="Q374" t="s">
        <v>2977</v>
      </c>
      <c r="R374">
        <v>212</v>
      </c>
      <c r="S374">
        <v>4930100</v>
      </c>
      <c r="T374">
        <v>1305</v>
      </c>
      <c r="U374">
        <v>1306</v>
      </c>
      <c r="V374">
        <v>6200</v>
      </c>
      <c r="W374">
        <v>1</v>
      </c>
    </row>
    <row r="375" spans="1:23" x14ac:dyDescent="0.25">
      <c r="A375" t="s">
        <v>1141</v>
      </c>
      <c r="B375" t="s">
        <v>1142</v>
      </c>
      <c r="C375">
        <v>669</v>
      </c>
      <c r="D375">
        <v>1447371</v>
      </c>
      <c r="E375">
        <v>31506045063</v>
      </c>
      <c r="F375">
        <v>21870</v>
      </c>
      <c r="G375">
        <v>22000</v>
      </c>
      <c r="H375">
        <v>21520</v>
      </c>
      <c r="I375">
        <v>-350</v>
      </c>
      <c r="J375">
        <v>-1.6</v>
      </c>
      <c r="K375">
        <v>21768</v>
      </c>
      <c r="L375">
        <v>-102</v>
      </c>
      <c r="M375">
        <v>-0.47</v>
      </c>
      <c r="N375">
        <v>21250</v>
      </c>
      <c r="O375">
        <v>22140</v>
      </c>
      <c r="P375" t="s">
        <v>701</v>
      </c>
      <c r="Q375" t="s">
        <v>2761</v>
      </c>
      <c r="R375">
        <v>2</v>
      </c>
      <c r="S375">
        <v>908</v>
      </c>
      <c r="T375">
        <v>21520</v>
      </c>
      <c r="U375">
        <v>21580</v>
      </c>
      <c r="V375">
        <v>5726</v>
      </c>
      <c r="W375">
        <v>2</v>
      </c>
    </row>
    <row r="376" spans="1:23" x14ac:dyDescent="0.25">
      <c r="A376" t="s">
        <v>1143</v>
      </c>
      <c r="B376" t="s">
        <v>1144</v>
      </c>
      <c r="C376">
        <v>0</v>
      </c>
      <c r="D376">
        <v>0</v>
      </c>
      <c r="E376">
        <v>0</v>
      </c>
      <c r="F376">
        <v>1000001</v>
      </c>
      <c r="G376">
        <v>0</v>
      </c>
      <c r="H376">
        <v>1000001</v>
      </c>
      <c r="I376">
        <v>0</v>
      </c>
      <c r="J376">
        <v>0</v>
      </c>
      <c r="K376">
        <v>1000001</v>
      </c>
      <c r="L376">
        <v>0</v>
      </c>
      <c r="M376">
        <v>0</v>
      </c>
      <c r="N376">
        <v>0</v>
      </c>
      <c r="O376">
        <v>0</v>
      </c>
      <c r="R376">
        <v>1</v>
      </c>
      <c r="S376">
        <v>1000</v>
      </c>
      <c r="T376">
        <v>1000001</v>
      </c>
      <c r="U376">
        <v>1020000</v>
      </c>
      <c r="V376">
        <v>2500</v>
      </c>
      <c r="W376">
        <v>1</v>
      </c>
    </row>
    <row r="377" spans="1:23" x14ac:dyDescent="0.25">
      <c r="A377" t="s">
        <v>1145</v>
      </c>
      <c r="B377" t="s">
        <v>1146</v>
      </c>
      <c r="C377">
        <v>0</v>
      </c>
      <c r="D377">
        <v>0</v>
      </c>
      <c r="E377">
        <v>0</v>
      </c>
      <c r="F377">
        <v>1</v>
      </c>
      <c r="G377">
        <v>0</v>
      </c>
      <c r="H377">
        <v>1</v>
      </c>
      <c r="I377">
        <v>0</v>
      </c>
      <c r="J377">
        <v>0</v>
      </c>
      <c r="K377">
        <v>1</v>
      </c>
      <c r="L377">
        <v>0</v>
      </c>
      <c r="M377">
        <v>0</v>
      </c>
      <c r="N377">
        <v>0</v>
      </c>
      <c r="O377">
        <v>0</v>
      </c>
      <c r="R377">
        <v>1</v>
      </c>
      <c r="S377">
        <v>100</v>
      </c>
      <c r="T377">
        <v>5</v>
      </c>
      <c r="U377">
        <v>0</v>
      </c>
      <c r="V377">
        <v>0</v>
      </c>
      <c r="W377">
        <v>0</v>
      </c>
    </row>
    <row r="378" spans="1:23" x14ac:dyDescent="0.25">
      <c r="A378" t="s">
        <v>2661</v>
      </c>
      <c r="B378" t="s">
        <v>2662</v>
      </c>
      <c r="C378">
        <v>0</v>
      </c>
      <c r="D378">
        <v>0</v>
      </c>
      <c r="E378">
        <v>0</v>
      </c>
      <c r="F378">
        <v>1674</v>
      </c>
      <c r="G378">
        <v>0</v>
      </c>
      <c r="H378">
        <v>1750</v>
      </c>
      <c r="I378">
        <v>76</v>
      </c>
      <c r="J378">
        <v>4.54</v>
      </c>
      <c r="K378">
        <v>1674</v>
      </c>
      <c r="L378">
        <v>0</v>
      </c>
      <c r="M378">
        <v>0</v>
      </c>
      <c r="N378">
        <v>0</v>
      </c>
      <c r="O378">
        <v>0</v>
      </c>
      <c r="P378" t="s">
        <v>715</v>
      </c>
      <c r="Q378" t="s">
        <v>2663</v>
      </c>
      <c r="R378">
        <v>1</v>
      </c>
      <c r="S378">
        <v>6636</v>
      </c>
      <c r="T378">
        <v>1500</v>
      </c>
      <c r="U378">
        <v>1800</v>
      </c>
      <c r="V378">
        <v>36000</v>
      </c>
      <c r="W378">
        <v>4</v>
      </c>
    </row>
    <row r="379" spans="1:23" x14ac:dyDescent="0.25">
      <c r="A379" t="s">
        <v>1147</v>
      </c>
      <c r="B379" t="s">
        <v>2664</v>
      </c>
      <c r="C379">
        <v>0</v>
      </c>
      <c r="D379">
        <v>0</v>
      </c>
      <c r="E379">
        <v>0</v>
      </c>
      <c r="F379">
        <v>244</v>
      </c>
      <c r="G379">
        <v>0</v>
      </c>
      <c r="H379">
        <v>244</v>
      </c>
      <c r="I379">
        <v>0</v>
      </c>
      <c r="J379">
        <v>0</v>
      </c>
      <c r="K379">
        <v>244</v>
      </c>
      <c r="L379">
        <v>0</v>
      </c>
      <c r="M379">
        <v>0</v>
      </c>
      <c r="N379">
        <v>0</v>
      </c>
      <c r="O379">
        <v>0</v>
      </c>
      <c r="R379">
        <v>1</v>
      </c>
      <c r="S379">
        <v>1</v>
      </c>
      <c r="T379">
        <v>31</v>
      </c>
      <c r="U379">
        <v>255</v>
      </c>
      <c r="V379">
        <v>260</v>
      </c>
      <c r="W379">
        <v>4</v>
      </c>
    </row>
    <row r="380" spans="1:23" x14ac:dyDescent="0.25">
      <c r="A380" t="s">
        <v>1149</v>
      </c>
      <c r="B380" t="s">
        <v>1150</v>
      </c>
      <c r="C380">
        <v>0</v>
      </c>
      <c r="D380">
        <v>0</v>
      </c>
      <c r="E380">
        <v>0</v>
      </c>
      <c r="F380">
        <v>144</v>
      </c>
      <c r="G380">
        <v>0</v>
      </c>
      <c r="H380">
        <v>144</v>
      </c>
      <c r="I380">
        <v>0</v>
      </c>
      <c r="J380">
        <v>0</v>
      </c>
      <c r="K380">
        <v>144</v>
      </c>
      <c r="L380">
        <v>0</v>
      </c>
      <c r="M380">
        <v>0</v>
      </c>
      <c r="N380">
        <v>0</v>
      </c>
      <c r="O380">
        <v>0</v>
      </c>
      <c r="R380">
        <v>0</v>
      </c>
      <c r="S380">
        <v>0</v>
      </c>
      <c r="T380">
        <v>0</v>
      </c>
      <c r="U380">
        <v>221</v>
      </c>
      <c r="V380">
        <v>100</v>
      </c>
      <c r="W380">
        <v>1</v>
      </c>
    </row>
    <row r="381" spans="1:23" x14ac:dyDescent="0.25">
      <c r="A381" t="s">
        <v>1151</v>
      </c>
      <c r="B381" t="s">
        <v>1152</v>
      </c>
      <c r="C381">
        <v>0</v>
      </c>
      <c r="D381">
        <v>0</v>
      </c>
      <c r="E381">
        <v>0</v>
      </c>
      <c r="F381">
        <v>1200</v>
      </c>
      <c r="G381">
        <v>0</v>
      </c>
      <c r="H381">
        <v>1200</v>
      </c>
      <c r="I381">
        <v>0</v>
      </c>
      <c r="J381">
        <v>0</v>
      </c>
      <c r="K381">
        <v>1200</v>
      </c>
      <c r="L381">
        <v>0</v>
      </c>
      <c r="M381">
        <v>0</v>
      </c>
      <c r="N381">
        <v>0</v>
      </c>
      <c r="O381">
        <v>0</v>
      </c>
      <c r="R381">
        <v>1</v>
      </c>
      <c r="S381">
        <v>15</v>
      </c>
      <c r="T381">
        <v>500</v>
      </c>
      <c r="U381">
        <v>1498</v>
      </c>
      <c r="V381">
        <v>50</v>
      </c>
      <c r="W381">
        <v>1</v>
      </c>
    </row>
    <row r="382" spans="1:23" x14ac:dyDescent="0.25">
      <c r="A382" t="s">
        <v>1153</v>
      </c>
      <c r="B382" t="s">
        <v>1154</v>
      </c>
      <c r="C382">
        <v>0</v>
      </c>
      <c r="D382">
        <v>0</v>
      </c>
      <c r="E382">
        <v>0</v>
      </c>
      <c r="F382">
        <v>1000000</v>
      </c>
      <c r="G382">
        <v>0</v>
      </c>
      <c r="H382">
        <v>1000000</v>
      </c>
      <c r="I382">
        <v>0</v>
      </c>
      <c r="J382">
        <v>0</v>
      </c>
      <c r="K382">
        <v>1000000</v>
      </c>
      <c r="L382">
        <v>0</v>
      </c>
      <c r="M382">
        <v>0</v>
      </c>
      <c r="N382">
        <v>0</v>
      </c>
      <c r="O382">
        <v>0</v>
      </c>
      <c r="R382">
        <v>1</v>
      </c>
      <c r="S382">
        <v>500</v>
      </c>
      <c r="T382">
        <v>997000</v>
      </c>
      <c r="U382">
        <v>1010000</v>
      </c>
      <c r="V382">
        <v>100</v>
      </c>
      <c r="W382">
        <v>1</v>
      </c>
    </row>
    <row r="383" spans="1:23" x14ac:dyDescent="0.25">
      <c r="A383" t="s">
        <v>1155</v>
      </c>
      <c r="B383" t="s">
        <v>1156</v>
      </c>
      <c r="C383">
        <v>0</v>
      </c>
      <c r="D383">
        <v>0</v>
      </c>
      <c r="E383">
        <v>0</v>
      </c>
      <c r="F383">
        <v>6980</v>
      </c>
      <c r="G383">
        <v>0</v>
      </c>
      <c r="H383">
        <v>6905</v>
      </c>
      <c r="I383">
        <v>-75</v>
      </c>
      <c r="J383">
        <v>-1.07</v>
      </c>
      <c r="K383">
        <v>6980</v>
      </c>
      <c r="L383">
        <v>0</v>
      </c>
      <c r="M383">
        <v>0</v>
      </c>
      <c r="N383">
        <v>0</v>
      </c>
      <c r="O383">
        <v>0</v>
      </c>
      <c r="P383" t="s">
        <v>1157</v>
      </c>
      <c r="Q383" t="s">
        <v>2665</v>
      </c>
      <c r="R383">
        <v>0</v>
      </c>
      <c r="S383">
        <v>0</v>
      </c>
      <c r="T383">
        <v>0</v>
      </c>
      <c r="U383">
        <v>7400</v>
      </c>
      <c r="V383">
        <v>5000</v>
      </c>
      <c r="W383">
        <v>1</v>
      </c>
    </row>
    <row r="384" spans="1:23" x14ac:dyDescent="0.25">
      <c r="A384" t="s">
        <v>1158</v>
      </c>
      <c r="B384" t="s">
        <v>1159</v>
      </c>
      <c r="C384">
        <v>384</v>
      </c>
      <c r="D384">
        <v>1091654</v>
      </c>
      <c r="E384">
        <v>15201702531</v>
      </c>
      <c r="F384">
        <v>13874</v>
      </c>
      <c r="G384">
        <v>13738</v>
      </c>
      <c r="H384">
        <v>14070</v>
      </c>
      <c r="I384">
        <v>196</v>
      </c>
      <c r="J384">
        <v>1.41</v>
      </c>
      <c r="K384">
        <v>13925</v>
      </c>
      <c r="L384">
        <v>51</v>
      </c>
      <c r="M384">
        <v>0.37</v>
      </c>
      <c r="N384">
        <v>13502</v>
      </c>
      <c r="O384">
        <v>14230</v>
      </c>
      <c r="P384" t="s">
        <v>1160</v>
      </c>
      <c r="Q384" t="s">
        <v>2681</v>
      </c>
      <c r="R384">
        <v>1</v>
      </c>
      <c r="S384">
        <v>4700</v>
      </c>
      <c r="T384">
        <v>13953</v>
      </c>
      <c r="U384">
        <v>14070</v>
      </c>
      <c r="V384">
        <v>12224</v>
      </c>
      <c r="W384">
        <v>3</v>
      </c>
    </row>
    <row r="385" spans="1:23" x14ac:dyDescent="0.25">
      <c r="A385" t="s">
        <v>1161</v>
      </c>
      <c r="B385" t="s">
        <v>1162</v>
      </c>
      <c r="C385">
        <v>673</v>
      </c>
      <c r="D385">
        <v>1796350</v>
      </c>
      <c r="E385">
        <v>16805400424</v>
      </c>
      <c r="F385">
        <v>8987</v>
      </c>
      <c r="G385">
        <v>9305</v>
      </c>
      <c r="H385">
        <v>9200</v>
      </c>
      <c r="I385">
        <v>213</v>
      </c>
      <c r="J385">
        <v>2.37</v>
      </c>
      <c r="K385">
        <v>9355</v>
      </c>
      <c r="L385">
        <v>368</v>
      </c>
      <c r="M385">
        <v>4.09</v>
      </c>
      <c r="N385">
        <v>9200</v>
      </c>
      <c r="O385">
        <v>9430</v>
      </c>
      <c r="P385" t="s">
        <v>1163</v>
      </c>
      <c r="Q385" t="s">
        <v>2978</v>
      </c>
      <c r="R385">
        <v>1</v>
      </c>
      <c r="S385">
        <v>110</v>
      </c>
      <c r="T385">
        <v>9181</v>
      </c>
      <c r="U385">
        <v>9200</v>
      </c>
      <c r="V385">
        <v>2395</v>
      </c>
      <c r="W385">
        <v>1</v>
      </c>
    </row>
    <row r="386" spans="1:23" x14ac:dyDescent="0.25">
      <c r="A386" t="s">
        <v>1164</v>
      </c>
      <c r="B386" t="s">
        <v>1165</v>
      </c>
      <c r="C386">
        <v>805</v>
      </c>
      <c r="D386">
        <v>5415140</v>
      </c>
      <c r="E386">
        <v>21570498900</v>
      </c>
      <c r="F386">
        <v>3899</v>
      </c>
      <c r="G386">
        <v>3950</v>
      </c>
      <c r="H386">
        <v>3995</v>
      </c>
      <c r="I386">
        <v>96</v>
      </c>
      <c r="J386">
        <v>2.46</v>
      </c>
      <c r="K386">
        <v>3983</v>
      </c>
      <c r="L386">
        <v>84</v>
      </c>
      <c r="M386">
        <v>2.15</v>
      </c>
      <c r="N386">
        <v>3895</v>
      </c>
      <c r="O386">
        <v>4070</v>
      </c>
      <c r="P386" t="s">
        <v>1166</v>
      </c>
      <c r="Q386" t="s">
        <v>2656</v>
      </c>
      <c r="R386">
        <v>3</v>
      </c>
      <c r="S386">
        <v>37401</v>
      </c>
      <c r="T386">
        <v>3995</v>
      </c>
      <c r="U386">
        <v>4000</v>
      </c>
      <c r="V386">
        <v>261265</v>
      </c>
      <c r="W386">
        <v>9</v>
      </c>
    </row>
    <row r="387" spans="1:23" x14ac:dyDescent="0.25">
      <c r="A387" t="s">
        <v>1167</v>
      </c>
      <c r="B387" t="s">
        <v>1168</v>
      </c>
      <c r="C387">
        <v>0</v>
      </c>
      <c r="D387">
        <v>0</v>
      </c>
      <c r="E387">
        <v>0</v>
      </c>
      <c r="F387">
        <v>1000000</v>
      </c>
      <c r="G387">
        <v>0</v>
      </c>
      <c r="H387">
        <v>1000000</v>
      </c>
      <c r="I387">
        <v>0</v>
      </c>
      <c r="J387">
        <v>0</v>
      </c>
      <c r="K387">
        <v>1000000</v>
      </c>
      <c r="L387">
        <v>0</v>
      </c>
      <c r="M387">
        <v>0</v>
      </c>
      <c r="N387">
        <v>0</v>
      </c>
      <c r="O387">
        <v>0</v>
      </c>
      <c r="R387">
        <v>1</v>
      </c>
      <c r="S387">
        <v>2250</v>
      </c>
      <c r="T387">
        <v>990000</v>
      </c>
      <c r="U387">
        <v>1000000</v>
      </c>
      <c r="V387">
        <v>2250</v>
      </c>
      <c r="W387">
        <v>1</v>
      </c>
    </row>
    <row r="388" spans="1:23" x14ac:dyDescent="0.25">
      <c r="A388" t="s">
        <v>1169</v>
      </c>
      <c r="B388" t="s">
        <v>1170</v>
      </c>
      <c r="C388">
        <v>147</v>
      </c>
      <c r="D388">
        <v>462488</v>
      </c>
      <c r="E388">
        <v>5407426303</v>
      </c>
      <c r="F388">
        <v>11188</v>
      </c>
      <c r="G388">
        <v>11499</v>
      </c>
      <c r="H388">
        <v>11747</v>
      </c>
      <c r="I388">
        <v>559</v>
      </c>
      <c r="J388">
        <v>5</v>
      </c>
      <c r="K388">
        <v>11692</v>
      </c>
      <c r="L388">
        <v>504</v>
      </c>
      <c r="M388">
        <v>4.5</v>
      </c>
      <c r="N388">
        <v>11400</v>
      </c>
      <c r="O388">
        <v>11747</v>
      </c>
      <c r="P388" t="s">
        <v>1171</v>
      </c>
      <c r="Q388" t="s">
        <v>2979</v>
      </c>
      <c r="R388">
        <v>68</v>
      </c>
      <c r="S388">
        <v>1052319</v>
      </c>
      <c r="T388">
        <v>11747</v>
      </c>
      <c r="U388">
        <v>12373</v>
      </c>
      <c r="V388">
        <v>850</v>
      </c>
      <c r="W388">
        <v>1</v>
      </c>
    </row>
    <row r="389" spans="1:23" x14ac:dyDescent="0.25">
      <c r="A389" t="s">
        <v>2666</v>
      </c>
      <c r="B389" t="s">
        <v>2667</v>
      </c>
      <c r="C389">
        <v>0</v>
      </c>
      <c r="D389">
        <v>0</v>
      </c>
      <c r="E389">
        <v>0</v>
      </c>
      <c r="F389">
        <v>30</v>
      </c>
      <c r="G389">
        <v>0</v>
      </c>
      <c r="H389">
        <v>30</v>
      </c>
      <c r="I389">
        <v>0</v>
      </c>
      <c r="J389">
        <v>0</v>
      </c>
      <c r="K389">
        <v>30</v>
      </c>
      <c r="L389">
        <v>0</v>
      </c>
      <c r="M389">
        <v>0</v>
      </c>
      <c r="N389">
        <v>0</v>
      </c>
      <c r="O389">
        <v>0</v>
      </c>
      <c r="R389">
        <v>1</v>
      </c>
      <c r="S389">
        <v>1</v>
      </c>
      <c r="T389">
        <v>1</v>
      </c>
      <c r="U389">
        <v>0</v>
      </c>
      <c r="V389">
        <v>0</v>
      </c>
      <c r="W389">
        <v>0</v>
      </c>
    </row>
    <row r="390" spans="1:23" x14ac:dyDescent="0.25">
      <c r="A390" t="s">
        <v>1172</v>
      </c>
      <c r="B390" t="s">
        <v>1173</v>
      </c>
      <c r="C390">
        <v>1486</v>
      </c>
      <c r="D390">
        <v>4719990</v>
      </c>
      <c r="E390">
        <v>37496807344</v>
      </c>
      <c r="F390">
        <v>7594</v>
      </c>
      <c r="G390">
        <v>8101</v>
      </c>
      <c r="H390">
        <v>7861</v>
      </c>
      <c r="I390">
        <v>267</v>
      </c>
      <c r="J390">
        <v>3.52</v>
      </c>
      <c r="K390">
        <v>7944</v>
      </c>
      <c r="L390">
        <v>350</v>
      </c>
      <c r="M390">
        <v>4.6100000000000003</v>
      </c>
      <c r="N390">
        <v>7750</v>
      </c>
      <c r="O390">
        <v>8101</v>
      </c>
      <c r="R390">
        <v>5</v>
      </c>
      <c r="S390">
        <v>8188</v>
      </c>
      <c r="T390">
        <v>7861</v>
      </c>
      <c r="U390">
        <v>7880</v>
      </c>
      <c r="V390">
        <v>307</v>
      </c>
      <c r="W390">
        <v>1</v>
      </c>
    </row>
    <row r="391" spans="1:23" x14ac:dyDescent="0.25">
      <c r="A391" t="s">
        <v>1174</v>
      </c>
      <c r="B391" t="s">
        <v>1175</v>
      </c>
      <c r="C391">
        <v>1066</v>
      </c>
      <c r="D391">
        <v>591015</v>
      </c>
      <c r="E391">
        <v>35440938221</v>
      </c>
      <c r="F391">
        <v>60544</v>
      </c>
      <c r="G391">
        <v>61397</v>
      </c>
      <c r="H391">
        <v>59800</v>
      </c>
      <c r="I391">
        <v>-744</v>
      </c>
      <c r="J391">
        <v>-1.23</v>
      </c>
      <c r="K391">
        <v>59966</v>
      </c>
      <c r="L391">
        <v>-578</v>
      </c>
      <c r="M391">
        <v>-0.95</v>
      </c>
      <c r="N391">
        <v>59400</v>
      </c>
      <c r="O391">
        <v>61500</v>
      </c>
      <c r="P391" t="s">
        <v>1176</v>
      </c>
      <c r="Q391" t="s">
        <v>2980</v>
      </c>
      <c r="R391">
        <v>1</v>
      </c>
      <c r="S391">
        <v>20</v>
      </c>
      <c r="T391">
        <v>59701</v>
      </c>
      <c r="U391">
        <v>59800</v>
      </c>
      <c r="V391">
        <v>1292</v>
      </c>
      <c r="W391">
        <v>1</v>
      </c>
    </row>
    <row r="392" spans="1:23" x14ac:dyDescent="0.25">
      <c r="A392" t="s">
        <v>1177</v>
      </c>
      <c r="B392" t="s">
        <v>1178</v>
      </c>
      <c r="C392">
        <v>209</v>
      </c>
      <c r="D392">
        <v>521822</v>
      </c>
      <c r="E392">
        <v>10471894487</v>
      </c>
      <c r="F392">
        <v>19579</v>
      </c>
      <c r="G392">
        <v>18979</v>
      </c>
      <c r="H392">
        <v>20214</v>
      </c>
      <c r="I392">
        <v>635</v>
      </c>
      <c r="J392">
        <v>3.24</v>
      </c>
      <c r="K392">
        <v>20068</v>
      </c>
      <c r="L392">
        <v>489</v>
      </c>
      <c r="M392">
        <v>2.5</v>
      </c>
      <c r="N392">
        <v>18731</v>
      </c>
      <c r="O392">
        <v>20450</v>
      </c>
      <c r="P392" t="s">
        <v>1179</v>
      </c>
      <c r="Q392" t="s">
        <v>2981</v>
      </c>
      <c r="R392">
        <v>1</v>
      </c>
      <c r="S392">
        <v>100</v>
      </c>
      <c r="T392">
        <v>20200</v>
      </c>
      <c r="U392">
        <v>20214</v>
      </c>
      <c r="V392">
        <v>12031</v>
      </c>
      <c r="W392">
        <v>1</v>
      </c>
    </row>
    <row r="393" spans="1:23" x14ac:dyDescent="0.25">
      <c r="A393" t="s">
        <v>1181</v>
      </c>
      <c r="B393" t="s">
        <v>1182</v>
      </c>
      <c r="C393">
        <v>4512</v>
      </c>
      <c r="D393">
        <v>148330354</v>
      </c>
      <c r="E393">
        <v>67123887487</v>
      </c>
      <c r="F393">
        <v>445</v>
      </c>
      <c r="G393">
        <v>458</v>
      </c>
      <c r="H393">
        <v>452</v>
      </c>
      <c r="I393">
        <v>7</v>
      </c>
      <c r="J393">
        <v>1.57</v>
      </c>
      <c r="K393">
        <v>453</v>
      </c>
      <c r="L393">
        <v>8</v>
      </c>
      <c r="M393">
        <v>1.8</v>
      </c>
      <c r="N393">
        <v>446</v>
      </c>
      <c r="O393">
        <v>458</v>
      </c>
      <c r="P393" t="s">
        <v>1183</v>
      </c>
      <c r="Q393" t="s">
        <v>2982</v>
      </c>
      <c r="R393">
        <v>2</v>
      </c>
      <c r="S393">
        <v>37162</v>
      </c>
      <c r="T393">
        <v>452</v>
      </c>
      <c r="U393">
        <v>453</v>
      </c>
      <c r="V393">
        <v>146029</v>
      </c>
      <c r="W393">
        <v>3</v>
      </c>
    </row>
    <row r="394" spans="1:23" x14ac:dyDescent="0.25">
      <c r="A394" t="s">
        <v>1184</v>
      </c>
      <c r="B394" t="s">
        <v>1185</v>
      </c>
      <c r="C394">
        <v>158</v>
      </c>
      <c r="D394">
        <v>1078425</v>
      </c>
      <c r="E394">
        <v>6081238575</v>
      </c>
      <c r="F394">
        <v>5371</v>
      </c>
      <c r="G394">
        <v>5639</v>
      </c>
      <c r="H394">
        <v>5639</v>
      </c>
      <c r="I394">
        <v>268</v>
      </c>
      <c r="J394">
        <v>4.99</v>
      </c>
      <c r="K394">
        <v>5639</v>
      </c>
      <c r="L394">
        <v>268</v>
      </c>
      <c r="M394">
        <v>4.99</v>
      </c>
      <c r="N394">
        <v>5639</v>
      </c>
      <c r="O394">
        <v>5639</v>
      </c>
      <c r="P394" t="s">
        <v>1186</v>
      </c>
      <c r="Q394" t="s">
        <v>2983</v>
      </c>
      <c r="R394">
        <v>117</v>
      </c>
      <c r="S394">
        <v>1117811</v>
      </c>
      <c r="T394">
        <v>5639</v>
      </c>
      <c r="U394">
        <v>5642</v>
      </c>
      <c r="V394">
        <v>3321</v>
      </c>
      <c r="W394">
        <v>1</v>
      </c>
    </row>
    <row r="395" spans="1:23" x14ac:dyDescent="0.25">
      <c r="A395" t="s">
        <v>1187</v>
      </c>
      <c r="B395" t="s">
        <v>1188</v>
      </c>
      <c r="C395">
        <v>580</v>
      </c>
      <c r="D395">
        <v>4736111</v>
      </c>
      <c r="E395">
        <v>16612224309</v>
      </c>
      <c r="F395">
        <v>3351</v>
      </c>
      <c r="G395">
        <v>3450</v>
      </c>
      <c r="H395">
        <v>3499</v>
      </c>
      <c r="I395">
        <v>148</v>
      </c>
      <c r="J395">
        <v>4.42</v>
      </c>
      <c r="K395">
        <v>3508</v>
      </c>
      <c r="L395">
        <v>157</v>
      </c>
      <c r="M395">
        <v>4.6900000000000004</v>
      </c>
      <c r="N395">
        <v>3380</v>
      </c>
      <c r="O395">
        <v>3518</v>
      </c>
      <c r="P395" t="s">
        <v>1189</v>
      </c>
      <c r="Q395" t="s">
        <v>2984</v>
      </c>
      <c r="R395">
        <v>1</v>
      </c>
      <c r="S395">
        <v>7655</v>
      </c>
      <c r="T395">
        <v>3499</v>
      </c>
      <c r="U395">
        <v>3500</v>
      </c>
      <c r="V395">
        <v>27742</v>
      </c>
      <c r="W395">
        <v>2</v>
      </c>
    </row>
    <row r="396" spans="1:23" x14ac:dyDescent="0.25">
      <c r="A396" t="s">
        <v>1190</v>
      </c>
      <c r="B396" t="s">
        <v>1191</v>
      </c>
      <c r="C396">
        <v>256</v>
      </c>
      <c r="D396">
        <v>665283</v>
      </c>
      <c r="E396">
        <v>11373678168</v>
      </c>
      <c r="F396">
        <v>16282</v>
      </c>
      <c r="G396">
        <v>17096</v>
      </c>
      <c r="H396">
        <v>17096</v>
      </c>
      <c r="I396">
        <v>814</v>
      </c>
      <c r="J396">
        <v>5</v>
      </c>
      <c r="K396">
        <v>17096</v>
      </c>
      <c r="L396">
        <v>814</v>
      </c>
      <c r="M396">
        <v>5</v>
      </c>
      <c r="N396">
        <v>17096</v>
      </c>
      <c r="O396">
        <v>17096</v>
      </c>
      <c r="P396" t="s">
        <v>1192</v>
      </c>
      <c r="Q396" t="s">
        <v>265</v>
      </c>
      <c r="R396">
        <v>118</v>
      </c>
      <c r="S396">
        <v>301350</v>
      </c>
      <c r="T396">
        <v>17096</v>
      </c>
      <c r="U396">
        <v>0</v>
      </c>
      <c r="V396">
        <v>0</v>
      </c>
      <c r="W396">
        <v>0</v>
      </c>
    </row>
    <row r="397" spans="1:23" x14ac:dyDescent="0.25">
      <c r="A397" t="s">
        <v>1193</v>
      </c>
      <c r="B397" t="s">
        <v>1193</v>
      </c>
      <c r="C397">
        <v>2125</v>
      </c>
      <c r="D397">
        <v>4544503</v>
      </c>
      <c r="E397">
        <v>53740899160</v>
      </c>
      <c r="F397">
        <v>12011</v>
      </c>
      <c r="G397">
        <v>12188</v>
      </c>
      <c r="H397">
        <v>11811</v>
      </c>
      <c r="I397">
        <v>-200</v>
      </c>
      <c r="J397">
        <v>-1.67</v>
      </c>
      <c r="K397">
        <v>11825</v>
      </c>
      <c r="L397">
        <v>-186</v>
      </c>
      <c r="M397">
        <v>-1.55</v>
      </c>
      <c r="N397">
        <v>11698</v>
      </c>
      <c r="O397">
        <v>12195</v>
      </c>
      <c r="P397" t="s">
        <v>1194</v>
      </c>
      <c r="Q397" t="s">
        <v>2609</v>
      </c>
      <c r="R397">
        <v>1</v>
      </c>
      <c r="S397">
        <v>93864</v>
      </c>
      <c r="T397">
        <v>11811</v>
      </c>
      <c r="U397">
        <v>11888</v>
      </c>
      <c r="V397">
        <v>1</v>
      </c>
      <c r="W397">
        <v>1</v>
      </c>
    </row>
    <row r="398" spans="1:23" x14ac:dyDescent="0.25">
      <c r="A398" t="s">
        <v>1195</v>
      </c>
      <c r="B398" t="s">
        <v>1196</v>
      </c>
      <c r="C398">
        <v>6</v>
      </c>
      <c r="D398">
        <v>2770</v>
      </c>
      <c r="E398">
        <v>2697519719</v>
      </c>
      <c r="F398">
        <v>973600</v>
      </c>
      <c r="G398">
        <v>974000</v>
      </c>
      <c r="H398">
        <v>973601</v>
      </c>
      <c r="I398">
        <v>1</v>
      </c>
      <c r="J398">
        <v>0</v>
      </c>
      <c r="K398">
        <v>973834</v>
      </c>
      <c r="L398">
        <v>234</v>
      </c>
      <c r="M398">
        <v>0.02</v>
      </c>
      <c r="N398">
        <v>973443</v>
      </c>
      <c r="O398">
        <v>974000</v>
      </c>
      <c r="R398">
        <v>1</v>
      </c>
      <c r="S398">
        <v>1500</v>
      </c>
      <c r="T398">
        <v>973800</v>
      </c>
      <c r="U398">
        <v>975000</v>
      </c>
      <c r="V398">
        <v>52</v>
      </c>
      <c r="W398">
        <v>1</v>
      </c>
    </row>
    <row r="399" spans="1:23" x14ac:dyDescent="0.25">
      <c r="A399" t="s">
        <v>1197</v>
      </c>
      <c r="B399" t="s">
        <v>1198</v>
      </c>
      <c r="C399">
        <v>0</v>
      </c>
      <c r="D399">
        <v>0</v>
      </c>
      <c r="E399">
        <v>0</v>
      </c>
      <c r="F399">
        <v>1150</v>
      </c>
      <c r="G399">
        <v>0</v>
      </c>
      <c r="H399">
        <v>1200</v>
      </c>
      <c r="I399">
        <v>50</v>
      </c>
      <c r="J399">
        <v>4.3499999999999996</v>
      </c>
      <c r="K399">
        <v>1150</v>
      </c>
      <c r="L399">
        <v>0</v>
      </c>
      <c r="M399">
        <v>0</v>
      </c>
      <c r="N399">
        <v>0</v>
      </c>
      <c r="O399">
        <v>0</v>
      </c>
      <c r="R399">
        <v>1</v>
      </c>
      <c r="S399">
        <v>3</v>
      </c>
      <c r="T399">
        <v>1050</v>
      </c>
      <c r="U399">
        <v>0</v>
      </c>
      <c r="V399">
        <v>0</v>
      </c>
      <c r="W399">
        <v>0</v>
      </c>
    </row>
    <row r="400" spans="1:23" x14ac:dyDescent="0.25">
      <c r="A400" t="s">
        <v>2985</v>
      </c>
      <c r="B400" t="s">
        <v>1803</v>
      </c>
      <c r="C400">
        <v>1</v>
      </c>
      <c r="D400">
        <v>24</v>
      </c>
      <c r="E400">
        <v>240</v>
      </c>
      <c r="F400">
        <v>405963</v>
      </c>
      <c r="G400">
        <v>10</v>
      </c>
      <c r="H400">
        <v>10</v>
      </c>
      <c r="I400">
        <v>-405953</v>
      </c>
      <c r="J400">
        <v>-100</v>
      </c>
      <c r="K400">
        <v>10</v>
      </c>
      <c r="L400">
        <v>-405953</v>
      </c>
      <c r="M400">
        <v>-100</v>
      </c>
      <c r="N400">
        <v>10</v>
      </c>
      <c r="O400">
        <v>10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</row>
    <row r="401" spans="1:23" x14ac:dyDescent="0.25">
      <c r="A401" t="s">
        <v>1199</v>
      </c>
      <c r="B401" t="s">
        <v>1200</v>
      </c>
      <c r="C401">
        <v>72</v>
      </c>
      <c r="D401">
        <v>31604</v>
      </c>
      <c r="E401">
        <v>755026187</v>
      </c>
      <c r="F401">
        <v>22758</v>
      </c>
      <c r="G401">
        <v>23895</v>
      </c>
      <c r="H401">
        <v>23895</v>
      </c>
      <c r="I401">
        <v>1137</v>
      </c>
      <c r="J401">
        <v>5</v>
      </c>
      <c r="K401">
        <v>23056</v>
      </c>
      <c r="L401">
        <v>298</v>
      </c>
      <c r="M401">
        <v>1.31</v>
      </c>
      <c r="N401">
        <v>23566</v>
      </c>
      <c r="O401">
        <v>23895</v>
      </c>
      <c r="P401" t="s">
        <v>1201</v>
      </c>
      <c r="Q401" t="s">
        <v>2986</v>
      </c>
      <c r="R401">
        <v>1</v>
      </c>
      <c r="S401">
        <v>211</v>
      </c>
      <c r="T401">
        <v>23600</v>
      </c>
      <c r="U401">
        <v>23895</v>
      </c>
      <c r="V401">
        <v>717</v>
      </c>
      <c r="W401">
        <v>1</v>
      </c>
    </row>
    <row r="402" spans="1:23" x14ac:dyDescent="0.25">
      <c r="A402" t="s">
        <v>1202</v>
      </c>
      <c r="B402" t="s">
        <v>1203</v>
      </c>
      <c r="C402">
        <v>2</v>
      </c>
      <c r="D402">
        <v>1030</v>
      </c>
      <c r="E402">
        <v>35186990</v>
      </c>
      <c r="F402">
        <v>33665</v>
      </c>
      <c r="G402">
        <v>34233</v>
      </c>
      <c r="H402">
        <v>34160</v>
      </c>
      <c r="I402">
        <v>495</v>
      </c>
      <c r="J402">
        <v>1.47</v>
      </c>
      <c r="K402">
        <v>34162</v>
      </c>
      <c r="L402">
        <v>497</v>
      </c>
      <c r="M402">
        <v>1.48</v>
      </c>
      <c r="N402">
        <v>34160</v>
      </c>
      <c r="O402">
        <v>34233</v>
      </c>
      <c r="R402">
        <v>1</v>
      </c>
      <c r="S402">
        <v>10000</v>
      </c>
      <c r="T402">
        <v>33927</v>
      </c>
      <c r="U402">
        <v>34096</v>
      </c>
      <c r="V402">
        <v>10000</v>
      </c>
      <c r="W402">
        <v>1</v>
      </c>
    </row>
    <row r="403" spans="1:23" x14ac:dyDescent="0.25">
      <c r="A403" t="s">
        <v>1204</v>
      </c>
      <c r="B403" t="s">
        <v>1205</v>
      </c>
      <c r="C403">
        <v>1320</v>
      </c>
      <c r="D403">
        <v>9654336</v>
      </c>
      <c r="E403">
        <v>44987860002</v>
      </c>
      <c r="F403">
        <v>4660</v>
      </c>
      <c r="G403">
        <v>4700</v>
      </c>
      <c r="H403">
        <v>4624</v>
      </c>
      <c r="I403">
        <v>-36</v>
      </c>
      <c r="J403">
        <v>-0.77</v>
      </c>
      <c r="K403">
        <v>4660</v>
      </c>
      <c r="L403">
        <v>0</v>
      </c>
      <c r="M403">
        <v>0</v>
      </c>
      <c r="N403">
        <v>4610</v>
      </c>
      <c r="O403">
        <v>4702</v>
      </c>
      <c r="P403" t="s">
        <v>802</v>
      </c>
      <c r="Q403" t="s">
        <v>2669</v>
      </c>
      <c r="R403">
        <v>3</v>
      </c>
      <c r="S403">
        <v>9000</v>
      </c>
      <c r="T403">
        <v>4624</v>
      </c>
      <c r="U403">
        <v>4625</v>
      </c>
      <c r="V403">
        <v>34000</v>
      </c>
      <c r="W403">
        <v>1</v>
      </c>
    </row>
    <row r="404" spans="1:23" x14ac:dyDescent="0.25">
      <c r="A404" t="s">
        <v>1206</v>
      </c>
      <c r="B404" t="s">
        <v>1207</v>
      </c>
      <c r="C404">
        <v>0</v>
      </c>
      <c r="D404">
        <v>0</v>
      </c>
      <c r="E404">
        <v>0</v>
      </c>
      <c r="F404">
        <v>1</v>
      </c>
      <c r="G404">
        <v>0</v>
      </c>
      <c r="H404">
        <v>1</v>
      </c>
      <c r="I404">
        <v>0</v>
      </c>
      <c r="J404">
        <v>0</v>
      </c>
      <c r="K404">
        <v>1</v>
      </c>
      <c r="L404">
        <v>0</v>
      </c>
      <c r="M404">
        <v>0</v>
      </c>
      <c r="N404">
        <v>0</v>
      </c>
      <c r="O404">
        <v>0</v>
      </c>
      <c r="R404">
        <v>1</v>
      </c>
      <c r="S404">
        <v>20</v>
      </c>
      <c r="T404">
        <v>271</v>
      </c>
      <c r="U404">
        <v>0</v>
      </c>
      <c r="V404">
        <v>0</v>
      </c>
      <c r="W404">
        <v>0</v>
      </c>
    </row>
    <row r="405" spans="1:23" x14ac:dyDescent="0.25">
      <c r="A405" t="s">
        <v>1208</v>
      </c>
      <c r="B405" t="s">
        <v>1209</v>
      </c>
      <c r="C405">
        <v>1024</v>
      </c>
      <c r="D405">
        <v>3107005</v>
      </c>
      <c r="E405">
        <v>26444999104</v>
      </c>
      <c r="F405">
        <v>8344</v>
      </c>
      <c r="G405">
        <v>8601</v>
      </c>
      <c r="H405">
        <v>8520</v>
      </c>
      <c r="I405">
        <v>176</v>
      </c>
      <c r="J405">
        <v>2.11</v>
      </c>
      <c r="K405">
        <v>8511</v>
      </c>
      <c r="L405">
        <v>167</v>
      </c>
      <c r="M405">
        <v>2</v>
      </c>
      <c r="N405">
        <v>8395</v>
      </c>
      <c r="O405">
        <v>8601</v>
      </c>
      <c r="P405" t="s">
        <v>1210</v>
      </c>
      <c r="Q405" t="s">
        <v>2987</v>
      </c>
      <c r="R405">
        <v>2</v>
      </c>
      <c r="S405">
        <v>700</v>
      </c>
      <c r="T405">
        <v>8498</v>
      </c>
      <c r="U405">
        <v>8520</v>
      </c>
      <c r="V405">
        <v>4533</v>
      </c>
      <c r="W405">
        <v>1</v>
      </c>
    </row>
    <row r="406" spans="1:23" x14ac:dyDescent="0.25">
      <c r="A406" t="s">
        <v>1211</v>
      </c>
      <c r="B406" t="s">
        <v>1212</v>
      </c>
      <c r="C406">
        <v>0</v>
      </c>
      <c r="D406">
        <v>0</v>
      </c>
      <c r="E406">
        <v>0</v>
      </c>
      <c r="F406">
        <v>500</v>
      </c>
      <c r="G406">
        <v>0</v>
      </c>
      <c r="H406">
        <v>500</v>
      </c>
      <c r="I406">
        <v>0</v>
      </c>
      <c r="J406">
        <v>0</v>
      </c>
      <c r="K406">
        <v>500</v>
      </c>
      <c r="L406">
        <v>0</v>
      </c>
      <c r="M406">
        <v>0</v>
      </c>
      <c r="N406">
        <v>0</v>
      </c>
      <c r="O406">
        <v>0</v>
      </c>
      <c r="R406">
        <v>1</v>
      </c>
      <c r="S406">
        <v>100</v>
      </c>
      <c r="T406">
        <v>151</v>
      </c>
      <c r="U406">
        <v>500</v>
      </c>
      <c r="V406">
        <v>100</v>
      </c>
      <c r="W406">
        <v>1</v>
      </c>
    </row>
    <row r="407" spans="1:23" x14ac:dyDescent="0.25">
      <c r="A407" t="s">
        <v>1213</v>
      </c>
      <c r="B407" t="s">
        <v>1214</v>
      </c>
      <c r="C407">
        <v>198</v>
      </c>
      <c r="D407">
        <v>467520</v>
      </c>
      <c r="E407">
        <v>4266192563</v>
      </c>
      <c r="F407">
        <v>8896</v>
      </c>
      <c r="G407">
        <v>9300</v>
      </c>
      <c r="H407">
        <v>9150</v>
      </c>
      <c r="I407">
        <v>254</v>
      </c>
      <c r="J407">
        <v>2.86</v>
      </c>
      <c r="K407">
        <v>9125</v>
      </c>
      <c r="L407">
        <v>229</v>
      </c>
      <c r="M407">
        <v>2.57</v>
      </c>
      <c r="N407">
        <v>9000</v>
      </c>
      <c r="O407">
        <v>9300</v>
      </c>
      <c r="P407" t="s">
        <v>1215</v>
      </c>
      <c r="Q407" t="s">
        <v>2988</v>
      </c>
      <c r="R407">
        <v>1</v>
      </c>
      <c r="S407">
        <v>415</v>
      </c>
      <c r="T407">
        <v>9091</v>
      </c>
      <c r="U407">
        <v>9150</v>
      </c>
      <c r="V407">
        <v>23017</v>
      </c>
      <c r="W407">
        <v>2</v>
      </c>
    </row>
    <row r="408" spans="1:23" x14ac:dyDescent="0.25">
      <c r="A408" t="s">
        <v>1216</v>
      </c>
      <c r="B408" t="s">
        <v>1217</v>
      </c>
      <c r="C408">
        <v>586</v>
      </c>
      <c r="D408">
        <v>2765415</v>
      </c>
      <c r="E408">
        <v>15279440090</v>
      </c>
      <c r="F408">
        <v>5345</v>
      </c>
      <c r="G408">
        <v>5612</v>
      </c>
      <c r="H408">
        <v>5580</v>
      </c>
      <c r="I408">
        <v>235</v>
      </c>
      <c r="J408">
        <v>4.4000000000000004</v>
      </c>
      <c r="K408">
        <v>5525</v>
      </c>
      <c r="L408">
        <v>180</v>
      </c>
      <c r="M408">
        <v>3.37</v>
      </c>
      <c r="N408">
        <v>5423</v>
      </c>
      <c r="O408">
        <v>5612</v>
      </c>
      <c r="P408" t="s">
        <v>1126</v>
      </c>
      <c r="Q408" t="s">
        <v>2989</v>
      </c>
      <c r="R408">
        <v>1</v>
      </c>
      <c r="S408">
        <v>181</v>
      </c>
      <c r="T408">
        <v>5577</v>
      </c>
      <c r="U408">
        <v>5580</v>
      </c>
      <c r="V408">
        <v>7500</v>
      </c>
      <c r="W408">
        <v>2</v>
      </c>
    </row>
    <row r="409" spans="1:23" x14ac:dyDescent="0.25">
      <c r="A409" t="s">
        <v>2990</v>
      </c>
      <c r="B409" t="s">
        <v>2991</v>
      </c>
      <c r="C409">
        <v>4</v>
      </c>
      <c r="D409">
        <v>40000</v>
      </c>
      <c r="E409">
        <v>40000000000</v>
      </c>
      <c r="F409">
        <v>1000000</v>
      </c>
      <c r="G409">
        <v>1000000</v>
      </c>
      <c r="H409">
        <v>1000000</v>
      </c>
      <c r="I409">
        <v>0</v>
      </c>
      <c r="J409">
        <v>0</v>
      </c>
      <c r="K409">
        <v>1000000</v>
      </c>
      <c r="L409">
        <v>0</v>
      </c>
      <c r="M409">
        <v>0</v>
      </c>
      <c r="N409">
        <v>1000000</v>
      </c>
      <c r="O409">
        <v>1000000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</row>
    <row r="410" spans="1:23" x14ac:dyDescent="0.25">
      <c r="A410" t="s">
        <v>1218</v>
      </c>
      <c r="B410" t="s">
        <v>1219</v>
      </c>
      <c r="C410">
        <v>5</v>
      </c>
      <c r="D410">
        <v>500</v>
      </c>
      <c r="E410">
        <v>42500000</v>
      </c>
      <c r="F410">
        <v>77</v>
      </c>
      <c r="G410">
        <v>85</v>
      </c>
      <c r="H410">
        <v>85</v>
      </c>
      <c r="I410">
        <v>8</v>
      </c>
      <c r="J410">
        <v>10.39</v>
      </c>
      <c r="K410">
        <v>85</v>
      </c>
      <c r="L410">
        <v>8</v>
      </c>
      <c r="M410">
        <v>10.39</v>
      </c>
      <c r="N410">
        <v>85</v>
      </c>
      <c r="O410">
        <v>85</v>
      </c>
      <c r="R410">
        <v>1</v>
      </c>
      <c r="S410">
        <v>100</v>
      </c>
      <c r="T410">
        <v>68</v>
      </c>
      <c r="U410">
        <v>81</v>
      </c>
      <c r="V410">
        <v>500</v>
      </c>
      <c r="W410">
        <v>5</v>
      </c>
    </row>
    <row r="411" spans="1:23" x14ac:dyDescent="0.25">
      <c r="A411" t="s">
        <v>1220</v>
      </c>
      <c r="B411" t="s">
        <v>1221</v>
      </c>
      <c r="C411">
        <v>0</v>
      </c>
      <c r="D411">
        <v>0</v>
      </c>
      <c r="E411">
        <v>0</v>
      </c>
      <c r="F411">
        <v>1</v>
      </c>
      <c r="G411">
        <v>0</v>
      </c>
      <c r="H411">
        <v>1</v>
      </c>
      <c r="I411">
        <v>0</v>
      </c>
      <c r="J411">
        <v>0</v>
      </c>
      <c r="K411">
        <v>1</v>
      </c>
      <c r="L411">
        <v>0</v>
      </c>
      <c r="M411">
        <v>0</v>
      </c>
      <c r="N411">
        <v>0</v>
      </c>
      <c r="O411">
        <v>0</v>
      </c>
      <c r="R411">
        <v>1</v>
      </c>
      <c r="S411">
        <v>100</v>
      </c>
      <c r="T411">
        <v>10</v>
      </c>
      <c r="U411">
        <v>0</v>
      </c>
      <c r="V411">
        <v>0</v>
      </c>
      <c r="W411">
        <v>0</v>
      </c>
    </row>
    <row r="412" spans="1:23" x14ac:dyDescent="0.25">
      <c r="A412" t="s">
        <v>1222</v>
      </c>
      <c r="B412" t="s">
        <v>1223</v>
      </c>
      <c r="C412">
        <v>55</v>
      </c>
      <c r="D412">
        <v>82658</v>
      </c>
      <c r="E412">
        <v>66147921304</v>
      </c>
      <c r="F412">
        <v>799336</v>
      </c>
      <c r="G412">
        <v>799000</v>
      </c>
      <c r="H412">
        <v>800303</v>
      </c>
      <c r="I412">
        <v>967</v>
      </c>
      <c r="J412">
        <v>0.12</v>
      </c>
      <c r="K412">
        <v>800260</v>
      </c>
      <c r="L412">
        <v>924</v>
      </c>
      <c r="M412">
        <v>0.12</v>
      </c>
      <c r="N412">
        <v>799000</v>
      </c>
      <c r="O412">
        <v>800999</v>
      </c>
      <c r="R412">
        <v>1</v>
      </c>
      <c r="S412">
        <v>3888</v>
      </c>
      <c r="T412">
        <v>800305</v>
      </c>
      <c r="U412">
        <v>800650</v>
      </c>
      <c r="V412">
        <v>1000</v>
      </c>
      <c r="W412">
        <v>1</v>
      </c>
    </row>
    <row r="413" spans="1:23" x14ac:dyDescent="0.25">
      <c r="A413" t="s">
        <v>2992</v>
      </c>
      <c r="B413" t="s">
        <v>2993</v>
      </c>
      <c r="C413">
        <v>90</v>
      </c>
      <c r="D413">
        <v>368355</v>
      </c>
      <c r="E413">
        <v>1142304459</v>
      </c>
      <c r="F413">
        <v>3052</v>
      </c>
      <c r="G413">
        <v>3147</v>
      </c>
      <c r="H413">
        <v>3065</v>
      </c>
      <c r="I413">
        <v>13</v>
      </c>
      <c r="J413">
        <v>0.43</v>
      </c>
      <c r="K413">
        <v>3101</v>
      </c>
      <c r="L413">
        <v>49</v>
      </c>
      <c r="M413">
        <v>1.61</v>
      </c>
      <c r="N413">
        <v>3035</v>
      </c>
      <c r="O413">
        <v>3150</v>
      </c>
      <c r="R413">
        <v>1</v>
      </c>
      <c r="S413">
        <v>1223</v>
      </c>
      <c r="T413">
        <v>3065</v>
      </c>
      <c r="U413">
        <v>3090</v>
      </c>
      <c r="V413">
        <v>10000</v>
      </c>
      <c r="W413">
        <v>1</v>
      </c>
    </row>
    <row r="414" spans="1:23" x14ac:dyDescent="0.25">
      <c r="A414" t="s">
        <v>1224</v>
      </c>
      <c r="B414" t="s">
        <v>2670</v>
      </c>
      <c r="C414">
        <v>0</v>
      </c>
      <c r="D414">
        <v>0</v>
      </c>
      <c r="E414">
        <v>0</v>
      </c>
      <c r="F414">
        <v>1</v>
      </c>
      <c r="G414">
        <v>0</v>
      </c>
      <c r="H414">
        <v>1</v>
      </c>
      <c r="I414">
        <v>0</v>
      </c>
      <c r="J414">
        <v>0</v>
      </c>
      <c r="K414">
        <v>1</v>
      </c>
      <c r="L414">
        <v>0</v>
      </c>
      <c r="M414">
        <v>0</v>
      </c>
      <c r="N414">
        <v>0</v>
      </c>
      <c r="O414">
        <v>0</v>
      </c>
      <c r="R414">
        <v>1</v>
      </c>
      <c r="S414">
        <v>100</v>
      </c>
      <c r="T414">
        <v>20</v>
      </c>
      <c r="U414">
        <v>0</v>
      </c>
      <c r="V414">
        <v>0</v>
      </c>
      <c r="W414">
        <v>0</v>
      </c>
    </row>
    <row r="415" spans="1:23" x14ac:dyDescent="0.25">
      <c r="A415" t="s">
        <v>1226</v>
      </c>
      <c r="B415" t="s">
        <v>1227</v>
      </c>
      <c r="C415">
        <v>183</v>
      </c>
      <c r="D415">
        <v>259377</v>
      </c>
      <c r="E415">
        <v>1691109726</v>
      </c>
      <c r="F415">
        <v>6557</v>
      </c>
      <c r="G415">
        <v>6651</v>
      </c>
      <c r="H415">
        <v>6400</v>
      </c>
      <c r="I415">
        <v>-157</v>
      </c>
      <c r="J415">
        <v>-2.39</v>
      </c>
      <c r="K415">
        <v>6535</v>
      </c>
      <c r="L415">
        <v>-22</v>
      </c>
      <c r="M415">
        <v>-0.34</v>
      </c>
      <c r="N415">
        <v>6400</v>
      </c>
      <c r="O415">
        <v>6651</v>
      </c>
      <c r="P415" t="s">
        <v>1228</v>
      </c>
      <c r="Q415" t="s">
        <v>2994</v>
      </c>
      <c r="R415">
        <v>1</v>
      </c>
      <c r="S415">
        <v>2600</v>
      </c>
      <c r="T415">
        <v>6510</v>
      </c>
      <c r="U415">
        <v>6517</v>
      </c>
      <c r="V415">
        <v>1000</v>
      </c>
      <c r="W415">
        <v>1</v>
      </c>
    </row>
    <row r="416" spans="1:23" x14ac:dyDescent="0.25">
      <c r="A416" t="s">
        <v>1229</v>
      </c>
      <c r="B416" t="s">
        <v>1230</v>
      </c>
      <c r="C416">
        <v>58</v>
      </c>
      <c r="D416">
        <v>1713550</v>
      </c>
      <c r="E416">
        <v>25411946500</v>
      </c>
      <c r="F416">
        <v>14124</v>
      </c>
      <c r="G416">
        <v>14830</v>
      </c>
      <c r="H416">
        <v>14830</v>
      </c>
      <c r="I416">
        <v>706</v>
      </c>
      <c r="J416">
        <v>5</v>
      </c>
      <c r="K416">
        <v>14830</v>
      </c>
      <c r="L416">
        <v>706</v>
      </c>
      <c r="M416">
        <v>5</v>
      </c>
      <c r="N416">
        <v>14830</v>
      </c>
      <c r="O416">
        <v>14830</v>
      </c>
      <c r="P416" t="s">
        <v>1231</v>
      </c>
      <c r="Q416" t="s">
        <v>2995</v>
      </c>
      <c r="R416">
        <v>647</v>
      </c>
      <c r="S416">
        <v>37027599</v>
      </c>
      <c r="T416">
        <v>14830</v>
      </c>
      <c r="U416">
        <v>15500</v>
      </c>
      <c r="V416">
        <v>1300</v>
      </c>
      <c r="W416">
        <v>1</v>
      </c>
    </row>
    <row r="417" spans="1:23" x14ac:dyDescent="0.25">
      <c r="A417" t="s">
        <v>1232</v>
      </c>
      <c r="B417" t="s">
        <v>1233</v>
      </c>
      <c r="C417">
        <v>150</v>
      </c>
      <c r="D417">
        <v>999295</v>
      </c>
      <c r="E417">
        <v>3517707169</v>
      </c>
      <c r="F417">
        <v>3530</v>
      </c>
      <c r="G417">
        <v>3598</v>
      </c>
      <c r="H417">
        <v>3450</v>
      </c>
      <c r="I417">
        <v>-80</v>
      </c>
      <c r="J417">
        <v>-2.27</v>
      </c>
      <c r="K417">
        <v>3520</v>
      </c>
      <c r="L417">
        <v>-10</v>
      </c>
      <c r="M417">
        <v>-0.28000000000000003</v>
      </c>
      <c r="N417">
        <v>3449</v>
      </c>
      <c r="O417">
        <v>3600</v>
      </c>
      <c r="P417" t="s">
        <v>1234</v>
      </c>
      <c r="Q417" t="s">
        <v>2996</v>
      </c>
      <c r="R417">
        <v>1</v>
      </c>
      <c r="S417">
        <v>8247</v>
      </c>
      <c r="T417">
        <v>3449</v>
      </c>
      <c r="U417">
        <v>3450</v>
      </c>
      <c r="V417">
        <v>97332</v>
      </c>
      <c r="W417">
        <v>1</v>
      </c>
    </row>
    <row r="418" spans="1:23" x14ac:dyDescent="0.25">
      <c r="A418" t="s">
        <v>1235</v>
      </c>
      <c r="B418" t="s">
        <v>1236</v>
      </c>
      <c r="C418">
        <v>730</v>
      </c>
      <c r="D418">
        <v>2621372</v>
      </c>
      <c r="E418">
        <v>13198970137</v>
      </c>
      <c r="F418">
        <v>5066</v>
      </c>
      <c r="G418">
        <v>5160</v>
      </c>
      <c r="H418">
        <v>4971</v>
      </c>
      <c r="I418">
        <v>-95</v>
      </c>
      <c r="J418">
        <v>-1.88</v>
      </c>
      <c r="K418">
        <v>5035</v>
      </c>
      <c r="L418">
        <v>-31</v>
      </c>
      <c r="M418">
        <v>-0.61</v>
      </c>
      <c r="N418">
        <v>4970</v>
      </c>
      <c r="O418">
        <v>5160</v>
      </c>
      <c r="P418" t="s">
        <v>1237</v>
      </c>
      <c r="Q418" t="s">
        <v>2997</v>
      </c>
      <c r="R418">
        <v>2</v>
      </c>
      <c r="S418">
        <v>5099</v>
      </c>
      <c r="T418">
        <v>4971</v>
      </c>
      <c r="U418">
        <v>4980</v>
      </c>
      <c r="V418">
        <v>20201</v>
      </c>
      <c r="W418">
        <v>1</v>
      </c>
    </row>
    <row r="419" spans="1:23" x14ac:dyDescent="0.25">
      <c r="A419" t="s">
        <v>1238</v>
      </c>
      <c r="B419" t="s">
        <v>1239</v>
      </c>
      <c r="C419">
        <v>47</v>
      </c>
      <c r="D419">
        <v>431470</v>
      </c>
      <c r="E419">
        <v>11774384830</v>
      </c>
      <c r="F419">
        <v>25990</v>
      </c>
      <c r="G419">
        <v>27289</v>
      </c>
      <c r="H419">
        <v>27289</v>
      </c>
      <c r="I419">
        <v>1299</v>
      </c>
      <c r="J419">
        <v>5</v>
      </c>
      <c r="K419">
        <v>27289</v>
      </c>
      <c r="L419">
        <v>1299</v>
      </c>
      <c r="M419">
        <v>5</v>
      </c>
      <c r="N419">
        <v>27289</v>
      </c>
      <c r="O419">
        <v>27289</v>
      </c>
      <c r="P419" t="s">
        <v>885</v>
      </c>
      <c r="Q419" t="s">
        <v>2998</v>
      </c>
      <c r="R419">
        <v>58</v>
      </c>
      <c r="S419">
        <v>726416</v>
      </c>
      <c r="T419">
        <v>27289</v>
      </c>
      <c r="U419">
        <v>27289</v>
      </c>
      <c r="V419">
        <v>17737</v>
      </c>
      <c r="W419">
        <v>3</v>
      </c>
    </row>
    <row r="420" spans="1:23" x14ac:dyDescent="0.25">
      <c r="A420" t="s">
        <v>1240</v>
      </c>
      <c r="B420" t="s">
        <v>1241</v>
      </c>
      <c r="C420">
        <v>57</v>
      </c>
      <c r="D420">
        <v>729546</v>
      </c>
      <c r="E420">
        <v>14840509992</v>
      </c>
      <c r="F420">
        <v>20330</v>
      </c>
      <c r="G420">
        <v>20342</v>
      </c>
      <c r="H420">
        <v>20341</v>
      </c>
      <c r="I420">
        <v>11</v>
      </c>
      <c r="J420">
        <v>0.05</v>
      </c>
      <c r="K420">
        <v>20342</v>
      </c>
      <c r="L420">
        <v>12</v>
      </c>
      <c r="M420">
        <v>0.06</v>
      </c>
      <c r="N420">
        <v>20341</v>
      </c>
      <c r="O420">
        <v>20343</v>
      </c>
      <c r="R420">
        <v>30</v>
      </c>
      <c r="S420">
        <v>2991918</v>
      </c>
      <c r="T420">
        <v>20341</v>
      </c>
      <c r="U420">
        <v>20343</v>
      </c>
      <c r="V420">
        <v>3002000</v>
      </c>
      <c r="W420">
        <v>31</v>
      </c>
    </row>
    <row r="421" spans="1:23" x14ac:dyDescent="0.25">
      <c r="A421" t="s">
        <v>1242</v>
      </c>
      <c r="B421" t="s">
        <v>1243</v>
      </c>
      <c r="C421">
        <v>318</v>
      </c>
      <c r="D421">
        <v>315439</v>
      </c>
      <c r="E421">
        <v>10137812542</v>
      </c>
      <c r="F421">
        <v>32903</v>
      </c>
      <c r="G421">
        <v>32990</v>
      </c>
      <c r="H421">
        <v>32000</v>
      </c>
      <c r="I421">
        <v>-903</v>
      </c>
      <c r="J421">
        <v>-2.74</v>
      </c>
      <c r="K421">
        <v>32139</v>
      </c>
      <c r="L421">
        <v>-764</v>
      </c>
      <c r="M421">
        <v>-2.3199999999999998</v>
      </c>
      <c r="N421">
        <v>31446</v>
      </c>
      <c r="O421">
        <v>32990</v>
      </c>
      <c r="P421" t="s">
        <v>1244</v>
      </c>
      <c r="Q421" t="s">
        <v>2999</v>
      </c>
      <c r="R421">
        <v>1</v>
      </c>
      <c r="S421">
        <v>111</v>
      </c>
      <c r="T421">
        <v>31801</v>
      </c>
      <c r="U421">
        <v>31999</v>
      </c>
      <c r="V421">
        <v>1939</v>
      </c>
      <c r="W421">
        <v>1</v>
      </c>
    </row>
    <row r="422" spans="1:23" x14ac:dyDescent="0.25">
      <c r="A422" t="s">
        <v>1245</v>
      </c>
      <c r="B422" t="s">
        <v>1246</v>
      </c>
      <c r="C422">
        <v>40</v>
      </c>
      <c r="D422">
        <v>7105</v>
      </c>
      <c r="E422">
        <v>7206656730</v>
      </c>
      <c r="F422">
        <v>1015201</v>
      </c>
      <c r="G422">
        <v>1014552</v>
      </c>
      <c r="H422">
        <v>1014999</v>
      </c>
      <c r="I422">
        <v>-202</v>
      </c>
      <c r="J422">
        <v>-0.02</v>
      </c>
      <c r="K422">
        <v>1014308</v>
      </c>
      <c r="L422">
        <v>-893</v>
      </c>
      <c r="M422">
        <v>-0.09</v>
      </c>
      <c r="N422">
        <v>1010031</v>
      </c>
      <c r="O422">
        <v>1014999</v>
      </c>
      <c r="R422">
        <v>1</v>
      </c>
      <c r="S422">
        <v>3</v>
      </c>
      <c r="T422">
        <v>1013503</v>
      </c>
      <c r="U422">
        <v>1014999</v>
      </c>
      <c r="V422">
        <v>740</v>
      </c>
      <c r="W422">
        <v>1</v>
      </c>
    </row>
    <row r="423" spans="1:23" x14ac:dyDescent="0.25">
      <c r="A423" t="s">
        <v>1248</v>
      </c>
      <c r="B423" t="s">
        <v>1249</v>
      </c>
      <c r="C423">
        <v>560</v>
      </c>
      <c r="D423">
        <v>477199</v>
      </c>
      <c r="E423">
        <v>10053421779</v>
      </c>
      <c r="F423">
        <v>21520</v>
      </c>
      <c r="G423">
        <v>21996</v>
      </c>
      <c r="H423">
        <v>21000</v>
      </c>
      <c r="I423">
        <v>-520</v>
      </c>
      <c r="J423">
        <v>-2.42</v>
      </c>
      <c r="K423">
        <v>21068</v>
      </c>
      <c r="L423">
        <v>-452</v>
      </c>
      <c r="M423">
        <v>-2.1</v>
      </c>
      <c r="N423">
        <v>20444</v>
      </c>
      <c r="O423">
        <v>21996</v>
      </c>
      <c r="P423" t="s">
        <v>1250</v>
      </c>
      <c r="Q423" t="s">
        <v>3000</v>
      </c>
      <c r="R423">
        <v>1</v>
      </c>
      <c r="S423">
        <v>250</v>
      </c>
      <c r="T423">
        <v>21001</v>
      </c>
      <c r="U423">
        <v>21275</v>
      </c>
      <c r="V423">
        <v>1300</v>
      </c>
      <c r="W423">
        <v>1</v>
      </c>
    </row>
    <row r="424" spans="1:23" x14ac:dyDescent="0.25">
      <c r="A424" t="s">
        <v>1251</v>
      </c>
      <c r="B424" t="s">
        <v>1252</v>
      </c>
      <c r="C424">
        <v>373</v>
      </c>
      <c r="D424">
        <v>1555119</v>
      </c>
      <c r="E424">
        <v>26589755728</v>
      </c>
      <c r="F424">
        <v>17000</v>
      </c>
      <c r="G424">
        <v>17390</v>
      </c>
      <c r="H424">
        <v>17060</v>
      </c>
      <c r="I424">
        <v>60</v>
      </c>
      <c r="J424">
        <v>0.35</v>
      </c>
      <c r="K424">
        <v>17098</v>
      </c>
      <c r="L424">
        <v>98</v>
      </c>
      <c r="M424">
        <v>0.57999999999999996</v>
      </c>
      <c r="N424">
        <v>16996</v>
      </c>
      <c r="O424">
        <v>17390</v>
      </c>
      <c r="P424" t="s">
        <v>1253</v>
      </c>
      <c r="Q424" t="s">
        <v>3001</v>
      </c>
      <c r="R424">
        <v>3</v>
      </c>
      <c r="S424">
        <v>25295</v>
      </c>
      <c r="T424">
        <v>17006</v>
      </c>
      <c r="U424">
        <v>17060</v>
      </c>
      <c r="V424">
        <v>5463</v>
      </c>
      <c r="W424">
        <v>1</v>
      </c>
    </row>
    <row r="425" spans="1:23" x14ac:dyDescent="0.25">
      <c r="A425" t="s">
        <v>1254</v>
      </c>
      <c r="B425" t="s">
        <v>1255</v>
      </c>
      <c r="C425">
        <v>232</v>
      </c>
      <c r="D425">
        <v>1431053</v>
      </c>
      <c r="E425">
        <v>27483372865</v>
      </c>
      <c r="F425">
        <v>18291</v>
      </c>
      <c r="G425">
        <v>19205</v>
      </c>
      <c r="H425">
        <v>19205</v>
      </c>
      <c r="I425">
        <v>914</v>
      </c>
      <c r="J425">
        <v>5</v>
      </c>
      <c r="K425">
        <v>19205</v>
      </c>
      <c r="L425">
        <v>914</v>
      </c>
      <c r="M425">
        <v>5</v>
      </c>
      <c r="N425">
        <v>19205</v>
      </c>
      <c r="O425">
        <v>19205</v>
      </c>
      <c r="P425" t="s">
        <v>1256</v>
      </c>
      <c r="Q425" t="s">
        <v>3002</v>
      </c>
      <c r="R425">
        <v>231</v>
      </c>
      <c r="S425">
        <v>1096567</v>
      </c>
      <c r="T425">
        <v>19205</v>
      </c>
      <c r="U425">
        <v>19643</v>
      </c>
      <c r="V425">
        <v>17951</v>
      </c>
      <c r="W425">
        <v>2</v>
      </c>
    </row>
    <row r="426" spans="1:23" x14ac:dyDescent="0.25">
      <c r="A426" t="s">
        <v>1257</v>
      </c>
      <c r="B426" t="s">
        <v>1258</v>
      </c>
      <c r="C426">
        <v>956</v>
      </c>
      <c r="D426">
        <v>2554403</v>
      </c>
      <c r="E426">
        <v>24096109308</v>
      </c>
      <c r="F426">
        <v>9144</v>
      </c>
      <c r="G426">
        <v>9548</v>
      </c>
      <c r="H426">
        <v>9451</v>
      </c>
      <c r="I426">
        <v>307</v>
      </c>
      <c r="J426">
        <v>3.36</v>
      </c>
      <c r="K426">
        <v>9433</v>
      </c>
      <c r="L426">
        <v>289</v>
      </c>
      <c r="M426">
        <v>3.16</v>
      </c>
      <c r="N426">
        <v>9252</v>
      </c>
      <c r="O426">
        <v>9548</v>
      </c>
      <c r="P426" t="s">
        <v>1259</v>
      </c>
      <c r="Q426" t="s">
        <v>3003</v>
      </c>
      <c r="R426">
        <v>2</v>
      </c>
      <c r="S426">
        <v>19992</v>
      </c>
      <c r="T426">
        <v>9451</v>
      </c>
      <c r="U426">
        <v>9459</v>
      </c>
      <c r="V426">
        <v>2000</v>
      </c>
      <c r="W426">
        <v>1</v>
      </c>
    </row>
    <row r="427" spans="1:23" x14ac:dyDescent="0.25">
      <c r="A427" t="s">
        <v>2671</v>
      </c>
      <c r="B427" t="s">
        <v>2672</v>
      </c>
      <c r="C427">
        <v>1301</v>
      </c>
      <c r="D427">
        <v>44655513</v>
      </c>
      <c r="E427">
        <v>105607467073</v>
      </c>
      <c r="F427">
        <v>2253</v>
      </c>
      <c r="G427">
        <v>2365</v>
      </c>
      <c r="H427">
        <v>2365</v>
      </c>
      <c r="I427">
        <v>112</v>
      </c>
      <c r="J427">
        <v>4.97</v>
      </c>
      <c r="K427">
        <v>2365</v>
      </c>
      <c r="L427">
        <v>112</v>
      </c>
      <c r="M427">
        <v>4.97</v>
      </c>
      <c r="N427">
        <v>2352</v>
      </c>
      <c r="O427">
        <v>2365</v>
      </c>
      <c r="P427" t="s">
        <v>2673</v>
      </c>
      <c r="Q427" t="s">
        <v>3004</v>
      </c>
      <c r="R427">
        <v>232</v>
      </c>
      <c r="S427">
        <v>10288216</v>
      </c>
      <c r="T427">
        <v>2365</v>
      </c>
      <c r="U427">
        <v>2715</v>
      </c>
      <c r="V427">
        <v>251</v>
      </c>
      <c r="W427">
        <v>2</v>
      </c>
    </row>
    <row r="428" spans="1:23" x14ac:dyDescent="0.25">
      <c r="A428" t="s">
        <v>1260</v>
      </c>
      <c r="B428" t="s">
        <v>1261</v>
      </c>
      <c r="C428">
        <v>101</v>
      </c>
      <c r="D428">
        <v>18314</v>
      </c>
      <c r="E428">
        <v>885507518</v>
      </c>
      <c r="F428">
        <v>49474</v>
      </c>
      <c r="G428">
        <v>49474</v>
      </c>
      <c r="H428">
        <v>48300</v>
      </c>
      <c r="I428">
        <v>-1174</v>
      </c>
      <c r="J428">
        <v>-2.37</v>
      </c>
      <c r="K428">
        <v>48351</v>
      </c>
      <c r="L428">
        <v>-1123</v>
      </c>
      <c r="M428">
        <v>-2.27</v>
      </c>
      <c r="N428">
        <v>48000</v>
      </c>
      <c r="O428">
        <v>49474</v>
      </c>
      <c r="P428" t="s">
        <v>1262</v>
      </c>
      <c r="Q428" t="s">
        <v>3005</v>
      </c>
      <c r="R428">
        <v>1</v>
      </c>
      <c r="S428">
        <v>70</v>
      </c>
      <c r="T428">
        <v>48301</v>
      </c>
      <c r="U428">
        <v>48500</v>
      </c>
      <c r="V428">
        <v>478</v>
      </c>
      <c r="W428">
        <v>1</v>
      </c>
    </row>
    <row r="429" spans="1:23" x14ac:dyDescent="0.25">
      <c r="A429" t="s">
        <v>1263</v>
      </c>
      <c r="B429" t="s">
        <v>1264</v>
      </c>
      <c r="C429">
        <v>76</v>
      </c>
      <c r="D429">
        <v>356576</v>
      </c>
      <c r="E429">
        <v>6971818878</v>
      </c>
      <c r="F429">
        <v>18622</v>
      </c>
      <c r="G429">
        <v>19553</v>
      </c>
      <c r="H429">
        <v>19500</v>
      </c>
      <c r="I429">
        <v>878</v>
      </c>
      <c r="J429">
        <v>4.71</v>
      </c>
      <c r="K429">
        <v>19552</v>
      </c>
      <c r="L429">
        <v>930</v>
      </c>
      <c r="M429">
        <v>4.99</v>
      </c>
      <c r="N429">
        <v>19500</v>
      </c>
      <c r="O429">
        <v>19553</v>
      </c>
      <c r="P429" t="s">
        <v>1265</v>
      </c>
      <c r="Q429" t="s">
        <v>3006</v>
      </c>
      <c r="R429">
        <v>2</v>
      </c>
      <c r="S429">
        <v>1100</v>
      </c>
      <c r="T429">
        <v>19000</v>
      </c>
      <c r="U429">
        <v>19500</v>
      </c>
      <c r="V429">
        <v>33150</v>
      </c>
      <c r="W429">
        <v>4</v>
      </c>
    </row>
    <row r="430" spans="1:23" x14ac:dyDescent="0.25">
      <c r="A430" t="s">
        <v>1266</v>
      </c>
      <c r="B430" t="s">
        <v>1267</v>
      </c>
      <c r="C430">
        <v>0</v>
      </c>
      <c r="D430">
        <v>0</v>
      </c>
      <c r="E430">
        <v>0</v>
      </c>
      <c r="F430">
        <v>6903</v>
      </c>
      <c r="G430">
        <v>0</v>
      </c>
      <c r="H430">
        <v>6903</v>
      </c>
      <c r="I430">
        <v>0</v>
      </c>
      <c r="J430">
        <v>0</v>
      </c>
      <c r="K430">
        <v>6903</v>
      </c>
      <c r="L430">
        <v>0</v>
      </c>
      <c r="M430">
        <v>0</v>
      </c>
      <c r="N430">
        <v>0</v>
      </c>
      <c r="O430">
        <v>0</v>
      </c>
      <c r="P430" t="s">
        <v>1268</v>
      </c>
      <c r="Q430" t="s">
        <v>282</v>
      </c>
      <c r="R430">
        <v>1</v>
      </c>
      <c r="S430">
        <v>1981</v>
      </c>
      <c r="T430">
        <v>8000</v>
      </c>
      <c r="U430">
        <v>18750</v>
      </c>
      <c r="V430">
        <v>4580</v>
      </c>
      <c r="W430">
        <v>2</v>
      </c>
    </row>
    <row r="431" spans="1:23" x14ac:dyDescent="0.25">
      <c r="A431" t="s">
        <v>1269</v>
      </c>
      <c r="B431" t="s">
        <v>1270</v>
      </c>
      <c r="C431">
        <v>393</v>
      </c>
      <c r="D431">
        <v>2950963</v>
      </c>
      <c r="E431">
        <v>6902265280</v>
      </c>
      <c r="F431">
        <v>2313</v>
      </c>
      <c r="G431">
        <v>2345</v>
      </c>
      <c r="H431">
        <v>2341</v>
      </c>
      <c r="I431">
        <v>28</v>
      </c>
      <c r="J431">
        <v>1.21</v>
      </c>
      <c r="K431">
        <v>2339</v>
      </c>
      <c r="L431">
        <v>26</v>
      </c>
      <c r="M431">
        <v>1.1200000000000001</v>
      </c>
      <c r="N431">
        <v>2313</v>
      </c>
      <c r="O431">
        <v>2370</v>
      </c>
      <c r="P431" t="s">
        <v>522</v>
      </c>
      <c r="Q431" t="s">
        <v>3007</v>
      </c>
      <c r="R431">
        <v>1</v>
      </c>
      <c r="S431">
        <v>280</v>
      </c>
      <c r="T431">
        <v>2341</v>
      </c>
      <c r="U431">
        <v>2350</v>
      </c>
      <c r="V431">
        <v>15210</v>
      </c>
      <c r="W431">
        <v>1</v>
      </c>
    </row>
    <row r="432" spans="1:23" x14ac:dyDescent="0.25">
      <c r="A432" t="s">
        <v>2674</v>
      </c>
      <c r="B432" t="s">
        <v>2675</v>
      </c>
      <c r="C432">
        <v>128</v>
      </c>
      <c r="D432">
        <v>362569</v>
      </c>
      <c r="E432">
        <v>1823118792</v>
      </c>
      <c r="F432">
        <v>4975</v>
      </c>
      <c r="G432">
        <v>5149</v>
      </c>
      <c r="H432">
        <v>4881</v>
      </c>
      <c r="I432">
        <v>-94</v>
      </c>
      <c r="J432">
        <v>-1.89</v>
      </c>
      <c r="K432">
        <v>5028</v>
      </c>
      <c r="L432">
        <v>53</v>
      </c>
      <c r="M432">
        <v>1.07</v>
      </c>
      <c r="N432">
        <v>4531</v>
      </c>
      <c r="O432">
        <v>5394</v>
      </c>
      <c r="R432">
        <v>1</v>
      </c>
      <c r="S432">
        <v>4420</v>
      </c>
      <c r="T432">
        <v>4883</v>
      </c>
      <c r="U432">
        <v>5117</v>
      </c>
      <c r="V432">
        <v>18000</v>
      </c>
      <c r="W432">
        <v>1</v>
      </c>
    </row>
    <row r="433" spans="1:23" x14ac:dyDescent="0.25">
      <c r="A433" t="s">
        <v>1271</v>
      </c>
      <c r="B433" t="s">
        <v>1272</v>
      </c>
      <c r="C433">
        <v>541</v>
      </c>
      <c r="D433">
        <v>824811</v>
      </c>
      <c r="E433">
        <v>19593370217</v>
      </c>
      <c r="F433">
        <v>23636</v>
      </c>
      <c r="G433">
        <v>23600</v>
      </c>
      <c r="H433">
        <v>23750</v>
      </c>
      <c r="I433">
        <v>114</v>
      </c>
      <c r="J433">
        <v>0.48</v>
      </c>
      <c r="K433">
        <v>23755</v>
      </c>
      <c r="L433">
        <v>119</v>
      </c>
      <c r="M433">
        <v>0.5</v>
      </c>
      <c r="N433">
        <v>22999</v>
      </c>
      <c r="O433">
        <v>24899</v>
      </c>
      <c r="P433" t="s">
        <v>1273</v>
      </c>
      <c r="Q433" t="s">
        <v>3008</v>
      </c>
      <c r="R433">
        <v>1</v>
      </c>
      <c r="S433">
        <v>390</v>
      </c>
      <c r="T433">
        <v>23700</v>
      </c>
      <c r="U433">
        <v>23980</v>
      </c>
      <c r="V433">
        <v>1000</v>
      </c>
      <c r="W433">
        <v>1</v>
      </c>
    </row>
    <row r="434" spans="1:23" x14ac:dyDescent="0.25">
      <c r="A434" t="s">
        <v>1274</v>
      </c>
      <c r="B434" t="s">
        <v>1275</v>
      </c>
      <c r="C434">
        <v>211</v>
      </c>
      <c r="D434">
        <v>1308443</v>
      </c>
      <c r="E434">
        <v>29063195659</v>
      </c>
      <c r="F434">
        <v>21163</v>
      </c>
      <c r="G434">
        <v>22189</v>
      </c>
      <c r="H434">
        <v>22221</v>
      </c>
      <c r="I434">
        <v>1058</v>
      </c>
      <c r="J434">
        <v>5</v>
      </c>
      <c r="K434">
        <v>22212</v>
      </c>
      <c r="L434">
        <v>1049</v>
      </c>
      <c r="M434">
        <v>4.96</v>
      </c>
      <c r="N434">
        <v>22100</v>
      </c>
      <c r="O434">
        <v>22221</v>
      </c>
      <c r="P434" t="s">
        <v>1276</v>
      </c>
      <c r="Q434" t="s">
        <v>3009</v>
      </c>
      <c r="R434">
        <v>75</v>
      </c>
      <c r="S434">
        <v>495645</v>
      </c>
      <c r="T434">
        <v>22221</v>
      </c>
      <c r="U434">
        <v>22499</v>
      </c>
      <c r="V434">
        <v>67</v>
      </c>
      <c r="W434">
        <v>1</v>
      </c>
    </row>
    <row r="435" spans="1:23" x14ac:dyDescent="0.25">
      <c r="A435" t="s">
        <v>1277</v>
      </c>
      <c r="B435" t="s">
        <v>1278</v>
      </c>
      <c r="C435">
        <v>0</v>
      </c>
      <c r="D435">
        <v>0</v>
      </c>
      <c r="E435">
        <v>0</v>
      </c>
      <c r="F435">
        <v>110</v>
      </c>
      <c r="G435">
        <v>0</v>
      </c>
      <c r="H435">
        <v>110</v>
      </c>
      <c r="I435">
        <v>0</v>
      </c>
      <c r="J435">
        <v>0</v>
      </c>
      <c r="K435">
        <v>110</v>
      </c>
      <c r="L435">
        <v>0</v>
      </c>
      <c r="M435">
        <v>0</v>
      </c>
      <c r="N435">
        <v>0</v>
      </c>
      <c r="O435">
        <v>0</v>
      </c>
      <c r="R435">
        <v>1</v>
      </c>
      <c r="S435">
        <v>100</v>
      </c>
      <c r="T435">
        <v>100</v>
      </c>
      <c r="U435">
        <v>950</v>
      </c>
      <c r="V435">
        <v>2</v>
      </c>
      <c r="W435">
        <v>1</v>
      </c>
    </row>
    <row r="436" spans="1:23" x14ac:dyDescent="0.25">
      <c r="A436" t="s">
        <v>1279</v>
      </c>
      <c r="B436" t="s">
        <v>1280</v>
      </c>
      <c r="C436">
        <v>0</v>
      </c>
      <c r="D436">
        <v>0</v>
      </c>
      <c r="E436">
        <v>0</v>
      </c>
      <c r="F436">
        <v>1933</v>
      </c>
      <c r="G436">
        <v>0</v>
      </c>
      <c r="H436">
        <v>1900</v>
      </c>
      <c r="I436">
        <v>-33</v>
      </c>
      <c r="J436">
        <v>-1.71</v>
      </c>
      <c r="K436">
        <v>1933</v>
      </c>
      <c r="L436">
        <v>0</v>
      </c>
      <c r="M436">
        <v>0</v>
      </c>
      <c r="N436">
        <v>0</v>
      </c>
      <c r="O436">
        <v>0</v>
      </c>
      <c r="R436">
        <v>1</v>
      </c>
      <c r="S436">
        <v>1</v>
      </c>
      <c r="T436">
        <v>1000</v>
      </c>
      <c r="U436">
        <v>3499</v>
      </c>
      <c r="V436">
        <v>59</v>
      </c>
      <c r="W436">
        <v>1</v>
      </c>
    </row>
    <row r="437" spans="1:23" x14ac:dyDescent="0.25">
      <c r="A437" t="s">
        <v>1281</v>
      </c>
      <c r="B437" t="s">
        <v>2676</v>
      </c>
      <c r="C437">
        <v>0</v>
      </c>
      <c r="D437">
        <v>0</v>
      </c>
      <c r="E437">
        <v>0</v>
      </c>
      <c r="F437">
        <v>1</v>
      </c>
      <c r="G437">
        <v>0</v>
      </c>
      <c r="H437">
        <v>1</v>
      </c>
      <c r="I437">
        <v>0</v>
      </c>
      <c r="J437">
        <v>0</v>
      </c>
      <c r="K437">
        <v>1</v>
      </c>
      <c r="L437">
        <v>0</v>
      </c>
      <c r="M437">
        <v>0</v>
      </c>
      <c r="N437">
        <v>0</v>
      </c>
      <c r="O437">
        <v>0</v>
      </c>
      <c r="R437">
        <v>1</v>
      </c>
      <c r="S437">
        <v>100</v>
      </c>
      <c r="T437">
        <v>70</v>
      </c>
      <c r="U437">
        <v>0</v>
      </c>
      <c r="V437">
        <v>0</v>
      </c>
      <c r="W437">
        <v>0</v>
      </c>
    </row>
    <row r="438" spans="1:23" x14ac:dyDescent="0.25">
      <c r="A438" t="s">
        <v>1282</v>
      </c>
      <c r="B438" t="s">
        <v>1283</v>
      </c>
      <c r="C438">
        <v>18</v>
      </c>
      <c r="D438">
        <v>95919</v>
      </c>
      <c r="E438">
        <v>2302823352</v>
      </c>
      <c r="F438">
        <v>22865</v>
      </c>
      <c r="G438">
        <v>24008</v>
      </c>
      <c r="H438">
        <v>24008</v>
      </c>
      <c r="I438">
        <v>1143</v>
      </c>
      <c r="J438">
        <v>5</v>
      </c>
      <c r="K438">
        <v>24008</v>
      </c>
      <c r="L438">
        <v>1143</v>
      </c>
      <c r="M438">
        <v>5</v>
      </c>
      <c r="N438">
        <v>24008</v>
      </c>
      <c r="O438">
        <v>24008</v>
      </c>
      <c r="P438" t="s">
        <v>1284</v>
      </c>
      <c r="Q438" t="s">
        <v>3010</v>
      </c>
      <c r="R438">
        <v>124</v>
      </c>
      <c r="S438">
        <v>483735</v>
      </c>
      <c r="T438">
        <v>24008</v>
      </c>
      <c r="U438">
        <v>0</v>
      </c>
      <c r="V438">
        <v>0</v>
      </c>
      <c r="W438">
        <v>0</v>
      </c>
    </row>
    <row r="439" spans="1:23" x14ac:dyDescent="0.25">
      <c r="A439" t="s">
        <v>1285</v>
      </c>
      <c r="B439" t="s">
        <v>1286</v>
      </c>
      <c r="C439">
        <v>716</v>
      </c>
      <c r="D439">
        <v>1456654</v>
      </c>
      <c r="E439">
        <v>17442484125</v>
      </c>
      <c r="F439">
        <v>11600</v>
      </c>
      <c r="G439">
        <v>11880</v>
      </c>
      <c r="H439">
        <v>11940</v>
      </c>
      <c r="I439">
        <v>340</v>
      </c>
      <c r="J439">
        <v>2.93</v>
      </c>
      <c r="K439">
        <v>11974</v>
      </c>
      <c r="L439">
        <v>374</v>
      </c>
      <c r="M439">
        <v>3.22</v>
      </c>
      <c r="N439">
        <v>11880</v>
      </c>
      <c r="O439">
        <v>12133</v>
      </c>
      <c r="P439" t="s">
        <v>1287</v>
      </c>
      <c r="Q439" t="s">
        <v>3011</v>
      </c>
      <c r="R439">
        <v>5</v>
      </c>
      <c r="S439">
        <v>5882</v>
      </c>
      <c r="T439">
        <v>11939</v>
      </c>
      <c r="U439">
        <v>11943</v>
      </c>
      <c r="V439">
        <v>11500</v>
      </c>
      <c r="W439">
        <v>2</v>
      </c>
    </row>
    <row r="440" spans="1:23" x14ac:dyDescent="0.25">
      <c r="A440" t="s">
        <v>1289</v>
      </c>
      <c r="B440" t="s">
        <v>1290</v>
      </c>
      <c r="C440">
        <v>130</v>
      </c>
      <c r="D440">
        <v>99730</v>
      </c>
      <c r="E440">
        <v>1855565944</v>
      </c>
      <c r="F440">
        <v>18368</v>
      </c>
      <c r="G440">
        <v>19009</v>
      </c>
      <c r="H440">
        <v>18599</v>
      </c>
      <c r="I440">
        <v>231</v>
      </c>
      <c r="J440">
        <v>1.26</v>
      </c>
      <c r="K440">
        <v>18606</v>
      </c>
      <c r="L440">
        <v>238</v>
      </c>
      <c r="M440">
        <v>1.3</v>
      </c>
      <c r="N440">
        <v>18370</v>
      </c>
      <c r="O440">
        <v>19009</v>
      </c>
      <c r="P440" t="s">
        <v>1291</v>
      </c>
      <c r="Q440" t="s">
        <v>3012</v>
      </c>
      <c r="R440">
        <v>1</v>
      </c>
      <c r="S440">
        <v>140</v>
      </c>
      <c r="T440">
        <v>18556</v>
      </c>
      <c r="U440">
        <v>18649</v>
      </c>
      <c r="V440">
        <v>573</v>
      </c>
      <c r="W440">
        <v>1</v>
      </c>
    </row>
    <row r="441" spans="1:23" x14ac:dyDescent="0.25">
      <c r="A441" t="s">
        <v>1292</v>
      </c>
      <c r="B441" t="s">
        <v>1293</v>
      </c>
      <c r="C441">
        <v>912</v>
      </c>
      <c r="D441">
        <v>6272294</v>
      </c>
      <c r="E441">
        <v>25725804699</v>
      </c>
      <c r="F441">
        <v>4230</v>
      </c>
      <c r="G441">
        <v>4100</v>
      </c>
      <c r="H441">
        <v>4110</v>
      </c>
      <c r="I441">
        <v>-120</v>
      </c>
      <c r="J441">
        <v>-2.84</v>
      </c>
      <c r="K441">
        <v>4101</v>
      </c>
      <c r="L441">
        <v>-129</v>
      </c>
      <c r="M441">
        <v>-3.05</v>
      </c>
      <c r="N441">
        <v>4022</v>
      </c>
      <c r="O441">
        <v>4190</v>
      </c>
      <c r="P441" t="s">
        <v>1294</v>
      </c>
      <c r="Q441" t="s">
        <v>3013</v>
      </c>
      <c r="R441">
        <v>2</v>
      </c>
      <c r="S441">
        <v>17801</v>
      </c>
      <c r="T441">
        <v>4092</v>
      </c>
      <c r="U441">
        <v>4110</v>
      </c>
      <c r="V441">
        <v>19614</v>
      </c>
      <c r="W441">
        <v>1</v>
      </c>
    </row>
    <row r="442" spans="1:23" x14ac:dyDescent="0.25">
      <c r="A442" t="s">
        <v>1295</v>
      </c>
      <c r="B442" t="s">
        <v>1296</v>
      </c>
      <c r="C442">
        <v>0</v>
      </c>
      <c r="D442">
        <v>0</v>
      </c>
      <c r="E442">
        <v>0</v>
      </c>
      <c r="F442">
        <v>990000</v>
      </c>
      <c r="G442">
        <v>0</v>
      </c>
      <c r="H442">
        <v>990000</v>
      </c>
      <c r="I442">
        <v>0</v>
      </c>
      <c r="J442">
        <v>0</v>
      </c>
      <c r="K442">
        <v>990000</v>
      </c>
      <c r="L442">
        <v>0</v>
      </c>
      <c r="M442">
        <v>0</v>
      </c>
      <c r="N442">
        <v>0</v>
      </c>
      <c r="O442">
        <v>0</v>
      </c>
      <c r="R442">
        <v>2</v>
      </c>
      <c r="S442">
        <v>15000</v>
      </c>
      <c r="T442">
        <v>990000</v>
      </c>
      <c r="U442">
        <v>1000000</v>
      </c>
      <c r="V442">
        <v>15000</v>
      </c>
      <c r="W442">
        <v>2</v>
      </c>
    </row>
    <row r="443" spans="1:23" x14ac:dyDescent="0.25">
      <c r="A443" t="s">
        <v>1297</v>
      </c>
      <c r="B443" t="s">
        <v>1298</v>
      </c>
      <c r="C443">
        <v>0</v>
      </c>
      <c r="D443">
        <v>0</v>
      </c>
      <c r="E443">
        <v>0</v>
      </c>
      <c r="F443">
        <v>532326</v>
      </c>
      <c r="G443">
        <v>0</v>
      </c>
      <c r="H443">
        <v>532326</v>
      </c>
      <c r="I443">
        <v>0</v>
      </c>
      <c r="J443">
        <v>0</v>
      </c>
      <c r="K443">
        <v>532326</v>
      </c>
      <c r="L443">
        <v>0</v>
      </c>
      <c r="M443">
        <v>0</v>
      </c>
      <c r="N443">
        <v>0</v>
      </c>
      <c r="O443">
        <v>0</v>
      </c>
      <c r="R443">
        <v>0</v>
      </c>
      <c r="S443">
        <v>0</v>
      </c>
      <c r="T443">
        <v>0</v>
      </c>
      <c r="U443">
        <v>505710</v>
      </c>
      <c r="V443">
        <v>858</v>
      </c>
      <c r="W443">
        <v>34</v>
      </c>
    </row>
    <row r="444" spans="1:23" x14ac:dyDescent="0.25">
      <c r="A444" t="s">
        <v>1299</v>
      </c>
      <c r="B444" t="s">
        <v>1300</v>
      </c>
      <c r="C444">
        <v>949</v>
      </c>
      <c r="D444">
        <v>16991501</v>
      </c>
      <c r="E444">
        <v>47772994104</v>
      </c>
      <c r="F444">
        <v>2802</v>
      </c>
      <c r="G444">
        <v>2800</v>
      </c>
      <c r="H444">
        <v>2778</v>
      </c>
      <c r="I444">
        <v>-24</v>
      </c>
      <c r="J444">
        <v>-0.86</v>
      </c>
      <c r="K444">
        <v>2812</v>
      </c>
      <c r="L444">
        <v>10</v>
      </c>
      <c r="M444">
        <v>0.36</v>
      </c>
      <c r="N444">
        <v>2771</v>
      </c>
      <c r="O444">
        <v>2844</v>
      </c>
      <c r="P444" t="s">
        <v>1301</v>
      </c>
      <c r="Q444" t="s">
        <v>3014</v>
      </c>
      <c r="R444">
        <v>1</v>
      </c>
      <c r="S444">
        <v>1795</v>
      </c>
      <c r="T444">
        <v>2772</v>
      </c>
      <c r="U444">
        <v>2778</v>
      </c>
      <c r="V444">
        <v>47000</v>
      </c>
      <c r="W444">
        <v>1</v>
      </c>
    </row>
    <row r="445" spans="1:23" x14ac:dyDescent="0.25">
      <c r="A445" t="s">
        <v>1302</v>
      </c>
      <c r="B445" t="s">
        <v>1303</v>
      </c>
      <c r="C445">
        <v>126</v>
      </c>
      <c r="D445">
        <v>407452</v>
      </c>
      <c r="E445">
        <v>3238038660</v>
      </c>
      <c r="F445">
        <v>7594</v>
      </c>
      <c r="G445">
        <v>7970</v>
      </c>
      <c r="H445">
        <v>7973</v>
      </c>
      <c r="I445">
        <v>379</v>
      </c>
      <c r="J445">
        <v>4.99</v>
      </c>
      <c r="K445">
        <v>7911</v>
      </c>
      <c r="L445">
        <v>317</v>
      </c>
      <c r="M445">
        <v>4.17</v>
      </c>
      <c r="N445">
        <v>7661</v>
      </c>
      <c r="O445">
        <v>7973</v>
      </c>
      <c r="P445" t="s">
        <v>1304</v>
      </c>
      <c r="Q445" t="s">
        <v>3015</v>
      </c>
      <c r="R445">
        <v>70</v>
      </c>
      <c r="S445">
        <v>873505</v>
      </c>
      <c r="T445">
        <v>7973</v>
      </c>
      <c r="U445">
        <v>0</v>
      </c>
      <c r="V445">
        <v>0</v>
      </c>
      <c r="W445">
        <v>0</v>
      </c>
    </row>
    <row r="446" spans="1:23" x14ac:dyDescent="0.25">
      <c r="A446" t="s">
        <v>1305</v>
      </c>
      <c r="B446" t="s">
        <v>1306</v>
      </c>
      <c r="C446">
        <v>171</v>
      </c>
      <c r="D446">
        <v>147960</v>
      </c>
      <c r="E446">
        <v>4177067670</v>
      </c>
      <c r="F446">
        <v>28525</v>
      </c>
      <c r="G446">
        <v>28999</v>
      </c>
      <c r="H446">
        <v>28101</v>
      </c>
      <c r="I446">
        <v>-424</v>
      </c>
      <c r="J446">
        <v>-1.49</v>
      </c>
      <c r="K446">
        <v>28231</v>
      </c>
      <c r="L446">
        <v>-294</v>
      </c>
      <c r="M446">
        <v>-1.03</v>
      </c>
      <c r="N446">
        <v>28000</v>
      </c>
      <c r="O446">
        <v>28999</v>
      </c>
      <c r="P446" t="s">
        <v>589</v>
      </c>
      <c r="Q446" t="s">
        <v>2599</v>
      </c>
      <c r="R446">
        <v>1</v>
      </c>
      <c r="S446">
        <v>23334</v>
      </c>
      <c r="T446">
        <v>28037</v>
      </c>
      <c r="U446">
        <v>28180</v>
      </c>
      <c r="V446">
        <v>2937</v>
      </c>
      <c r="W446">
        <v>2</v>
      </c>
    </row>
    <row r="447" spans="1:23" x14ac:dyDescent="0.25">
      <c r="A447" t="s">
        <v>1307</v>
      </c>
      <c r="B447" t="s">
        <v>1308</v>
      </c>
      <c r="C447">
        <v>0</v>
      </c>
      <c r="D447">
        <v>0</v>
      </c>
      <c r="E447">
        <v>0</v>
      </c>
      <c r="F447">
        <v>1000000</v>
      </c>
      <c r="G447">
        <v>0</v>
      </c>
      <c r="H447">
        <v>1000000</v>
      </c>
      <c r="I447">
        <v>0</v>
      </c>
      <c r="J447">
        <v>0</v>
      </c>
      <c r="K447">
        <v>1000000</v>
      </c>
      <c r="L447">
        <v>0</v>
      </c>
      <c r="M447">
        <v>0</v>
      </c>
      <c r="N447">
        <v>0</v>
      </c>
      <c r="O447">
        <v>0</v>
      </c>
      <c r="R447">
        <v>1</v>
      </c>
      <c r="S447">
        <v>1000</v>
      </c>
      <c r="T447">
        <v>1000001</v>
      </c>
      <c r="U447">
        <v>1020000</v>
      </c>
      <c r="V447">
        <v>1250</v>
      </c>
      <c r="W447">
        <v>1</v>
      </c>
    </row>
    <row r="448" spans="1:23" x14ac:dyDescent="0.25">
      <c r="A448" t="s">
        <v>1309</v>
      </c>
      <c r="B448" t="s">
        <v>1310</v>
      </c>
      <c r="C448">
        <v>0</v>
      </c>
      <c r="D448">
        <v>0</v>
      </c>
      <c r="E448">
        <v>0</v>
      </c>
      <c r="F448">
        <v>960000</v>
      </c>
      <c r="G448">
        <v>0</v>
      </c>
      <c r="H448">
        <v>960000</v>
      </c>
      <c r="I448">
        <v>0</v>
      </c>
      <c r="J448">
        <v>0</v>
      </c>
      <c r="K448">
        <v>960000</v>
      </c>
      <c r="L448">
        <v>0</v>
      </c>
      <c r="M448">
        <v>0</v>
      </c>
      <c r="N448">
        <v>0</v>
      </c>
      <c r="O448">
        <v>0</v>
      </c>
      <c r="R448">
        <v>1</v>
      </c>
      <c r="S448">
        <v>6500</v>
      </c>
      <c r="T448">
        <v>960000</v>
      </c>
      <c r="U448">
        <v>0</v>
      </c>
      <c r="V448">
        <v>0</v>
      </c>
      <c r="W448">
        <v>0</v>
      </c>
    </row>
    <row r="449" spans="1:23" x14ac:dyDescent="0.25">
      <c r="A449" t="s">
        <v>1311</v>
      </c>
      <c r="B449" t="s">
        <v>1312</v>
      </c>
      <c r="C449">
        <v>2114</v>
      </c>
      <c r="D449">
        <v>18636564</v>
      </c>
      <c r="E449">
        <v>76586044206</v>
      </c>
      <c r="F449">
        <v>3988</v>
      </c>
      <c r="G449">
        <v>4099</v>
      </c>
      <c r="H449">
        <v>4079</v>
      </c>
      <c r="I449">
        <v>91</v>
      </c>
      <c r="J449">
        <v>2.2799999999999998</v>
      </c>
      <c r="K449">
        <v>4109</v>
      </c>
      <c r="L449">
        <v>121</v>
      </c>
      <c r="M449">
        <v>3.03</v>
      </c>
      <c r="N449">
        <v>3870</v>
      </c>
      <c r="O449">
        <v>4187</v>
      </c>
      <c r="P449" t="s">
        <v>1095</v>
      </c>
      <c r="Q449" t="s">
        <v>3016</v>
      </c>
      <c r="R449">
        <v>1</v>
      </c>
      <c r="S449">
        <v>12392</v>
      </c>
      <c r="T449">
        <v>4060</v>
      </c>
      <c r="U449">
        <v>4079</v>
      </c>
      <c r="V449">
        <v>3062</v>
      </c>
      <c r="W449">
        <v>1</v>
      </c>
    </row>
    <row r="450" spans="1:23" x14ac:dyDescent="0.25">
      <c r="A450" t="s">
        <v>1313</v>
      </c>
      <c r="B450" t="s">
        <v>1314</v>
      </c>
      <c r="C450">
        <v>105</v>
      </c>
      <c r="D450">
        <v>263019</v>
      </c>
      <c r="E450">
        <v>3544088446</v>
      </c>
      <c r="F450">
        <v>12835</v>
      </c>
      <c r="G450">
        <v>13476</v>
      </c>
      <c r="H450">
        <v>13476</v>
      </c>
      <c r="I450">
        <v>641</v>
      </c>
      <c r="J450">
        <v>4.99</v>
      </c>
      <c r="K450">
        <v>13475</v>
      </c>
      <c r="L450">
        <v>640</v>
      </c>
      <c r="M450">
        <v>4.99</v>
      </c>
      <c r="N450">
        <v>13041</v>
      </c>
      <c r="O450">
        <v>13476</v>
      </c>
      <c r="P450" t="s">
        <v>1315</v>
      </c>
      <c r="Q450" t="s">
        <v>3017</v>
      </c>
      <c r="R450">
        <v>37</v>
      </c>
      <c r="S450">
        <v>206903</v>
      </c>
      <c r="T450">
        <v>13476</v>
      </c>
      <c r="U450">
        <v>13484</v>
      </c>
      <c r="V450">
        <v>100</v>
      </c>
      <c r="W450">
        <v>1</v>
      </c>
    </row>
    <row r="451" spans="1:23" x14ac:dyDescent="0.25">
      <c r="A451" t="s">
        <v>1316</v>
      </c>
      <c r="B451" t="s">
        <v>1317</v>
      </c>
      <c r="C451">
        <v>176</v>
      </c>
      <c r="D451">
        <v>187174</v>
      </c>
      <c r="E451">
        <v>7505080905</v>
      </c>
      <c r="F451">
        <v>39525</v>
      </c>
      <c r="G451">
        <v>39900</v>
      </c>
      <c r="H451">
        <v>40100</v>
      </c>
      <c r="I451">
        <v>575</v>
      </c>
      <c r="J451">
        <v>1.45</v>
      </c>
      <c r="K451">
        <v>40097</v>
      </c>
      <c r="L451">
        <v>572</v>
      </c>
      <c r="M451">
        <v>1.45</v>
      </c>
      <c r="N451">
        <v>39603</v>
      </c>
      <c r="O451">
        <v>40640</v>
      </c>
      <c r="P451" t="s">
        <v>1318</v>
      </c>
      <c r="Q451" t="s">
        <v>3018</v>
      </c>
      <c r="R451">
        <v>1</v>
      </c>
      <c r="S451">
        <v>170</v>
      </c>
      <c r="T451">
        <v>40100</v>
      </c>
      <c r="U451">
        <v>40374</v>
      </c>
      <c r="V451">
        <v>3000</v>
      </c>
      <c r="W451">
        <v>2</v>
      </c>
    </row>
    <row r="452" spans="1:23" x14ac:dyDescent="0.25">
      <c r="A452" t="s">
        <v>1319</v>
      </c>
      <c r="B452" t="s">
        <v>1320</v>
      </c>
      <c r="C452">
        <v>1277</v>
      </c>
      <c r="D452">
        <v>1695543</v>
      </c>
      <c r="E452">
        <v>31761581290</v>
      </c>
      <c r="F452">
        <v>19044</v>
      </c>
      <c r="G452">
        <v>19500</v>
      </c>
      <c r="H452">
        <v>18648</v>
      </c>
      <c r="I452">
        <v>-396</v>
      </c>
      <c r="J452">
        <v>-2.08</v>
      </c>
      <c r="K452">
        <v>18732</v>
      </c>
      <c r="L452">
        <v>-312</v>
      </c>
      <c r="M452">
        <v>-1.64</v>
      </c>
      <c r="N452">
        <v>18100</v>
      </c>
      <c r="O452">
        <v>19500</v>
      </c>
      <c r="P452" t="s">
        <v>1321</v>
      </c>
      <c r="Q452" t="s">
        <v>3019</v>
      </c>
      <c r="R452">
        <v>1</v>
      </c>
      <c r="S452">
        <v>200</v>
      </c>
      <c r="T452">
        <v>18640</v>
      </c>
      <c r="U452">
        <v>18648</v>
      </c>
      <c r="V452">
        <v>340</v>
      </c>
      <c r="W452">
        <v>1</v>
      </c>
    </row>
    <row r="453" spans="1:23" x14ac:dyDescent="0.25">
      <c r="A453" t="s">
        <v>1322</v>
      </c>
      <c r="B453" t="s">
        <v>1323</v>
      </c>
      <c r="C453">
        <v>484</v>
      </c>
      <c r="D453">
        <v>3933952</v>
      </c>
      <c r="E453">
        <v>14912292832</v>
      </c>
      <c r="F453">
        <v>3817</v>
      </c>
      <c r="G453">
        <v>3810</v>
      </c>
      <c r="H453">
        <v>3770</v>
      </c>
      <c r="I453">
        <v>-47</v>
      </c>
      <c r="J453">
        <v>-1.23</v>
      </c>
      <c r="K453">
        <v>3791</v>
      </c>
      <c r="L453">
        <v>-26</v>
      </c>
      <c r="M453">
        <v>-0.68</v>
      </c>
      <c r="N453">
        <v>3731</v>
      </c>
      <c r="O453">
        <v>3890</v>
      </c>
      <c r="P453" t="s">
        <v>1324</v>
      </c>
      <c r="Q453" t="s">
        <v>3020</v>
      </c>
      <c r="R453">
        <v>1</v>
      </c>
      <c r="S453">
        <v>4000</v>
      </c>
      <c r="T453">
        <v>3763</v>
      </c>
      <c r="U453">
        <v>3770</v>
      </c>
      <c r="V453">
        <v>8224</v>
      </c>
      <c r="W453">
        <v>1</v>
      </c>
    </row>
    <row r="454" spans="1:23" x14ac:dyDescent="0.25">
      <c r="A454" t="s">
        <v>1325</v>
      </c>
      <c r="B454" t="s">
        <v>1326</v>
      </c>
      <c r="C454">
        <v>554</v>
      </c>
      <c r="D454">
        <v>5344057</v>
      </c>
      <c r="E454">
        <v>18398475624</v>
      </c>
      <c r="F454">
        <v>3311</v>
      </c>
      <c r="G454">
        <v>3458</v>
      </c>
      <c r="H454">
        <v>3370</v>
      </c>
      <c r="I454">
        <v>59</v>
      </c>
      <c r="J454">
        <v>1.78</v>
      </c>
      <c r="K454">
        <v>3443</v>
      </c>
      <c r="L454">
        <v>132</v>
      </c>
      <c r="M454">
        <v>3.99</v>
      </c>
      <c r="N454">
        <v>3320</v>
      </c>
      <c r="O454">
        <v>3476</v>
      </c>
      <c r="P454" t="s">
        <v>488</v>
      </c>
      <c r="Q454" t="s">
        <v>3021</v>
      </c>
      <c r="R454">
        <v>6</v>
      </c>
      <c r="S454">
        <v>69295</v>
      </c>
      <c r="T454">
        <v>3367</v>
      </c>
      <c r="U454">
        <v>3370</v>
      </c>
      <c r="V454">
        <v>18583</v>
      </c>
      <c r="W454">
        <v>1</v>
      </c>
    </row>
    <row r="455" spans="1:23" x14ac:dyDescent="0.25">
      <c r="A455" t="s">
        <v>1327</v>
      </c>
      <c r="B455" t="s">
        <v>1328</v>
      </c>
      <c r="C455">
        <v>30</v>
      </c>
      <c r="D455">
        <v>72264</v>
      </c>
      <c r="E455">
        <v>3692404313</v>
      </c>
      <c r="F455">
        <v>49449</v>
      </c>
      <c r="G455">
        <v>50400</v>
      </c>
      <c r="H455">
        <v>53300</v>
      </c>
      <c r="I455">
        <v>3851</v>
      </c>
      <c r="J455">
        <v>7.79</v>
      </c>
      <c r="K455">
        <v>51096</v>
      </c>
      <c r="L455">
        <v>1647</v>
      </c>
      <c r="M455">
        <v>3.33</v>
      </c>
      <c r="N455">
        <v>50400</v>
      </c>
      <c r="O455">
        <v>53300</v>
      </c>
      <c r="R455">
        <v>1</v>
      </c>
      <c r="S455">
        <v>38</v>
      </c>
      <c r="T455">
        <v>53300</v>
      </c>
      <c r="U455">
        <v>53950</v>
      </c>
      <c r="V455">
        <v>500</v>
      </c>
      <c r="W455">
        <v>1</v>
      </c>
    </row>
    <row r="456" spans="1:23" x14ac:dyDescent="0.25">
      <c r="A456" t="s">
        <v>1329</v>
      </c>
      <c r="B456" t="s">
        <v>1066</v>
      </c>
      <c r="C456">
        <v>15</v>
      </c>
      <c r="D456">
        <v>13700</v>
      </c>
      <c r="E456">
        <v>11665671700</v>
      </c>
      <c r="F456">
        <v>855028</v>
      </c>
      <c r="G456">
        <v>851511</v>
      </c>
      <c r="H456">
        <v>851490</v>
      </c>
      <c r="I456">
        <v>-3538</v>
      </c>
      <c r="J456">
        <v>-0.41</v>
      </c>
      <c r="K456">
        <v>851509</v>
      </c>
      <c r="L456">
        <v>-3519</v>
      </c>
      <c r="M456">
        <v>-0.41</v>
      </c>
      <c r="N456">
        <v>851490</v>
      </c>
      <c r="O456">
        <v>851520</v>
      </c>
      <c r="R456">
        <v>1</v>
      </c>
      <c r="S456">
        <v>7000</v>
      </c>
      <c r="T456">
        <v>851490</v>
      </c>
      <c r="U456">
        <v>854999</v>
      </c>
      <c r="V456">
        <v>500</v>
      </c>
      <c r="W456">
        <v>1</v>
      </c>
    </row>
    <row r="457" spans="1:23" x14ac:dyDescent="0.25">
      <c r="A457" t="s">
        <v>1330</v>
      </c>
      <c r="B457" t="s">
        <v>1331</v>
      </c>
      <c r="C457">
        <v>739</v>
      </c>
      <c r="D457">
        <v>4104223</v>
      </c>
      <c r="E457">
        <v>20377204960</v>
      </c>
      <c r="F457">
        <v>5074</v>
      </c>
      <c r="G457">
        <v>5100</v>
      </c>
      <c r="H457">
        <v>4979</v>
      </c>
      <c r="I457">
        <v>-95</v>
      </c>
      <c r="J457">
        <v>-1.87</v>
      </c>
      <c r="K457">
        <v>4965</v>
      </c>
      <c r="L457">
        <v>-109</v>
      </c>
      <c r="M457">
        <v>-2.15</v>
      </c>
      <c r="N457">
        <v>4920</v>
      </c>
      <c r="O457">
        <v>5100</v>
      </c>
      <c r="P457" t="s">
        <v>1332</v>
      </c>
      <c r="Q457" t="s">
        <v>3022</v>
      </c>
      <c r="R457">
        <v>1</v>
      </c>
      <c r="S457">
        <v>9572</v>
      </c>
      <c r="T457">
        <v>4976</v>
      </c>
      <c r="U457">
        <v>4979</v>
      </c>
      <c r="V457">
        <v>17718</v>
      </c>
      <c r="W457">
        <v>2</v>
      </c>
    </row>
    <row r="458" spans="1:23" x14ac:dyDescent="0.25">
      <c r="A458" t="s">
        <v>1333</v>
      </c>
      <c r="B458" t="s">
        <v>1334</v>
      </c>
      <c r="C458">
        <v>0</v>
      </c>
      <c r="D458">
        <v>0</v>
      </c>
      <c r="E458">
        <v>0</v>
      </c>
      <c r="F458">
        <v>1</v>
      </c>
      <c r="G458">
        <v>0</v>
      </c>
      <c r="H458">
        <v>1</v>
      </c>
      <c r="I458">
        <v>0</v>
      </c>
      <c r="J458">
        <v>0</v>
      </c>
      <c r="K458">
        <v>1</v>
      </c>
      <c r="L458">
        <v>0</v>
      </c>
      <c r="M458">
        <v>0</v>
      </c>
      <c r="N458">
        <v>0</v>
      </c>
      <c r="O458">
        <v>0</v>
      </c>
      <c r="R458">
        <v>1</v>
      </c>
      <c r="S458">
        <v>100</v>
      </c>
      <c r="T458">
        <v>5</v>
      </c>
      <c r="U458">
        <v>0</v>
      </c>
      <c r="V458">
        <v>0</v>
      </c>
      <c r="W458">
        <v>0</v>
      </c>
    </row>
    <row r="459" spans="1:23" x14ac:dyDescent="0.25">
      <c r="A459" t="s">
        <v>1335</v>
      </c>
      <c r="B459" t="s">
        <v>1336</v>
      </c>
      <c r="C459">
        <v>802</v>
      </c>
      <c r="D459">
        <v>5687102</v>
      </c>
      <c r="E459">
        <v>21133980885</v>
      </c>
      <c r="F459">
        <v>3616</v>
      </c>
      <c r="G459">
        <v>3720</v>
      </c>
      <c r="H459">
        <v>3756</v>
      </c>
      <c r="I459">
        <v>140</v>
      </c>
      <c r="J459">
        <v>3.87</v>
      </c>
      <c r="K459">
        <v>3716</v>
      </c>
      <c r="L459">
        <v>100</v>
      </c>
      <c r="M459">
        <v>2.77</v>
      </c>
      <c r="N459">
        <v>3579</v>
      </c>
      <c r="O459">
        <v>3790</v>
      </c>
      <c r="P459" t="s">
        <v>579</v>
      </c>
      <c r="Q459" t="s">
        <v>3023</v>
      </c>
      <c r="R459">
        <v>1</v>
      </c>
      <c r="S459">
        <v>266</v>
      </c>
      <c r="T459">
        <v>3756</v>
      </c>
      <c r="U459">
        <v>3770</v>
      </c>
      <c r="V459">
        <v>450</v>
      </c>
      <c r="W459">
        <v>1</v>
      </c>
    </row>
    <row r="460" spans="1:23" x14ac:dyDescent="0.25">
      <c r="A460" t="s">
        <v>1337</v>
      </c>
      <c r="B460" t="s">
        <v>1338</v>
      </c>
      <c r="C460">
        <v>0</v>
      </c>
      <c r="D460">
        <v>0</v>
      </c>
      <c r="E460">
        <v>0</v>
      </c>
      <c r="F460">
        <v>192</v>
      </c>
      <c r="G460">
        <v>0</v>
      </c>
      <c r="H460">
        <v>200</v>
      </c>
      <c r="I460">
        <v>8</v>
      </c>
      <c r="J460">
        <v>4.17</v>
      </c>
      <c r="K460">
        <v>192</v>
      </c>
      <c r="L460">
        <v>0</v>
      </c>
      <c r="M460">
        <v>0</v>
      </c>
      <c r="N460">
        <v>0</v>
      </c>
      <c r="O460">
        <v>0</v>
      </c>
      <c r="R460">
        <v>1</v>
      </c>
      <c r="S460">
        <v>100</v>
      </c>
      <c r="T460">
        <v>159</v>
      </c>
      <c r="U460">
        <v>0</v>
      </c>
      <c r="V460">
        <v>0</v>
      </c>
      <c r="W460">
        <v>0</v>
      </c>
    </row>
    <row r="461" spans="1:23" x14ac:dyDescent="0.25">
      <c r="A461" t="s">
        <v>1339</v>
      </c>
      <c r="B461" t="s">
        <v>1340</v>
      </c>
      <c r="C461">
        <v>478</v>
      </c>
      <c r="D461">
        <v>400801</v>
      </c>
      <c r="E461">
        <v>14895485835</v>
      </c>
      <c r="F461">
        <v>35774</v>
      </c>
      <c r="G461">
        <v>37500</v>
      </c>
      <c r="H461">
        <v>37200</v>
      </c>
      <c r="I461">
        <v>1426</v>
      </c>
      <c r="J461">
        <v>3.99</v>
      </c>
      <c r="K461">
        <v>37164</v>
      </c>
      <c r="L461">
        <v>1390</v>
      </c>
      <c r="M461">
        <v>3.89</v>
      </c>
      <c r="N461">
        <v>36060</v>
      </c>
      <c r="O461">
        <v>37500</v>
      </c>
      <c r="P461" t="s">
        <v>1341</v>
      </c>
      <c r="Q461" t="s">
        <v>3024</v>
      </c>
      <c r="R461">
        <v>3</v>
      </c>
      <c r="S461">
        <v>1040</v>
      </c>
      <c r="T461">
        <v>37100</v>
      </c>
      <c r="U461">
        <v>37200</v>
      </c>
      <c r="V461">
        <v>12514</v>
      </c>
      <c r="W461">
        <v>4</v>
      </c>
    </row>
    <row r="462" spans="1:23" x14ac:dyDescent="0.25">
      <c r="A462" t="s">
        <v>1342</v>
      </c>
      <c r="B462" t="s">
        <v>1343</v>
      </c>
      <c r="C462">
        <v>469</v>
      </c>
      <c r="D462">
        <v>3713665</v>
      </c>
      <c r="E462">
        <v>11968120661</v>
      </c>
      <c r="F462">
        <v>3073</v>
      </c>
      <c r="G462">
        <v>3226</v>
      </c>
      <c r="H462">
        <v>3226</v>
      </c>
      <c r="I462">
        <v>153</v>
      </c>
      <c r="J462">
        <v>4.9800000000000004</v>
      </c>
      <c r="K462">
        <v>3223</v>
      </c>
      <c r="L462">
        <v>150</v>
      </c>
      <c r="M462">
        <v>4.88</v>
      </c>
      <c r="N462">
        <v>3120</v>
      </c>
      <c r="O462">
        <v>3226</v>
      </c>
      <c r="P462" t="s">
        <v>1344</v>
      </c>
      <c r="Q462" t="s">
        <v>3025</v>
      </c>
      <c r="R462">
        <v>85</v>
      </c>
      <c r="S462">
        <v>1366603</v>
      </c>
      <c r="T462">
        <v>3226</v>
      </c>
      <c r="U462">
        <v>0</v>
      </c>
      <c r="V462">
        <v>0</v>
      </c>
      <c r="W462">
        <v>0</v>
      </c>
    </row>
    <row r="463" spans="1:23" x14ac:dyDescent="0.25">
      <c r="A463" t="s">
        <v>1345</v>
      </c>
      <c r="B463" t="s">
        <v>1346</v>
      </c>
      <c r="C463">
        <v>0</v>
      </c>
      <c r="D463">
        <v>0</v>
      </c>
      <c r="E463">
        <v>0</v>
      </c>
      <c r="F463">
        <v>971000</v>
      </c>
      <c r="G463">
        <v>0</v>
      </c>
      <c r="H463">
        <v>971000</v>
      </c>
      <c r="I463">
        <v>0</v>
      </c>
      <c r="J463">
        <v>0</v>
      </c>
      <c r="K463">
        <v>971000</v>
      </c>
      <c r="L463">
        <v>0</v>
      </c>
      <c r="M463">
        <v>0</v>
      </c>
      <c r="N463">
        <v>0</v>
      </c>
      <c r="O463">
        <v>0</v>
      </c>
      <c r="R463">
        <v>1</v>
      </c>
      <c r="S463">
        <v>6250</v>
      </c>
      <c r="T463">
        <v>991000</v>
      </c>
      <c r="U463">
        <v>1000000</v>
      </c>
      <c r="V463">
        <v>6250</v>
      </c>
      <c r="W463">
        <v>1</v>
      </c>
    </row>
    <row r="464" spans="1:23" x14ac:dyDescent="0.25">
      <c r="A464" t="s">
        <v>1347</v>
      </c>
      <c r="B464" t="s">
        <v>1348</v>
      </c>
      <c r="C464">
        <v>0</v>
      </c>
      <c r="D464">
        <v>0</v>
      </c>
      <c r="E464">
        <v>0</v>
      </c>
      <c r="F464">
        <v>1</v>
      </c>
      <c r="G464">
        <v>0</v>
      </c>
      <c r="H464">
        <v>1</v>
      </c>
      <c r="I464">
        <v>0</v>
      </c>
      <c r="J464">
        <v>0</v>
      </c>
      <c r="K464">
        <v>1</v>
      </c>
      <c r="L464">
        <v>0</v>
      </c>
      <c r="M464">
        <v>0</v>
      </c>
      <c r="N464">
        <v>0</v>
      </c>
      <c r="O464">
        <v>0</v>
      </c>
      <c r="R464">
        <v>1</v>
      </c>
      <c r="S464">
        <v>100</v>
      </c>
      <c r="T464">
        <v>10</v>
      </c>
      <c r="U464">
        <v>0</v>
      </c>
      <c r="V464">
        <v>0</v>
      </c>
      <c r="W464">
        <v>0</v>
      </c>
    </row>
    <row r="465" spans="1:23" x14ac:dyDescent="0.25">
      <c r="A465" t="s">
        <v>1349</v>
      </c>
      <c r="B465" t="s">
        <v>1350</v>
      </c>
      <c r="C465">
        <v>2621</v>
      </c>
      <c r="D465">
        <v>12786515</v>
      </c>
      <c r="E465">
        <v>96344910581</v>
      </c>
      <c r="F465">
        <v>7102</v>
      </c>
      <c r="G465">
        <v>7790</v>
      </c>
      <c r="H465">
        <v>7400</v>
      </c>
      <c r="I465">
        <v>298</v>
      </c>
      <c r="J465">
        <v>4.2</v>
      </c>
      <c r="K465">
        <v>7535</v>
      </c>
      <c r="L465">
        <v>433</v>
      </c>
      <c r="M465">
        <v>6.1</v>
      </c>
      <c r="N465">
        <v>7222</v>
      </c>
      <c r="O465">
        <v>7790</v>
      </c>
      <c r="P465" t="s">
        <v>1351</v>
      </c>
      <c r="Q465" t="s">
        <v>3026</v>
      </c>
      <c r="R465">
        <v>1</v>
      </c>
      <c r="S465">
        <v>559</v>
      </c>
      <c r="T465">
        <v>7388</v>
      </c>
      <c r="U465">
        <v>7444</v>
      </c>
      <c r="V465">
        <v>49590</v>
      </c>
      <c r="W465">
        <v>2</v>
      </c>
    </row>
    <row r="466" spans="1:23" x14ac:dyDescent="0.25">
      <c r="A466" t="s">
        <v>1352</v>
      </c>
      <c r="B466" t="s">
        <v>1353</v>
      </c>
      <c r="C466">
        <v>1153</v>
      </c>
      <c r="D466">
        <v>2975747</v>
      </c>
      <c r="E466">
        <v>56818997578</v>
      </c>
      <c r="F466">
        <v>18249</v>
      </c>
      <c r="G466">
        <v>19150</v>
      </c>
      <c r="H466">
        <v>18999</v>
      </c>
      <c r="I466">
        <v>750</v>
      </c>
      <c r="J466">
        <v>4.1100000000000003</v>
      </c>
      <c r="K466">
        <v>19094</v>
      </c>
      <c r="L466">
        <v>845</v>
      </c>
      <c r="M466">
        <v>4.63</v>
      </c>
      <c r="N466">
        <v>18651</v>
      </c>
      <c r="O466">
        <v>19161</v>
      </c>
      <c r="P466" t="s">
        <v>1354</v>
      </c>
      <c r="Q466" t="s">
        <v>1378</v>
      </c>
      <c r="R466">
        <v>1</v>
      </c>
      <c r="S466">
        <v>100</v>
      </c>
      <c r="T466">
        <v>18977</v>
      </c>
      <c r="U466">
        <v>18999</v>
      </c>
      <c r="V466">
        <v>1386</v>
      </c>
      <c r="W466">
        <v>1</v>
      </c>
    </row>
    <row r="467" spans="1:23" x14ac:dyDescent="0.25">
      <c r="A467" t="s">
        <v>1355</v>
      </c>
      <c r="B467" t="s">
        <v>1356</v>
      </c>
      <c r="C467">
        <v>531</v>
      </c>
      <c r="D467">
        <v>3254047</v>
      </c>
      <c r="E467">
        <v>25686633107</v>
      </c>
      <c r="F467">
        <v>8175</v>
      </c>
      <c r="G467">
        <v>8378</v>
      </c>
      <c r="H467">
        <v>7767</v>
      </c>
      <c r="I467">
        <v>-408</v>
      </c>
      <c r="J467">
        <v>-4.99</v>
      </c>
      <c r="K467">
        <v>7894</v>
      </c>
      <c r="L467">
        <v>-281</v>
      </c>
      <c r="M467">
        <v>-3.44</v>
      </c>
      <c r="N467">
        <v>7767</v>
      </c>
      <c r="O467">
        <v>8378</v>
      </c>
      <c r="P467" t="s">
        <v>1357</v>
      </c>
      <c r="Q467" t="s">
        <v>3027</v>
      </c>
      <c r="R467">
        <v>1</v>
      </c>
      <c r="S467">
        <v>400</v>
      </c>
      <c r="T467">
        <v>5184</v>
      </c>
      <c r="U467">
        <v>7767</v>
      </c>
      <c r="V467">
        <v>3910719</v>
      </c>
      <c r="W467">
        <v>161</v>
      </c>
    </row>
    <row r="468" spans="1:23" x14ac:dyDescent="0.25">
      <c r="A468" t="s">
        <v>1358</v>
      </c>
      <c r="B468" t="s">
        <v>1359</v>
      </c>
      <c r="C468">
        <v>47</v>
      </c>
      <c r="D468">
        <v>557506</v>
      </c>
      <c r="E468">
        <v>5646387925</v>
      </c>
      <c r="F468">
        <v>10129</v>
      </c>
      <c r="G468">
        <v>10125</v>
      </c>
      <c r="H468">
        <v>10128</v>
      </c>
      <c r="I468">
        <v>-1</v>
      </c>
      <c r="J468">
        <v>-0.01</v>
      </c>
      <c r="K468">
        <v>10128</v>
      </c>
      <c r="L468">
        <v>-1</v>
      </c>
      <c r="M468">
        <v>-0.01</v>
      </c>
      <c r="N468">
        <v>10125</v>
      </c>
      <c r="O468">
        <v>10130</v>
      </c>
      <c r="R468">
        <v>12</v>
      </c>
      <c r="S468">
        <v>322985</v>
      </c>
      <c r="T468">
        <v>10128</v>
      </c>
      <c r="U468">
        <v>10130</v>
      </c>
      <c r="V468">
        <v>14695</v>
      </c>
      <c r="W468">
        <v>1</v>
      </c>
    </row>
    <row r="469" spans="1:23" x14ac:dyDescent="0.25">
      <c r="A469" t="s">
        <v>1360</v>
      </c>
      <c r="B469" t="s">
        <v>1361</v>
      </c>
      <c r="C469">
        <v>2658</v>
      </c>
      <c r="D469">
        <v>11660643</v>
      </c>
      <c r="E469">
        <v>76099201718</v>
      </c>
      <c r="F469">
        <v>6607</v>
      </c>
      <c r="G469">
        <v>6780</v>
      </c>
      <c r="H469">
        <v>6359</v>
      </c>
      <c r="I469">
        <v>-248</v>
      </c>
      <c r="J469">
        <v>-3.75</v>
      </c>
      <c r="K469">
        <v>6526</v>
      </c>
      <c r="L469">
        <v>-81</v>
      </c>
      <c r="M469">
        <v>-1.23</v>
      </c>
      <c r="N469">
        <v>6350</v>
      </c>
      <c r="O469">
        <v>6895</v>
      </c>
      <c r="P469" t="s">
        <v>1362</v>
      </c>
      <c r="Q469" t="s">
        <v>3028</v>
      </c>
      <c r="R469">
        <v>1</v>
      </c>
      <c r="S469">
        <v>1566</v>
      </c>
      <c r="T469">
        <v>6356</v>
      </c>
      <c r="U469">
        <v>6359</v>
      </c>
      <c r="V469">
        <v>13840</v>
      </c>
      <c r="W469">
        <v>2</v>
      </c>
    </row>
    <row r="470" spans="1:23" x14ac:dyDescent="0.25">
      <c r="A470" t="s">
        <v>1363</v>
      </c>
      <c r="B470" t="s">
        <v>1364</v>
      </c>
      <c r="C470">
        <v>0</v>
      </c>
      <c r="D470">
        <v>0</v>
      </c>
      <c r="E470">
        <v>0</v>
      </c>
      <c r="F470">
        <v>1000000</v>
      </c>
      <c r="G470">
        <v>0</v>
      </c>
      <c r="H470">
        <v>1000000</v>
      </c>
      <c r="I470">
        <v>0</v>
      </c>
      <c r="J470">
        <v>0</v>
      </c>
      <c r="K470">
        <v>1000000</v>
      </c>
      <c r="L470">
        <v>0</v>
      </c>
      <c r="M470">
        <v>0</v>
      </c>
      <c r="N470">
        <v>0</v>
      </c>
      <c r="O470">
        <v>0</v>
      </c>
      <c r="R470">
        <v>1</v>
      </c>
      <c r="S470">
        <v>250</v>
      </c>
      <c r="T470">
        <v>1000000</v>
      </c>
      <c r="U470">
        <v>1010000</v>
      </c>
      <c r="V470">
        <v>257</v>
      </c>
      <c r="W470">
        <v>1</v>
      </c>
    </row>
    <row r="471" spans="1:23" x14ac:dyDescent="0.25">
      <c r="A471" t="s">
        <v>1365</v>
      </c>
      <c r="B471" t="s">
        <v>1366</v>
      </c>
      <c r="C471">
        <v>37</v>
      </c>
      <c r="D471">
        <v>342</v>
      </c>
      <c r="E471">
        <v>137564669</v>
      </c>
      <c r="F471">
        <v>405253</v>
      </c>
      <c r="G471">
        <v>400000</v>
      </c>
      <c r="H471">
        <v>405000</v>
      </c>
      <c r="I471">
        <v>-253</v>
      </c>
      <c r="J471">
        <v>-0.06</v>
      </c>
      <c r="K471">
        <v>402236</v>
      </c>
      <c r="L471">
        <v>-3017</v>
      </c>
      <c r="M471">
        <v>-0.74</v>
      </c>
      <c r="N471">
        <v>386889</v>
      </c>
      <c r="O471">
        <v>414000</v>
      </c>
      <c r="R471">
        <v>1</v>
      </c>
      <c r="S471">
        <v>3</v>
      </c>
      <c r="T471">
        <v>400003</v>
      </c>
      <c r="U471">
        <v>409899</v>
      </c>
      <c r="V471">
        <v>28</v>
      </c>
      <c r="W471">
        <v>2</v>
      </c>
    </row>
    <row r="472" spans="1:23" x14ac:dyDescent="0.25">
      <c r="A472" t="s">
        <v>1367</v>
      </c>
      <c r="B472" t="s">
        <v>1368</v>
      </c>
      <c r="C472">
        <v>220</v>
      </c>
      <c r="D472">
        <v>274396</v>
      </c>
      <c r="E472">
        <v>4395850255</v>
      </c>
      <c r="F472">
        <v>15858</v>
      </c>
      <c r="G472">
        <v>16634</v>
      </c>
      <c r="H472">
        <v>15900</v>
      </c>
      <c r="I472">
        <v>42</v>
      </c>
      <c r="J472">
        <v>0.26</v>
      </c>
      <c r="K472">
        <v>16020</v>
      </c>
      <c r="L472">
        <v>162</v>
      </c>
      <c r="M472">
        <v>1.02</v>
      </c>
      <c r="N472">
        <v>15705</v>
      </c>
      <c r="O472">
        <v>16634</v>
      </c>
      <c r="P472" t="s">
        <v>1369</v>
      </c>
      <c r="Q472" t="s">
        <v>3029</v>
      </c>
      <c r="R472">
        <v>2</v>
      </c>
      <c r="S472">
        <v>815</v>
      </c>
      <c r="T472">
        <v>15900</v>
      </c>
      <c r="U472">
        <v>15998</v>
      </c>
      <c r="V472">
        <v>3000</v>
      </c>
      <c r="W472">
        <v>2</v>
      </c>
    </row>
    <row r="473" spans="1:23" x14ac:dyDescent="0.25">
      <c r="A473" t="s">
        <v>1370</v>
      </c>
      <c r="B473" t="s">
        <v>1371</v>
      </c>
      <c r="C473">
        <v>0</v>
      </c>
      <c r="D473">
        <v>0</v>
      </c>
      <c r="E473">
        <v>0</v>
      </c>
      <c r="F473">
        <v>244</v>
      </c>
      <c r="G473">
        <v>0</v>
      </c>
      <c r="H473">
        <v>244</v>
      </c>
      <c r="I473">
        <v>0</v>
      </c>
      <c r="J473">
        <v>0</v>
      </c>
      <c r="K473">
        <v>244</v>
      </c>
      <c r="L473">
        <v>0</v>
      </c>
      <c r="M473">
        <v>0</v>
      </c>
      <c r="N473">
        <v>0</v>
      </c>
      <c r="O473">
        <v>0</v>
      </c>
      <c r="R473">
        <v>1</v>
      </c>
      <c r="S473">
        <v>1</v>
      </c>
      <c r="T473">
        <v>200</v>
      </c>
      <c r="U473">
        <v>288</v>
      </c>
      <c r="V473">
        <v>8</v>
      </c>
      <c r="W473">
        <v>1</v>
      </c>
    </row>
    <row r="474" spans="1:23" x14ac:dyDescent="0.25">
      <c r="A474" t="s">
        <v>1372</v>
      </c>
      <c r="B474" t="s">
        <v>1373</v>
      </c>
      <c r="C474">
        <v>250</v>
      </c>
      <c r="D474">
        <v>500484</v>
      </c>
      <c r="E474">
        <v>8478792094</v>
      </c>
      <c r="F474">
        <v>16150</v>
      </c>
      <c r="G474">
        <v>16957</v>
      </c>
      <c r="H474">
        <v>16861</v>
      </c>
      <c r="I474">
        <v>711</v>
      </c>
      <c r="J474">
        <v>4.4000000000000004</v>
      </c>
      <c r="K474">
        <v>16941</v>
      </c>
      <c r="L474">
        <v>791</v>
      </c>
      <c r="M474">
        <v>4.9000000000000004</v>
      </c>
      <c r="N474">
        <v>16795</v>
      </c>
      <c r="O474">
        <v>16957</v>
      </c>
      <c r="P474" t="s">
        <v>1374</v>
      </c>
      <c r="Q474" t="s">
        <v>3030</v>
      </c>
      <c r="R474">
        <v>2</v>
      </c>
      <c r="S474">
        <v>1198</v>
      </c>
      <c r="T474">
        <v>16871</v>
      </c>
      <c r="U474">
        <v>16897</v>
      </c>
      <c r="V474">
        <v>2671</v>
      </c>
      <c r="W474">
        <v>4</v>
      </c>
    </row>
    <row r="475" spans="1:23" x14ac:dyDescent="0.25">
      <c r="A475" t="s">
        <v>1375</v>
      </c>
      <c r="B475" t="s">
        <v>1376</v>
      </c>
      <c r="C475">
        <v>356</v>
      </c>
      <c r="D475">
        <v>1776553</v>
      </c>
      <c r="E475">
        <v>15722372365</v>
      </c>
      <c r="F475">
        <v>8479</v>
      </c>
      <c r="G475">
        <v>8888</v>
      </c>
      <c r="H475">
        <v>8886</v>
      </c>
      <c r="I475">
        <v>407</v>
      </c>
      <c r="J475">
        <v>4.8</v>
      </c>
      <c r="K475">
        <v>8850</v>
      </c>
      <c r="L475">
        <v>371</v>
      </c>
      <c r="M475">
        <v>4.38</v>
      </c>
      <c r="N475">
        <v>8707</v>
      </c>
      <c r="O475">
        <v>8899</v>
      </c>
      <c r="P475" t="s">
        <v>1377</v>
      </c>
      <c r="Q475" t="s">
        <v>3031</v>
      </c>
      <c r="R475">
        <v>2</v>
      </c>
      <c r="S475">
        <v>1345</v>
      </c>
      <c r="T475">
        <v>8886</v>
      </c>
      <c r="U475">
        <v>8887</v>
      </c>
      <c r="V475">
        <v>30148</v>
      </c>
      <c r="W475">
        <v>3</v>
      </c>
    </row>
    <row r="476" spans="1:23" x14ac:dyDescent="0.25">
      <c r="A476" t="s">
        <v>1379</v>
      </c>
      <c r="B476" t="s">
        <v>1380</v>
      </c>
      <c r="C476">
        <v>76</v>
      </c>
      <c r="D476">
        <v>914</v>
      </c>
      <c r="E476">
        <v>374952390</v>
      </c>
      <c r="F476">
        <v>414102</v>
      </c>
      <c r="G476">
        <v>395000</v>
      </c>
      <c r="H476">
        <v>403333</v>
      </c>
      <c r="I476">
        <v>-10769</v>
      </c>
      <c r="J476">
        <v>-2.6</v>
      </c>
      <c r="K476">
        <v>410232</v>
      </c>
      <c r="L476">
        <v>-3870</v>
      </c>
      <c r="M476">
        <v>-0.93</v>
      </c>
      <c r="N476">
        <v>394659</v>
      </c>
      <c r="O476">
        <v>429999</v>
      </c>
      <c r="R476">
        <v>1</v>
      </c>
      <c r="S476">
        <v>90</v>
      </c>
      <c r="T476">
        <v>402307</v>
      </c>
      <c r="U476">
        <v>405000</v>
      </c>
      <c r="V476">
        <v>2</v>
      </c>
      <c r="W476">
        <v>1</v>
      </c>
    </row>
    <row r="477" spans="1:23" x14ac:dyDescent="0.25">
      <c r="A477" t="s">
        <v>1381</v>
      </c>
      <c r="B477" t="s">
        <v>1382</v>
      </c>
      <c r="C477">
        <v>340</v>
      </c>
      <c r="D477">
        <v>1272982</v>
      </c>
      <c r="E477">
        <v>20278906545</v>
      </c>
      <c r="F477">
        <v>15547</v>
      </c>
      <c r="G477">
        <v>15767</v>
      </c>
      <c r="H477">
        <v>15880</v>
      </c>
      <c r="I477">
        <v>333</v>
      </c>
      <c r="J477">
        <v>2.14</v>
      </c>
      <c r="K477">
        <v>15930</v>
      </c>
      <c r="L477">
        <v>383</v>
      </c>
      <c r="M477">
        <v>2.46</v>
      </c>
      <c r="N477">
        <v>15767</v>
      </c>
      <c r="O477">
        <v>16025</v>
      </c>
      <c r="P477" t="s">
        <v>1383</v>
      </c>
      <c r="Q477" t="s">
        <v>2668</v>
      </c>
      <c r="R477">
        <v>1</v>
      </c>
      <c r="S477">
        <v>3118</v>
      </c>
      <c r="T477">
        <v>15876</v>
      </c>
      <c r="U477">
        <v>15880</v>
      </c>
      <c r="V477">
        <v>2482</v>
      </c>
      <c r="W477">
        <v>2</v>
      </c>
    </row>
    <row r="478" spans="1:23" x14ac:dyDescent="0.25">
      <c r="A478" t="s">
        <v>2678</v>
      </c>
      <c r="B478" t="s">
        <v>2679</v>
      </c>
      <c r="C478">
        <v>1558</v>
      </c>
      <c r="D478">
        <v>29977054</v>
      </c>
      <c r="E478">
        <v>104728504732</v>
      </c>
      <c r="F478">
        <v>3329</v>
      </c>
      <c r="G478">
        <v>3495</v>
      </c>
      <c r="H478">
        <v>3495</v>
      </c>
      <c r="I478">
        <v>166</v>
      </c>
      <c r="J478">
        <v>4.99</v>
      </c>
      <c r="K478">
        <v>3494</v>
      </c>
      <c r="L478">
        <v>165</v>
      </c>
      <c r="M478">
        <v>4.96</v>
      </c>
      <c r="N478">
        <v>3400</v>
      </c>
      <c r="O478">
        <v>3495</v>
      </c>
      <c r="P478" t="s">
        <v>2680</v>
      </c>
      <c r="Q478" t="s">
        <v>3032</v>
      </c>
      <c r="R478">
        <v>1077</v>
      </c>
      <c r="S478">
        <v>34824670</v>
      </c>
      <c r="T478">
        <v>3495</v>
      </c>
      <c r="U478">
        <v>4196</v>
      </c>
      <c r="V478">
        <v>82950</v>
      </c>
      <c r="W478">
        <v>2</v>
      </c>
    </row>
    <row r="479" spans="1:23" x14ac:dyDescent="0.25">
      <c r="A479" t="s">
        <v>1384</v>
      </c>
      <c r="B479" t="s">
        <v>1385</v>
      </c>
      <c r="C479">
        <v>1786</v>
      </c>
      <c r="D479">
        <v>12935938</v>
      </c>
      <c r="E479">
        <v>55312302565</v>
      </c>
      <c r="F479">
        <v>4208</v>
      </c>
      <c r="G479">
        <v>4290</v>
      </c>
      <c r="H479">
        <v>4279</v>
      </c>
      <c r="I479">
        <v>71</v>
      </c>
      <c r="J479">
        <v>1.69</v>
      </c>
      <c r="K479">
        <v>4276</v>
      </c>
      <c r="L479">
        <v>68</v>
      </c>
      <c r="M479">
        <v>1.62</v>
      </c>
      <c r="N479">
        <v>4220</v>
      </c>
      <c r="O479">
        <v>4302</v>
      </c>
      <c r="P479" t="s">
        <v>1386</v>
      </c>
      <c r="Q479" t="s">
        <v>3033</v>
      </c>
      <c r="R479">
        <v>9</v>
      </c>
      <c r="S479">
        <v>94781</v>
      </c>
      <c r="T479">
        <v>4278</v>
      </c>
      <c r="U479">
        <v>4279</v>
      </c>
      <c r="V479">
        <v>12521</v>
      </c>
      <c r="W479">
        <v>2</v>
      </c>
    </row>
    <row r="480" spans="1:23" x14ac:dyDescent="0.25">
      <c r="A480" t="s">
        <v>1387</v>
      </c>
      <c r="B480" t="s">
        <v>1388</v>
      </c>
      <c r="C480">
        <v>0</v>
      </c>
      <c r="D480">
        <v>0</v>
      </c>
      <c r="E480">
        <v>0</v>
      </c>
      <c r="F480">
        <v>3444</v>
      </c>
      <c r="G480">
        <v>0</v>
      </c>
      <c r="H480">
        <v>3444</v>
      </c>
      <c r="I480">
        <v>0</v>
      </c>
      <c r="J480">
        <v>0</v>
      </c>
      <c r="K480">
        <v>3444</v>
      </c>
      <c r="L480">
        <v>0</v>
      </c>
      <c r="M480">
        <v>0</v>
      </c>
      <c r="N480">
        <v>0</v>
      </c>
      <c r="O480">
        <v>0</v>
      </c>
      <c r="P480" t="s">
        <v>1389</v>
      </c>
      <c r="Q480" t="s">
        <v>1390</v>
      </c>
      <c r="R480">
        <v>1</v>
      </c>
      <c r="S480">
        <v>10000</v>
      </c>
      <c r="T480">
        <v>3800</v>
      </c>
      <c r="U480">
        <v>6000</v>
      </c>
      <c r="V480">
        <v>1000000</v>
      </c>
      <c r="W480">
        <v>20</v>
      </c>
    </row>
    <row r="481" spans="1:23" x14ac:dyDescent="0.25">
      <c r="A481" t="s">
        <v>3034</v>
      </c>
      <c r="B481" t="s">
        <v>948</v>
      </c>
      <c r="C481">
        <v>1</v>
      </c>
      <c r="D481">
        <v>62</v>
      </c>
      <c r="E481">
        <v>54250000</v>
      </c>
      <c r="F481">
        <v>920395</v>
      </c>
      <c r="G481">
        <v>875000</v>
      </c>
      <c r="H481">
        <v>875000</v>
      </c>
      <c r="I481">
        <v>-45395</v>
      </c>
      <c r="J481">
        <v>-4.93</v>
      </c>
      <c r="K481">
        <v>875000</v>
      </c>
      <c r="L481">
        <v>-45395</v>
      </c>
      <c r="M481">
        <v>-4.93</v>
      </c>
      <c r="N481">
        <v>875000</v>
      </c>
      <c r="O481">
        <v>875000</v>
      </c>
      <c r="R481">
        <v>2</v>
      </c>
      <c r="S481">
        <v>88</v>
      </c>
      <c r="T481">
        <v>875000</v>
      </c>
      <c r="U481">
        <v>0</v>
      </c>
      <c r="V481">
        <v>0</v>
      </c>
      <c r="W481">
        <v>0</v>
      </c>
    </row>
    <row r="482" spans="1:23" x14ac:dyDescent="0.25">
      <c r="A482" t="s">
        <v>1391</v>
      </c>
      <c r="B482" t="s">
        <v>1392</v>
      </c>
      <c r="C482">
        <v>80</v>
      </c>
      <c r="D482">
        <v>1000972</v>
      </c>
      <c r="E482">
        <v>2319252124</v>
      </c>
      <c r="F482">
        <v>2207</v>
      </c>
      <c r="G482">
        <v>2317</v>
      </c>
      <c r="H482">
        <v>2317</v>
      </c>
      <c r="I482">
        <v>110</v>
      </c>
      <c r="J482">
        <v>4.9800000000000004</v>
      </c>
      <c r="K482">
        <v>2317</v>
      </c>
      <c r="L482">
        <v>110</v>
      </c>
      <c r="M482">
        <v>4.9800000000000004</v>
      </c>
      <c r="N482">
        <v>2317</v>
      </c>
      <c r="O482">
        <v>2317</v>
      </c>
      <c r="P482" t="s">
        <v>1393</v>
      </c>
      <c r="Q482" t="s">
        <v>3035</v>
      </c>
      <c r="R482">
        <v>246</v>
      </c>
      <c r="S482">
        <v>9091695</v>
      </c>
      <c r="T482">
        <v>2317</v>
      </c>
      <c r="U482">
        <v>2317</v>
      </c>
      <c r="V482">
        <v>128736</v>
      </c>
      <c r="W482">
        <v>7</v>
      </c>
    </row>
    <row r="483" spans="1:23" x14ac:dyDescent="0.25">
      <c r="A483" t="s">
        <v>1394</v>
      </c>
      <c r="B483" t="s">
        <v>1395</v>
      </c>
      <c r="C483">
        <v>1938</v>
      </c>
      <c r="D483">
        <v>9255954</v>
      </c>
      <c r="E483">
        <v>64641712507</v>
      </c>
      <c r="F483">
        <v>6800</v>
      </c>
      <c r="G483">
        <v>6875</v>
      </c>
      <c r="H483">
        <v>7099</v>
      </c>
      <c r="I483">
        <v>299</v>
      </c>
      <c r="J483">
        <v>4.4000000000000004</v>
      </c>
      <c r="K483">
        <v>6984</v>
      </c>
      <c r="L483">
        <v>184</v>
      </c>
      <c r="M483">
        <v>2.71</v>
      </c>
      <c r="N483">
        <v>6875</v>
      </c>
      <c r="O483">
        <v>7100</v>
      </c>
      <c r="P483" t="s">
        <v>1396</v>
      </c>
      <c r="Q483" t="s">
        <v>2787</v>
      </c>
      <c r="R483">
        <v>3</v>
      </c>
      <c r="S483">
        <v>36210</v>
      </c>
      <c r="T483">
        <v>7098</v>
      </c>
      <c r="U483">
        <v>7099</v>
      </c>
      <c r="V483">
        <v>1567</v>
      </c>
      <c r="W483">
        <v>1</v>
      </c>
    </row>
    <row r="484" spans="1:23" x14ac:dyDescent="0.25">
      <c r="A484" t="s">
        <v>1397</v>
      </c>
      <c r="B484" t="s">
        <v>1398</v>
      </c>
      <c r="C484">
        <v>0</v>
      </c>
      <c r="D484">
        <v>0</v>
      </c>
      <c r="E484">
        <v>0</v>
      </c>
      <c r="F484">
        <v>500</v>
      </c>
      <c r="G484">
        <v>0</v>
      </c>
      <c r="H484">
        <v>500</v>
      </c>
      <c r="I484">
        <v>0</v>
      </c>
      <c r="J484">
        <v>0</v>
      </c>
      <c r="K484">
        <v>500</v>
      </c>
      <c r="L484">
        <v>0</v>
      </c>
      <c r="M484">
        <v>0</v>
      </c>
      <c r="N484">
        <v>0</v>
      </c>
      <c r="O484">
        <v>0</v>
      </c>
      <c r="R484">
        <v>1</v>
      </c>
      <c r="S484">
        <v>100</v>
      </c>
      <c r="T484">
        <v>61</v>
      </c>
      <c r="U484">
        <v>450</v>
      </c>
      <c r="V484">
        <v>200</v>
      </c>
      <c r="W484">
        <v>4</v>
      </c>
    </row>
    <row r="485" spans="1:23" x14ac:dyDescent="0.25">
      <c r="A485" t="s">
        <v>1399</v>
      </c>
      <c r="B485" t="s">
        <v>1400</v>
      </c>
      <c r="C485">
        <v>1188</v>
      </c>
      <c r="D485">
        <v>5648387</v>
      </c>
      <c r="E485">
        <v>66699910195</v>
      </c>
      <c r="F485">
        <v>11390</v>
      </c>
      <c r="G485">
        <v>11600</v>
      </c>
      <c r="H485">
        <v>11781</v>
      </c>
      <c r="I485">
        <v>391</v>
      </c>
      <c r="J485">
        <v>3.43</v>
      </c>
      <c r="K485">
        <v>11809</v>
      </c>
      <c r="L485">
        <v>419</v>
      </c>
      <c r="M485">
        <v>3.68</v>
      </c>
      <c r="N485">
        <v>11597</v>
      </c>
      <c r="O485">
        <v>11950</v>
      </c>
      <c r="P485" t="s">
        <v>1401</v>
      </c>
      <c r="Q485" t="s">
        <v>3036</v>
      </c>
      <c r="R485">
        <v>1</v>
      </c>
      <c r="S485">
        <v>1663</v>
      </c>
      <c r="T485">
        <v>11781</v>
      </c>
      <c r="U485">
        <v>11790</v>
      </c>
      <c r="V485">
        <v>7223</v>
      </c>
      <c r="W485">
        <v>3</v>
      </c>
    </row>
    <row r="486" spans="1:23" x14ac:dyDescent="0.25">
      <c r="A486" t="s">
        <v>1402</v>
      </c>
      <c r="B486" t="s">
        <v>1403</v>
      </c>
      <c r="C486">
        <v>744</v>
      </c>
      <c r="D486">
        <v>6041892</v>
      </c>
      <c r="E486">
        <v>34788908365</v>
      </c>
      <c r="F486">
        <v>5484</v>
      </c>
      <c r="G486">
        <v>5758</v>
      </c>
      <c r="H486">
        <v>5694</v>
      </c>
      <c r="I486">
        <v>210</v>
      </c>
      <c r="J486">
        <v>3.83</v>
      </c>
      <c r="K486">
        <v>5758</v>
      </c>
      <c r="L486">
        <v>274</v>
      </c>
      <c r="M486">
        <v>5</v>
      </c>
      <c r="N486">
        <v>5471</v>
      </c>
      <c r="O486">
        <v>6040</v>
      </c>
      <c r="P486" t="s">
        <v>1404</v>
      </c>
      <c r="Q486" t="s">
        <v>3037</v>
      </c>
      <c r="R486">
        <v>1</v>
      </c>
      <c r="S486">
        <v>650</v>
      </c>
      <c r="T486">
        <v>5625</v>
      </c>
      <c r="U486">
        <v>5694</v>
      </c>
      <c r="V486">
        <v>12018</v>
      </c>
      <c r="W486">
        <v>1</v>
      </c>
    </row>
    <row r="487" spans="1:23" x14ac:dyDescent="0.25">
      <c r="A487" t="s">
        <v>1405</v>
      </c>
      <c r="B487" t="s">
        <v>1406</v>
      </c>
      <c r="C487">
        <v>615</v>
      </c>
      <c r="D487">
        <v>1567142</v>
      </c>
      <c r="E487">
        <v>29381859283</v>
      </c>
      <c r="F487">
        <v>18013</v>
      </c>
      <c r="G487">
        <v>18013</v>
      </c>
      <c r="H487">
        <v>18913</v>
      </c>
      <c r="I487">
        <v>900</v>
      </c>
      <c r="J487">
        <v>5</v>
      </c>
      <c r="K487">
        <v>18749</v>
      </c>
      <c r="L487">
        <v>736</v>
      </c>
      <c r="M487">
        <v>4.09</v>
      </c>
      <c r="N487">
        <v>17712</v>
      </c>
      <c r="O487">
        <v>18913</v>
      </c>
      <c r="P487" t="s">
        <v>1407</v>
      </c>
      <c r="Q487" t="s">
        <v>3038</v>
      </c>
      <c r="R487">
        <v>1</v>
      </c>
      <c r="S487">
        <v>450</v>
      </c>
      <c r="T487">
        <v>18870</v>
      </c>
      <c r="U487">
        <v>18913</v>
      </c>
      <c r="V487">
        <v>3238</v>
      </c>
      <c r="W487">
        <v>1</v>
      </c>
    </row>
    <row r="488" spans="1:23" x14ac:dyDescent="0.25">
      <c r="A488" t="s">
        <v>1408</v>
      </c>
      <c r="B488" t="s">
        <v>1409</v>
      </c>
      <c r="C488">
        <v>18</v>
      </c>
      <c r="D488">
        <v>22593</v>
      </c>
      <c r="E488">
        <v>21597781614</v>
      </c>
      <c r="F488">
        <v>955873</v>
      </c>
      <c r="G488">
        <v>956699</v>
      </c>
      <c r="H488">
        <v>955300</v>
      </c>
      <c r="I488">
        <v>-573</v>
      </c>
      <c r="J488">
        <v>-0.06</v>
      </c>
      <c r="K488">
        <v>955950</v>
      </c>
      <c r="L488">
        <v>77</v>
      </c>
      <c r="M488">
        <v>0.01</v>
      </c>
      <c r="N488">
        <v>955265</v>
      </c>
      <c r="O488">
        <v>956699</v>
      </c>
      <c r="R488">
        <v>1</v>
      </c>
      <c r="S488">
        <v>100</v>
      </c>
      <c r="T488">
        <v>955305</v>
      </c>
      <c r="U488">
        <v>956205</v>
      </c>
      <c r="V488">
        <v>2</v>
      </c>
      <c r="W488">
        <v>1</v>
      </c>
    </row>
    <row r="489" spans="1:23" x14ac:dyDescent="0.25">
      <c r="A489" t="s">
        <v>1410</v>
      </c>
      <c r="B489" t="s">
        <v>1411</v>
      </c>
      <c r="C489">
        <v>0</v>
      </c>
      <c r="D489">
        <v>0</v>
      </c>
      <c r="E489">
        <v>0</v>
      </c>
      <c r="F489">
        <v>305</v>
      </c>
      <c r="G489">
        <v>0</v>
      </c>
      <c r="H489">
        <v>350</v>
      </c>
      <c r="I489">
        <v>45</v>
      </c>
      <c r="J489">
        <v>14.75</v>
      </c>
      <c r="K489">
        <v>305</v>
      </c>
      <c r="L489">
        <v>0</v>
      </c>
      <c r="M489">
        <v>0</v>
      </c>
      <c r="N489">
        <v>0</v>
      </c>
      <c r="O489">
        <v>0</v>
      </c>
      <c r="R489">
        <v>2</v>
      </c>
      <c r="S489">
        <v>70</v>
      </c>
      <c r="T489">
        <v>101</v>
      </c>
      <c r="U489">
        <v>0</v>
      </c>
      <c r="V489">
        <v>0</v>
      </c>
      <c r="W489">
        <v>0</v>
      </c>
    </row>
    <row r="490" spans="1:23" x14ac:dyDescent="0.25">
      <c r="A490" t="s">
        <v>1412</v>
      </c>
      <c r="B490" t="s">
        <v>1413</v>
      </c>
      <c r="C490">
        <v>0</v>
      </c>
      <c r="D490">
        <v>0</v>
      </c>
      <c r="E490">
        <v>0</v>
      </c>
      <c r="F490">
        <v>919000</v>
      </c>
      <c r="G490">
        <v>0</v>
      </c>
      <c r="H490">
        <v>919000</v>
      </c>
      <c r="I490">
        <v>0</v>
      </c>
      <c r="J490">
        <v>0</v>
      </c>
      <c r="K490">
        <v>919000</v>
      </c>
      <c r="L490">
        <v>0</v>
      </c>
      <c r="M490">
        <v>0</v>
      </c>
      <c r="N490">
        <v>0</v>
      </c>
      <c r="O490">
        <v>0</v>
      </c>
      <c r="R490">
        <v>1</v>
      </c>
      <c r="S490">
        <v>110</v>
      </c>
      <c r="T490">
        <v>900009</v>
      </c>
      <c r="U490">
        <v>920000</v>
      </c>
      <c r="V490">
        <v>30</v>
      </c>
      <c r="W490">
        <v>1</v>
      </c>
    </row>
    <row r="491" spans="1:23" x14ac:dyDescent="0.25">
      <c r="A491" t="s">
        <v>1414</v>
      </c>
      <c r="B491" t="s">
        <v>1415</v>
      </c>
      <c r="C491">
        <v>4</v>
      </c>
      <c r="D491">
        <v>11450</v>
      </c>
      <c r="E491">
        <v>411585600</v>
      </c>
      <c r="F491">
        <v>36405</v>
      </c>
      <c r="G491">
        <v>35958</v>
      </c>
      <c r="H491">
        <v>35850</v>
      </c>
      <c r="I491">
        <v>-555</v>
      </c>
      <c r="J491">
        <v>-1.52</v>
      </c>
      <c r="K491">
        <v>35946</v>
      </c>
      <c r="L491">
        <v>-459</v>
      </c>
      <c r="M491">
        <v>-1.26</v>
      </c>
      <c r="N491">
        <v>35850</v>
      </c>
      <c r="O491">
        <v>35958</v>
      </c>
      <c r="R491">
        <v>1</v>
      </c>
      <c r="S491">
        <v>13780</v>
      </c>
      <c r="T491">
        <v>35850</v>
      </c>
      <c r="U491">
        <v>35958</v>
      </c>
      <c r="V491">
        <v>16800</v>
      </c>
      <c r="W491">
        <v>1</v>
      </c>
    </row>
    <row r="492" spans="1:23" x14ac:dyDescent="0.25">
      <c r="A492" t="s">
        <v>1416</v>
      </c>
      <c r="B492" t="s">
        <v>1417</v>
      </c>
      <c r="C492">
        <v>0</v>
      </c>
      <c r="D492">
        <v>0</v>
      </c>
      <c r="E492">
        <v>0</v>
      </c>
      <c r="F492">
        <v>1000000</v>
      </c>
      <c r="G492">
        <v>0</v>
      </c>
      <c r="H492">
        <v>1000000</v>
      </c>
      <c r="I492">
        <v>0</v>
      </c>
      <c r="J492">
        <v>0</v>
      </c>
      <c r="K492">
        <v>1000000</v>
      </c>
      <c r="L492">
        <v>0</v>
      </c>
      <c r="M492">
        <v>0</v>
      </c>
      <c r="N492">
        <v>0</v>
      </c>
      <c r="O492">
        <v>0</v>
      </c>
      <c r="R492">
        <v>1</v>
      </c>
      <c r="S492">
        <v>1875</v>
      </c>
      <c r="T492">
        <v>1000000</v>
      </c>
      <c r="U492">
        <v>1020000</v>
      </c>
      <c r="V492">
        <v>1875</v>
      </c>
      <c r="W492">
        <v>1</v>
      </c>
    </row>
    <row r="493" spans="1:23" x14ac:dyDescent="0.25">
      <c r="A493" t="s">
        <v>1418</v>
      </c>
      <c r="B493" t="s">
        <v>1419</v>
      </c>
      <c r="C493">
        <v>0</v>
      </c>
      <c r="D493">
        <v>0</v>
      </c>
      <c r="E493">
        <v>0</v>
      </c>
      <c r="F493">
        <v>9642</v>
      </c>
      <c r="G493">
        <v>0</v>
      </c>
      <c r="H493">
        <v>9999</v>
      </c>
      <c r="I493">
        <v>357</v>
      </c>
      <c r="J493">
        <v>3.7</v>
      </c>
      <c r="K493">
        <v>9642</v>
      </c>
      <c r="L493">
        <v>0</v>
      </c>
      <c r="M493">
        <v>0</v>
      </c>
      <c r="N493">
        <v>0</v>
      </c>
      <c r="O493">
        <v>0</v>
      </c>
      <c r="P493" t="s">
        <v>1420</v>
      </c>
      <c r="Q493" t="s">
        <v>2682</v>
      </c>
      <c r="R493">
        <v>7</v>
      </c>
      <c r="S493">
        <v>20273</v>
      </c>
      <c r="T493">
        <v>9522</v>
      </c>
      <c r="U493">
        <v>10000</v>
      </c>
      <c r="V493">
        <v>11739</v>
      </c>
      <c r="W493">
        <v>2</v>
      </c>
    </row>
    <row r="494" spans="1:23" x14ac:dyDescent="0.25">
      <c r="A494" t="s">
        <v>1421</v>
      </c>
      <c r="B494" t="s">
        <v>1422</v>
      </c>
      <c r="C494">
        <v>400</v>
      </c>
      <c r="D494">
        <v>5097598</v>
      </c>
      <c r="E494">
        <v>32187412615</v>
      </c>
      <c r="F494">
        <v>6020</v>
      </c>
      <c r="G494">
        <v>6321</v>
      </c>
      <c r="H494">
        <v>6321</v>
      </c>
      <c r="I494">
        <v>301</v>
      </c>
      <c r="J494">
        <v>5</v>
      </c>
      <c r="K494">
        <v>6314</v>
      </c>
      <c r="L494">
        <v>294</v>
      </c>
      <c r="M494">
        <v>4.88</v>
      </c>
      <c r="N494">
        <v>6240</v>
      </c>
      <c r="O494">
        <v>6321</v>
      </c>
      <c r="P494" t="s">
        <v>1423</v>
      </c>
      <c r="Q494" t="s">
        <v>3039</v>
      </c>
      <c r="R494">
        <v>5</v>
      </c>
      <c r="S494">
        <v>48397</v>
      </c>
      <c r="T494">
        <v>6321</v>
      </c>
      <c r="U494">
        <v>0</v>
      </c>
      <c r="V494">
        <v>0</v>
      </c>
      <c r="W494">
        <v>0</v>
      </c>
    </row>
    <row r="495" spans="1:23" x14ac:dyDescent="0.25">
      <c r="A495" t="s">
        <v>1425</v>
      </c>
      <c r="B495" t="s">
        <v>1426</v>
      </c>
      <c r="C495">
        <v>63</v>
      </c>
      <c r="D495">
        <v>817300</v>
      </c>
      <c r="E495">
        <v>7443968400</v>
      </c>
      <c r="F495">
        <v>8675</v>
      </c>
      <c r="G495">
        <v>9108</v>
      </c>
      <c r="H495">
        <v>9108</v>
      </c>
      <c r="I495">
        <v>433</v>
      </c>
      <c r="J495">
        <v>4.99</v>
      </c>
      <c r="K495">
        <v>9108</v>
      </c>
      <c r="L495">
        <v>433</v>
      </c>
      <c r="M495">
        <v>4.99</v>
      </c>
      <c r="N495">
        <v>9108</v>
      </c>
      <c r="O495">
        <v>9108</v>
      </c>
      <c r="P495" t="s">
        <v>1427</v>
      </c>
      <c r="Q495" t="s">
        <v>3040</v>
      </c>
      <c r="R495">
        <v>252</v>
      </c>
      <c r="S495">
        <v>2045570</v>
      </c>
      <c r="T495">
        <v>9108</v>
      </c>
      <c r="U495">
        <v>13000</v>
      </c>
      <c r="V495">
        <v>600</v>
      </c>
      <c r="W495">
        <v>1</v>
      </c>
    </row>
    <row r="496" spans="1:23" x14ac:dyDescent="0.25">
      <c r="A496" t="s">
        <v>1428</v>
      </c>
      <c r="B496" t="s">
        <v>1429</v>
      </c>
      <c r="C496">
        <v>0</v>
      </c>
      <c r="D496">
        <v>0</v>
      </c>
      <c r="E496">
        <v>0</v>
      </c>
      <c r="F496">
        <v>4480</v>
      </c>
      <c r="G496">
        <v>0</v>
      </c>
      <c r="H496">
        <v>5461</v>
      </c>
      <c r="I496">
        <v>981</v>
      </c>
      <c r="J496">
        <v>21.9</v>
      </c>
      <c r="K496">
        <v>4480</v>
      </c>
      <c r="L496">
        <v>0</v>
      </c>
      <c r="M496">
        <v>0</v>
      </c>
      <c r="N496">
        <v>0</v>
      </c>
      <c r="O496">
        <v>0</v>
      </c>
      <c r="P496" t="s">
        <v>954</v>
      </c>
      <c r="Q496" t="s">
        <v>2683</v>
      </c>
      <c r="R496">
        <v>0</v>
      </c>
      <c r="S496">
        <v>0</v>
      </c>
      <c r="T496">
        <v>0</v>
      </c>
      <c r="U496">
        <v>5489</v>
      </c>
      <c r="V496">
        <v>332</v>
      </c>
      <c r="W496">
        <v>1</v>
      </c>
    </row>
    <row r="497" spans="1:23" x14ac:dyDescent="0.25">
      <c r="A497" t="s">
        <v>1430</v>
      </c>
      <c r="B497" t="s">
        <v>1431</v>
      </c>
      <c r="C497">
        <v>208</v>
      </c>
      <c r="D497">
        <v>1254389</v>
      </c>
      <c r="E497">
        <v>4104445804</v>
      </c>
      <c r="F497">
        <v>3265</v>
      </c>
      <c r="G497">
        <v>3327</v>
      </c>
      <c r="H497">
        <v>3268</v>
      </c>
      <c r="I497">
        <v>3</v>
      </c>
      <c r="J497">
        <v>0.09</v>
      </c>
      <c r="K497">
        <v>3272</v>
      </c>
      <c r="L497">
        <v>7</v>
      </c>
      <c r="M497">
        <v>0.21</v>
      </c>
      <c r="N497">
        <v>3210</v>
      </c>
      <c r="O497">
        <v>3389</v>
      </c>
      <c r="P497" t="s">
        <v>1432</v>
      </c>
      <c r="Q497" t="s">
        <v>3041</v>
      </c>
      <c r="R497">
        <v>1</v>
      </c>
      <c r="S497">
        <v>7386</v>
      </c>
      <c r="T497">
        <v>3268</v>
      </c>
      <c r="U497">
        <v>3389</v>
      </c>
      <c r="V497">
        <v>1986</v>
      </c>
      <c r="W497">
        <v>1</v>
      </c>
    </row>
    <row r="498" spans="1:23" x14ac:dyDescent="0.25">
      <c r="A498" t="s">
        <v>1434</v>
      </c>
      <c r="B498" t="s">
        <v>1435</v>
      </c>
      <c r="C498">
        <v>0</v>
      </c>
      <c r="D498">
        <v>0</v>
      </c>
      <c r="E498">
        <v>0</v>
      </c>
      <c r="F498">
        <v>1020000</v>
      </c>
      <c r="G498">
        <v>0</v>
      </c>
      <c r="H498">
        <v>1020000</v>
      </c>
      <c r="I498">
        <v>0</v>
      </c>
      <c r="J498">
        <v>0</v>
      </c>
      <c r="K498">
        <v>1020000</v>
      </c>
      <c r="L498">
        <v>0</v>
      </c>
      <c r="M498">
        <v>0</v>
      </c>
      <c r="N498">
        <v>0</v>
      </c>
      <c r="O498">
        <v>0</v>
      </c>
      <c r="R498">
        <v>1</v>
      </c>
      <c r="S498">
        <v>1250</v>
      </c>
      <c r="T498">
        <v>1000000</v>
      </c>
      <c r="U498">
        <v>1020000</v>
      </c>
      <c r="V498">
        <v>1251</v>
      </c>
      <c r="W498">
        <v>2</v>
      </c>
    </row>
    <row r="499" spans="1:23" x14ac:dyDescent="0.25">
      <c r="A499" t="s">
        <v>1436</v>
      </c>
      <c r="B499" t="s">
        <v>1437</v>
      </c>
      <c r="C499">
        <v>1</v>
      </c>
      <c r="D499">
        <v>25</v>
      </c>
      <c r="E499">
        <v>20301100</v>
      </c>
      <c r="F499">
        <v>814428</v>
      </c>
      <c r="G499">
        <v>812044</v>
      </c>
      <c r="H499">
        <v>812044</v>
      </c>
      <c r="I499">
        <v>-2384</v>
      </c>
      <c r="J499">
        <v>-0.28999999999999998</v>
      </c>
      <c r="K499">
        <v>812044</v>
      </c>
      <c r="L499">
        <v>-2384</v>
      </c>
      <c r="M499">
        <v>-0.28999999999999998</v>
      </c>
      <c r="N499">
        <v>812044</v>
      </c>
      <c r="O499">
        <v>812044</v>
      </c>
      <c r="R499">
        <v>1</v>
      </c>
      <c r="S499">
        <v>3000</v>
      </c>
      <c r="T499">
        <v>812052</v>
      </c>
      <c r="U499">
        <v>814700</v>
      </c>
      <c r="V499">
        <v>10</v>
      </c>
      <c r="W499">
        <v>1</v>
      </c>
    </row>
    <row r="500" spans="1:23" x14ac:dyDescent="0.25">
      <c r="A500" t="s">
        <v>1438</v>
      </c>
      <c r="B500" t="s">
        <v>1439</v>
      </c>
      <c r="C500">
        <v>301</v>
      </c>
      <c r="D500">
        <v>6187732</v>
      </c>
      <c r="E500">
        <v>20591895244</v>
      </c>
      <c r="F500">
        <v>3233</v>
      </c>
      <c r="G500">
        <v>3375</v>
      </c>
      <c r="H500">
        <v>3337</v>
      </c>
      <c r="I500">
        <v>104</v>
      </c>
      <c r="J500">
        <v>3.22</v>
      </c>
      <c r="K500">
        <v>3328</v>
      </c>
      <c r="L500">
        <v>95</v>
      </c>
      <c r="M500">
        <v>2.94</v>
      </c>
      <c r="N500">
        <v>3270</v>
      </c>
      <c r="O500">
        <v>3388</v>
      </c>
      <c r="P500" t="s">
        <v>1440</v>
      </c>
      <c r="Q500" t="s">
        <v>3042</v>
      </c>
      <c r="R500">
        <v>1</v>
      </c>
      <c r="S500">
        <v>16500</v>
      </c>
      <c r="T500">
        <v>3336</v>
      </c>
      <c r="U500">
        <v>3341</v>
      </c>
      <c r="V500">
        <v>1127</v>
      </c>
      <c r="W500">
        <v>1</v>
      </c>
    </row>
    <row r="501" spans="1:23" x14ac:dyDescent="0.25">
      <c r="A501" t="s">
        <v>1441</v>
      </c>
      <c r="B501" t="s">
        <v>1442</v>
      </c>
      <c r="C501">
        <v>0</v>
      </c>
      <c r="D501">
        <v>0</v>
      </c>
      <c r="E501">
        <v>0</v>
      </c>
      <c r="F501">
        <v>200</v>
      </c>
      <c r="G501">
        <v>0</v>
      </c>
      <c r="H501">
        <v>200</v>
      </c>
      <c r="I501">
        <v>0</v>
      </c>
      <c r="J501">
        <v>0</v>
      </c>
      <c r="K501">
        <v>200</v>
      </c>
      <c r="L501">
        <v>0</v>
      </c>
      <c r="M501">
        <v>0</v>
      </c>
      <c r="N501">
        <v>0</v>
      </c>
      <c r="O501">
        <v>0</v>
      </c>
      <c r="R501">
        <v>1</v>
      </c>
      <c r="S501">
        <v>99</v>
      </c>
      <c r="T501">
        <v>200</v>
      </c>
      <c r="U501">
        <v>0</v>
      </c>
      <c r="V501">
        <v>0</v>
      </c>
      <c r="W501">
        <v>0</v>
      </c>
    </row>
    <row r="502" spans="1:23" x14ac:dyDescent="0.25">
      <c r="A502" t="s">
        <v>1443</v>
      </c>
      <c r="B502" t="s">
        <v>1444</v>
      </c>
      <c r="C502">
        <v>173</v>
      </c>
      <c r="D502">
        <v>1418570</v>
      </c>
      <c r="E502">
        <v>3678383924</v>
      </c>
      <c r="F502">
        <v>2624</v>
      </c>
      <c r="G502">
        <v>2620</v>
      </c>
      <c r="H502">
        <v>2562</v>
      </c>
      <c r="I502">
        <v>-62</v>
      </c>
      <c r="J502">
        <v>-2.36</v>
      </c>
      <c r="K502">
        <v>2601</v>
      </c>
      <c r="L502">
        <v>-23</v>
      </c>
      <c r="M502">
        <v>-0.88</v>
      </c>
      <c r="N502">
        <v>2551</v>
      </c>
      <c r="O502">
        <v>2640</v>
      </c>
      <c r="P502" t="s">
        <v>1445</v>
      </c>
      <c r="Q502" t="s">
        <v>3007</v>
      </c>
      <c r="R502">
        <v>2</v>
      </c>
      <c r="S502">
        <v>10389</v>
      </c>
      <c r="T502">
        <v>2561</v>
      </c>
      <c r="U502">
        <v>2562</v>
      </c>
      <c r="V502">
        <v>14300</v>
      </c>
      <c r="W502">
        <v>1</v>
      </c>
    </row>
    <row r="503" spans="1:23" x14ac:dyDescent="0.25">
      <c r="A503" t="s">
        <v>1446</v>
      </c>
      <c r="B503" t="s">
        <v>1447</v>
      </c>
      <c r="C503">
        <v>0</v>
      </c>
      <c r="D503">
        <v>0</v>
      </c>
      <c r="E503">
        <v>0</v>
      </c>
      <c r="F503">
        <v>1</v>
      </c>
      <c r="G503">
        <v>0</v>
      </c>
      <c r="H503">
        <v>1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0</v>
      </c>
      <c r="R503">
        <v>2</v>
      </c>
      <c r="S503">
        <v>150</v>
      </c>
      <c r="T503">
        <v>16</v>
      </c>
      <c r="U503">
        <v>0</v>
      </c>
      <c r="V503">
        <v>0</v>
      </c>
      <c r="W503">
        <v>0</v>
      </c>
    </row>
    <row r="504" spans="1:23" x14ac:dyDescent="0.25">
      <c r="A504" t="s">
        <v>1448</v>
      </c>
      <c r="B504" t="s">
        <v>1449</v>
      </c>
      <c r="C504">
        <v>0</v>
      </c>
      <c r="D504">
        <v>0</v>
      </c>
      <c r="E504">
        <v>0</v>
      </c>
      <c r="F504">
        <v>12746</v>
      </c>
      <c r="G504">
        <v>0</v>
      </c>
      <c r="H504">
        <v>12746</v>
      </c>
      <c r="I504">
        <v>0</v>
      </c>
      <c r="J504">
        <v>0</v>
      </c>
      <c r="K504">
        <v>12746</v>
      </c>
      <c r="L504">
        <v>0</v>
      </c>
      <c r="M504">
        <v>0</v>
      </c>
      <c r="N504">
        <v>0</v>
      </c>
      <c r="O504">
        <v>0</v>
      </c>
      <c r="P504" t="s">
        <v>1450</v>
      </c>
      <c r="Q504" t="s">
        <v>2760</v>
      </c>
      <c r="R504">
        <v>0</v>
      </c>
      <c r="S504">
        <v>0</v>
      </c>
      <c r="T504">
        <v>0</v>
      </c>
      <c r="U504">
        <v>13308</v>
      </c>
      <c r="V504">
        <v>45000</v>
      </c>
      <c r="W504">
        <v>3</v>
      </c>
    </row>
    <row r="505" spans="1:23" x14ac:dyDescent="0.25">
      <c r="A505" t="s">
        <v>1451</v>
      </c>
      <c r="B505" t="s">
        <v>1452</v>
      </c>
      <c r="C505">
        <v>971</v>
      </c>
      <c r="D505">
        <v>7535108</v>
      </c>
      <c r="E505">
        <v>62386777892</v>
      </c>
      <c r="F505">
        <v>7917</v>
      </c>
      <c r="G505">
        <v>8200</v>
      </c>
      <c r="H505">
        <v>8155</v>
      </c>
      <c r="I505">
        <v>238</v>
      </c>
      <c r="J505">
        <v>3.01</v>
      </c>
      <c r="K505">
        <v>8279</v>
      </c>
      <c r="L505">
        <v>362</v>
      </c>
      <c r="M505">
        <v>4.57</v>
      </c>
      <c r="N505">
        <v>8110</v>
      </c>
      <c r="O505">
        <v>8312</v>
      </c>
      <c r="P505" t="s">
        <v>1321</v>
      </c>
      <c r="Q505" t="s">
        <v>3043</v>
      </c>
      <c r="R505">
        <v>2</v>
      </c>
      <c r="S505">
        <v>1032</v>
      </c>
      <c r="T505">
        <v>8154</v>
      </c>
      <c r="U505">
        <v>8155</v>
      </c>
      <c r="V505">
        <v>1474</v>
      </c>
      <c r="W505">
        <v>1</v>
      </c>
    </row>
    <row r="506" spans="1:23" x14ac:dyDescent="0.25">
      <c r="A506" t="s">
        <v>1453</v>
      </c>
      <c r="B506" t="s">
        <v>1454</v>
      </c>
      <c r="C506">
        <v>1103</v>
      </c>
      <c r="D506">
        <v>18283885</v>
      </c>
      <c r="E506">
        <v>24531460255</v>
      </c>
      <c r="F506">
        <v>1329</v>
      </c>
      <c r="G506">
        <v>1343</v>
      </c>
      <c r="H506">
        <v>1333</v>
      </c>
      <c r="I506">
        <v>4</v>
      </c>
      <c r="J506">
        <v>0.3</v>
      </c>
      <c r="K506">
        <v>1342</v>
      </c>
      <c r="L506">
        <v>13</v>
      </c>
      <c r="M506">
        <v>0.98</v>
      </c>
      <c r="N506">
        <v>1310</v>
      </c>
      <c r="O506">
        <v>1356</v>
      </c>
      <c r="P506" t="s">
        <v>1455</v>
      </c>
      <c r="Q506" t="s">
        <v>3044</v>
      </c>
      <c r="R506">
        <v>2</v>
      </c>
      <c r="S506">
        <v>27465</v>
      </c>
      <c r="T506">
        <v>1332</v>
      </c>
      <c r="U506">
        <v>1333</v>
      </c>
      <c r="V506">
        <v>394454</v>
      </c>
      <c r="W506">
        <v>14</v>
      </c>
    </row>
    <row r="507" spans="1:23" x14ac:dyDescent="0.25">
      <c r="A507" t="s">
        <v>1456</v>
      </c>
      <c r="B507" t="s">
        <v>1457</v>
      </c>
      <c r="C507">
        <v>402</v>
      </c>
      <c r="D507">
        <v>992189</v>
      </c>
      <c r="E507">
        <v>16156167984</v>
      </c>
      <c r="F507">
        <v>15509</v>
      </c>
      <c r="G507">
        <v>16284</v>
      </c>
      <c r="H507">
        <v>16284</v>
      </c>
      <c r="I507">
        <v>775</v>
      </c>
      <c r="J507">
        <v>5</v>
      </c>
      <c r="K507">
        <v>16283</v>
      </c>
      <c r="L507">
        <v>774</v>
      </c>
      <c r="M507">
        <v>4.99</v>
      </c>
      <c r="N507">
        <v>16270</v>
      </c>
      <c r="O507">
        <v>16284</v>
      </c>
      <c r="P507" t="s">
        <v>1458</v>
      </c>
      <c r="Q507" t="s">
        <v>3045</v>
      </c>
      <c r="R507">
        <v>108</v>
      </c>
      <c r="S507">
        <v>313704</v>
      </c>
      <c r="T507">
        <v>16284</v>
      </c>
      <c r="U507">
        <v>16879</v>
      </c>
      <c r="V507">
        <v>10000</v>
      </c>
      <c r="W507">
        <v>1</v>
      </c>
    </row>
    <row r="508" spans="1:23" x14ac:dyDescent="0.25">
      <c r="A508" t="s">
        <v>1459</v>
      </c>
      <c r="B508" t="s">
        <v>1460</v>
      </c>
      <c r="C508">
        <v>0</v>
      </c>
      <c r="D508">
        <v>0</v>
      </c>
      <c r="E508">
        <v>0</v>
      </c>
      <c r="F508">
        <v>2850479</v>
      </c>
      <c r="G508">
        <v>0</v>
      </c>
      <c r="H508">
        <v>2850479</v>
      </c>
      <c r="I508">
        <v>0</v>
      </c>
      <c r="J508">
        <v>0</v>
      </c>
      <c r="K508">
        <v>2850479</v>
      </c>
      <c r="L508">
        <v>0</v>
      </c>
      <c r="M508">
        <v>0</v>
      </c>
      <c r="N508">
        <v>0</v>
      </c>
      <c r="O508">
        <v>0</v>
      </c>
      <c r="R508">
        <v>1</v>
      </c>
      <c r="S508">
        <v>20361</v>
      </c>
      <c r="T508">
        <v>2872760</v>
      </c>
      <c r="U508">
        <v>0</v>
      </c>
      <c r="V508">
        <v>0</v>
      </c>
      <c r="W508">
        <v>0</v>
      </c>
    </row>
    <row r="509" spans="1:23" x14ac:dyDescent="0.25">
      <c r="A509" t="s">
        <v>1461</v>
      </c>
      <c r="B509" t="s">
        <v>1462</v>
      </c>
      <c r="C509">
        <v>505</v>
      </c>
      <c r="D509">
        <v>1254230</v>
      </c>
      <c r="E509">
        <v>22389540438</v>
      </c>
      <c r="F509">
        <v>17227</v>
      </c>
      <c r="G509">
        <v>17990</v>
      </c>
      <c r="H509">
        <v>17350</v>
      </c>
      <c r="I509">
        <v>123</v>
      </c>
      <c r="J509">
        <v>0.71</v>
      </c>
      <c r="K509">
        <v>17851</v>
      </c>
      <c r="L509">
        <v>624</v>
      </c>
      <c r="M509">
        <v>3.62</v>
      </c>
      <c r="N509">
        <v>17303</v>
      </c>
      <c r="O509">
        <v>18088</v>
      </c>
      <c r="R509">
        <v>1</v>
      </c>
      <c r="S509">
        <v>173</v>
      </c>
      <c r="T509">
        <v>17350</v>
      </c>
      <c r="U509">
        <v>17354</v>
      </c>
      <c r="V509">
        <v>2302</v>
      </c>
      <c r="W509">
        <v>2</v>
      </c>
    </row>
    <row r="510" spans="1:23" x14ac:dyDescent="0.25">
      <c r="A510" t="s">
        <v>1463</v>
      </c>
      <c r="B510" t="s">
        <v>1464</v>
      </c>
      <c r="C510">
        <v>0</v>
      </c>
      <c r="D510">
        <v>0</v>
      </c>
      <c r="E510">
        <v>0</v>
      </c>
      <c r="F510">
        <v>42</v>
      </c>
      <c r="G510">
        <v>0</v>
      </c>
      <c r="H510">
        <v>42</v>
      </c>
      <c r="I510">
        <v>0</v>
      </c>
      <c r="J510">
        <v>0</v>
      </c>
      <c r="K510">
        <v>42</v>
      </c>
      <c r="L510">
        <v>0</v>
      </c>
      <c r="M510">
        <v>0</v>
      </c>
      <c r="N510">
        <v>0</v>
      </c>
      <c r="O510">
        <v>0</v>
      </c>
      <c r="R510">
        <v>3</v>
      </c>
      <c r="S510">
        <v>253</v>
      </c>
      <c r="T510">
        <v>40</v>
      </c>
      <c r="U510">
        <v>75</v>
      </c>
      <c r="V510">
        <v>15</v>
      </c>
      <c r="W510">
        <v>1</v>
      </c>
    </row>
    <row r="511" spans="1:23" x14ac:dyDescent="0.25">
      <c r="A511" t="s">
        <v>1465</v>
      </c>
      <c r="B511" t="s">
        <v>1466</v>
      </c>
      <c r="C511">
        <v>0</v>
      </c>
      <c r="D511">
        <v>0</v>
      </c>
      <c r="E511">
        <v>0</v>
      </c>
      <c r="F511">
        <v>1000000</v>
      </c>
      <c r="G511">
        <v>0</v>
      </c>
      <c r="H511">
        <v>1000000</v>
      </c>
      <c r="I511">
        <v>0</v>
      </c>
      <c r="J511">
        <v>0</v>
      </c>
      <c r="K511">
        <v>1000000</v>
      </c>
      <c r="L511">
        <v>0</v>
      </c>
      <c r="M511">
        <v>0</v>
      </c>
      <c r="N511">
        <v>0</v>
      </c>
      <c r="O511">
        <v>0</v>
      </c>
      <c r="R511">
        <v>1</v>
      </c>
      <c r="S511">
        <v>1250</v>
      </c>
      <c r="T511">
        <v>1000000</v>
      </c>
      <c r="U511">
        <v>1020000</v>
      </c>
      <c r="V511">
        <v>1250</v>
      </c>
      <c r="W511">
        <v>1</v>
      </c>
    </row>
    <row r="512" spans="1:23" x14ac:dyDescent="0.25">
      <c r="A512" t="s">
        <v>1467</v>
      </c>
      <c r="B512" t="s">
        <v>1468</v>
      </c>
      <c r="C512">
        <v>19</v>
      </c>
      <c r="D512">
        <v>168</v>
      </c>
      <c r="E512">
        <v>67129253</v>
      </c>
      <c r="F512">
        <v>410644</v>
      </c>
      <c r="G512">
        <v>400000</v>
      </c>
      <c r="H512">
        <v>397011</v>
      </c>
      <c r="I512">
        <v>-13633</v>
      </c>
      <c r="J512">
        <v>-3.32</v>
      </c>
      <c r="K512">
        <v>399579</v>
      </c>
      <c r="L512">
        <v>-11065</v>
      </c>
      <c r="M512">
        <v>-2.69</v>
      </c>
      <c r="N512">
        <v>397000</v>
      </c>
      <c r="O512">
        <v>400000</v>
      </c>
      <c r="R512">
        <v>1</v>
      </c>
      <c r="S512">
        <v>30</v>
      </c>
      <c r="T512">
        <v>397000</v>
      </c>
      <c r="U512">
        <v>397011</v>
      </c>
      <c r="V512">
        <v>1</v>
      </c>
      <c r="W512">
        <v>1</v>
      </c>
    </row>
    <row r="513" spans="1:23" x14ac:dyDescent="0.25">
      <c r="A513" t="s">
        <v>1469</v>
      </c>
      <c r="B513" t="s">
        <v>1470</v>
      </c>
      <c r="C513">
        <v>54</v>
      </c>
      <c r="D513">
        <v>525</v>
      </c>
      <c r="E513">
        <v>210670316</v>
      </c>
      <c r="F513">
        <v>406400</v>
      </c>
      <c r="G513">
        <v>387011</v>
      </c>
      <c r="H513">
        <v>408000</v>
      </c>
      <c r="I513">
        <v>1600</v>
      </c>
      <c r="J513">
        <v>0.39</v>
      </c>
      <c r="K513">
        <v>401277</v>
      </c>
      <c r="L513">
        <v>-5123</v>
      </c>
      <c r="M513">
        <v>-1.26</v>
      </c>
      <c r="N513">
        <v>387011</v>
      </c>
      <c r="O513">
        <v>410000</v>
      </c>
      <c r="R513">
        <v>1</v>
      </c>
      <c r="S513">
        <v>33</v>
      </c>
      <c r="T513">
        <v>408000</v>
      </c>
      <c r="U513">
        <v>409938</v>
      </c>
      <c r="V513">
        <v>3</v>
      </c>
      <c r="W513">
        <v>1</v>
      </c>
    </row>
    <row r="514" spans="1:23" x14ac:dyDescent="0.25">
      <c r="A514" t="s">
        <v>1471</v>
      </c>
      <c r="B514" t="s">
        <v>1472</v>
      </c>
      <c r="C514">
        <v>172</v>
      </c>
      <c r="D514">
        <v>457318</v>
      </c>
      <c r="E514">
        <v>3570203301</v>
      </c>
      <c r="F514">
        <v>7718</v>
      </c>
      <c r="G514">
        <v>7790</v>
      </c>
      <c r="H514">
        <v>7756</v>
      </c>
      <c r="I514">
        <v>38</v>
      </c>
      <c r="J514">
        <v>0.49</v>
      </c>
      <c r="K514">
        <v>7807</v>
      </c>
      <c r="L514">
        <v>89</v>
      </c>
      <c r="M514">
        <v>1.1499999999999999</v>
      </c>
      <c r="N514">
        <v>7718</v>
      </c>
      <c r="O514">
        <v>7979</v>
      </c>
      <c r="P514" t="s">
        <v>1473</v>
      </c>
      <c r="Q514" t="s">
        <v>3046</v>
      </c>
      <c r="R514">
        <v>1</v>
      </c>
      <c r="S514">
        <v>217</v>
      </c>
      <c r="T514">
        <v>7756</v>
      </c>
      <c r="U514">
        <v>7825</v>
      </c>
      <c r="V514">
        <v>8946</v>
      </c>
      <c r="W514">
        <v>3</v>
      </c>
    </row>
    <row r="515" spans="1:23" x14ac:dyDescent="0.25">
      <c r="A515" t="s">
        <v>1474</v>
      </c>
      <c r="B515" t="s">
        <v>1475</v>
      </c>
      <c r="C515">
        <v>51</v>
      </c>
      <c r="D515">
        <v>348</v>
      </c>
      <c r="E515">
        <v>141237333</v>
      </c>
      <c r="F515">
        <v>411788</v>
      </c>
      <c r="G515">
        <v>391522</v>
      </c>
      <c r="H515">
        <v>405002</v>
      </c>
      <c r="I515">
        <v>-6786</v>
      </c>
      <c r="J515">
        <v>-1.65</v>
      </c>
      <c r="K515">
        <v>405854</v>
      </c>
      <c r="L515">
        <v>-5934</v>
      </c>
      <c r="M515">
        <v>-1.44</v>
      </c>
      <c r="N515">
        <v>391522</v>
      </c>
      <c r="O515">
        <v>428700</v>
      </c>
      <c r="R515">
        <v>1</v>
      </c>
      <c r="S515">
        <v>45</v>
      </c>
      <c r="T515">
        <v>405002</v>
      </c>
      <c r="U515">
        <v>413999</v>
      </c>
      <c r="V515">
        <v>23</v>
      </c>
      <c r="W515">
        <v>2</v>
      </c>
    </row>
    <row r="516" spans="1:23" x14ac:dyDescent="0.25">
      <c r="A516" t="s">
        <v>1476</v>
      </c>
      <c r="B516" t="s">
        <v>1477</v>
      </c>
      <c r="C516">
        <v>1532</v>
      </c>
      <c r="D516">
        <v>16516418</v>
      </c>
      <c r="E516">
        <v>46766600867</v>
      </c>
      <c r="F516">
        <v>2913</v>
      </c>
      <c r="G516">
        <v>2810</v>
      </c>
      <c r="H516">
        <v>2840</v>
      </c>
      <c r="I516">
        <v>-73</v>
      </c>
      <c r="J516">
        <v>-2.5099999999999998</v>
      </c>
      <c r="K516">
        <v>2832</v>
      </c>
      <c r="L516">
        <v>-81</v>
      </c>
      <c r="M516">
        <v>-2.78</v>
      </c>
      <c r="N516">
        <v>2733</v>
      </c>
      <c r="O516">
        <v>2860</v>
      </c>
      <c r="P516" t="s">
        <v>667</v>
      </c>
      <c r="Q516" t="s">
        <v>3047</v>
      </c>
      <c r="R516">
        <v>2</v>
      </c>
      <c r="S516">
        <v>8481</v>
      </c>
      <c r="T516">
        <v>2839</v>
      </c>
      <c r="U516">
        <v>2840</v>
      </c>
      <c r="V516">
        <v>24573</v>
      </c>
      <c r="W516">
        <v>3</v>
      </c>
    </row>
    <row r="517" spans="1:23" x14ac:dyDescent="0.25">
      <c r="A517" t="s">
        <v>1478</v>
      </c>
      <c r="B517" t="s">
        <v>1479</v>
      </c>
      <c r="C517">
        <v>177</v>
      </c>
      <c r="D517">
        <v>417477</v>
      </c>
      <c r="E517">
        <v>7887355051</v>
      </c>
      <c r="F517">
        <v>18721</v>
      </c>
      <c r="G517">
        <v>19994</v>
      </c>
      <c r="H517">
        <v>19480</v>
      </c>
      <c r="I517">
        <v>759</v>
      </c>
      <c r="J517">
        <v>4.05</v>
      </c>
      <c r="K517">
        <v>18893</v>
      </c>
      <c r="L517">
        <v>172</v>
      </c>
      <c r="M517">
        <v>0.92</v>
      </c>
      <c r="N517">
        <v>18541</v>
      </c>
      <c r="O517">
        <v>19994</v>
      </c>
      <c r="R517">
        <v>1</v>
      </c>
      <c r="S517">
        <v>701</v>
      </c>
      <c r="T517">
        <v>19260</v>
      </c>
      <c r="U517">
        <v>19850</v>
      </c>
      <c r="V517">
        <v>11000</v>
      </c>
      <c r="W517">
        <v>1</v>
      </c>
    </row>
    <row r="518" spans="1:23" x14ac:dyDescent="0.25">
      <c r="A518" t="s">
        <v>1480</v>
      </c>
      <c r="B518" t="s">
        <v>1481</v>
      </c>
      <c r="C518">
        <v>184</v>
      </c>
      <c r="D518">
        <v>1109491</v>
      </c>
      <c r="E518">
        <v>10357820622</v>
      </c>
      <c r="F518">
        <v>9193</v>
      </c>
      <c r="G518">
        <v>9290</v>
      </c>
      <c r="H518">
        <v>9365</v>
      </c>
      <c r="I518">
        <v>172</v>
      </c>
      <c r="J518">
        <v>1.87</v>
      </c>
      <c r="K518">
        <v>9330</v>
      </c>
      <c r="L518">
        <v>137</v>
      </c>
      <c r="M518">
        <v>1.49</v>
      </c>
      <c r="N518">
        <v>8940</v>
      </c>
      <c r="O518">
        <v>9480</v>
      </c>
      <c r="P518" t="s">
        <v>1482</v>
      </c>
      <c r="Q518" t="s">
        <v>3048</v>
      </c>
      <c r="R518">
        <v>1</v>
      </c>
      <c r="S518">
        <v>310</v>
      </c>
      <c r="T518">
        <v>9374</v>
      </c>
      <c r="U518">
        <v>9477</v>
      </c>
      <c r="V518">
        <v>1970</v>
      </c>
      <c r="W518">
        <v>2</v>
      </c>
    </row>
    <row r="519" spans="1:23" x14ac:dyDescent="0.25">
      <c r="A519" t="s">
        <v>3049</v>
      </c>
      <c r="B519" t="s">
        <v>1468</v>
      </c>
      <c r="C519">
        <v>1</v>
      </c>
      <c r="D519">
        <v>28</v>
      </c>
      <c r="E519">
        <v>280</v>
      </c>
      <c r="F519">
        <v>410644</v>
      </c>
      <c r="G519">
        <v>10</v>
      </c>
      <c r="H519">
        <v>10</v>
      </c>
      <c r="I519">
        <v>-410634</v>
      </c>
      <c r="J519">
        <v>-100</v>
      </c>
      <c r="K519">
        <v>10</v>
      </c>
      <c r="L519">
        <v>-410634</v>
      </c>
      <c r="M519">
        <v>-100</v>
      </c>
      <c r="N519">
        <v>10</v>
      </c>
      <c r="O519">
        <v>10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</row>
    <row r="520" spans="1:23" x14ac:dyDescent="0.25">
      <c r="A520" t="s">
        <v>1483</v>
      </c>
      <c r="B520" t="s">
        <v>1484</v>
      </c>
      <c r="C520">
        <v>889</v>
      </c>
      <c r="D520">
        <v>6404605</v>
      </c>
      <c r="E520">
        <v>31315272082</v>
      </c>
      <c r="F520">
        <v>4790</v>
      </c>
      <c r="G520">
        <v>4780</v>
      </c>
      <c r="H520">
        <v>4840</v>
      </c>
      <c r="I520">
        <v>50</v>
      </c>
      <c r="J520">
        <v>1.04</v>
      </c>
      <c r="K520">
        <v>4889</v>
      </c>
      <c r="L520">
        <v>99</v>
      </c>
      <c r="M520">
        <v>2.0699999999999998</v>
      </c>
      <c r="N520">
        <v>4775</v>
      </c>
      <c r="O520">
        <v>4990</v>
      </c>
      <c r="P520" t="s">
        <v>505</v>
      </c>
      <c r="Q520" t="s">
        <v>3050</v>
      </c>
      <c r="R520">
        <v>1</v>
      </c>
      <c r="S520">
        <v>1000</v>
      </c>
      <c r="T520">
        <v>4831</v>
      </c>
      <c r="U520">
        <v>4849</v>
      </c>
      <c r="V520">
        <v>6684</v>
      </c>
      <c r="W520">
        <v>4</v>
      </c>
    </row>
    <row r="521" spans="1:23" x14ac:dyDescent="0.25">
      <c r="A521" t="s">
        <v>1485</v>
      </c>
      <c r="B521" t="s">
        <v>1486</v>
      </c>
      <c r="C521">
        <v>88</v>
      </c>
      <c r="D521">
        <v>118688</v>
      </c>
      <c r="E521">
        <v>5025788683</v>
      </c>
      <c r="F521">
        <v>42688</v>
      </c>
      <c r="G521">
        <v>41900</v>
      </c>
      <c r="H521">
        <v>42208</v>
      </c>
      <c r="I521">
        <v>-480</v>
      </c>
      <c r="J521">
        <v>-1.1200000000000001</v>
      </c>
      <c r="K521">
        <v>42345</v>
      </c>
      <c r="L521">
        <v>-343</v>
      </c>
      <c r="M521">
        <v>-0.8</v>
      </c>
      <c r="N521">
        <v>41900</v>
      </c>
      <c r="O521">
        <v>43200</v>
      </c>
      <c r="P521" t="s">
        <v>1487</v>
      </c>
      <c r="Q521" t="s">
        <v>3051</v>
      </c>
      <c r="R521">
        <v>2</v>
      </c>
      <c r="S521">
        <v>600</v>
      </c>
      <c r="T521">
        <v>42208</v>
      </c>
      <c r="U521">
        <v>42209</v>
      </c>
      <c r="V521">
        <v>660</v>
      </c>
      <c r="W521">
        <v>1</v>
      </c>
    </row>
    <row r="522" spans="1:23" x14ac:dyDescent="0.25">
      <c r="A522" t="s">
        <v>1488</v>
      </c>
      <c r="B522" t="s">
        <v>663</v>
      </c>
      <c r="C522">
        <v>266</v>
      </c>
      <c r="D522">
        <v>1261821</v>
      </c>
      <c r="E522">
        <v>12315402485</v>
      </c>
      <c r="F522">
        <v>9613</v>
      </c>
      <c r="G522">
        <v>9874</v>
      </c>
      <c r="H522">
        <v>9678</v>
      </c>
      <c r="I522">
        <v>65</v>
      </c>
      <c r="J522">
        <v>0.68</v>
      </c>
      <c r="K522">
        <v>9760</v>
      </c>
      <c r="L522">
        <v>147</v>
      </c>
      <c r="M522">
        <v>1.53</v>
      </c>
      <c r="N522">
        <v>9662</v>
      </c>
      <c r="O522">
        <v>9874</v>
      </c>
      <c r="P522" t="s">
        <v>664</v>
      </c>
      <c r="Q522" t="s">
        <v>3052</v>
      </c>
      <c r="R522">
        <v>1</v>
      </c>
      <c r="S522">
        <v>1012</v>
      </c>
      <c r="T522">
        <v>9671</v>
      </c>
      <c r="U522">
        <v>9686</v>
      </c>
      <c r="V522">
        <v>7491</v>
      </c>
      <c r="W522">
        <v>1</v>
      </c>
    </row>
    <row r="523" spans="1:23" x14ac:dyDescent="0.25">
      <c r="A523" t="s">
        <v>1489</v>
      </c>
      <c r="B523" t="s">
        <v>1490</v>
      </c>
      <c r="C523">
        <v>524</v>
      </c>
      <c r="D523">
        <v>2215878</v>
      </c>
      <c r="E523">
        <v>15732576679</v>
      </c>
      <c r="F523">
        <v>7083</v>
      </c>
      <c r="G523">
        <v>7245</v>
      </c>
      <c r="H523">
        <v>7240</v>
      </c>
      <c r="I523">
        <v>157</v>
      </c>
      <c r="J523">
        <v>2.2200000000000002</v>
      </c>
      <c r="K523">
        <v>7100</v>
      </c>
      <c r="L523">
        <v>17</v>
      </c>
      <c r="M523">
        <v>0.24</v>
      </c>
      <c r="N523">
        <v>6900</v>
      </c>
      <c r="O523">
        <v>7245</v>
      </c>
      <c r="P523" t="s">
        <v>1491</v>
      </c>
      <c r="Q523" t="s">
        <v>3053</v>
      </c>
      <c r="R523">
        <v>1</v>
      </c>
      <c r="S523">
        <v>262</v>
      </c>
      <c r="T523">
        <v>7235</v>
      </c>
      <c r="U523">
        <v>7240</v>
      </c>
      <c r="V523">
        <v>7110</v>
      </c>
      <c r="W523">
        <v>1</v>
      </c>
    </row>
    <row r="524" spans="1:23" x14ac:dyDescent="0.25">
      <c r="A524" t="s">
        <v>2685</v>
      </c>
      <c r="B524" t="s">
        <v>2686</v>
      </c>
      <c r="C524">
        <v>540</v>
      </c>
      <c r="D524">
        <v>9726257</v>
      </c>
      <c r="E524">
        <v>12469006955</v>
      </c>
      <c r="F524">
        <v>1166</v>
      </c>
      <c r="G524">
        <v>1282</v>
      </c>
      <c r="H524">
        <v>1282</v>
      </c>
      <c r="I524">
        <v>116</v>
      </c>
      <c r="J524">
        <v>9.9499999999999993</v>
      </c>
      <c r="K524">
        <v>1282</v>
      </c>
      <c r="L524">
        <v>116</v>
      </c>
      <c r="M524">
        <v>9.9499999999999993</v>
      </c>
      <c r="N524">
        <v>1281</v>
      </c>
      <c r="O524">
        <v>1282</v>
      </c>
      <c r="R524">
        <v>92</v>
      </c>
      <c r="S524">
        <v>2294176</v>
      </c>
      <c r="T524">
        <v>1282</v>
      </c>
      <c r="U524">
        <v>0</v>
      </c>
      <c r="V524">
        <v>0</v>
      </c>
      <c r="W524">
        <v>0</v>
      </c>
    </row>
    <row r="525" spans="1:23" x14ac:dyDescent="0.25">
      <c r="A525" t="s">
        <v>1492</v>
      </c>
      <c r="B525" t="s">
        <v>1493</v>
      </c>
      <c r="C525">
        <v>287</v>
      </c>
      <c r="D525">
        <v>1649492</v>
      </c>
      <c r="E525">
        <v>10280357064</v>
      </c>
      <c r="F525">
        <v>6112</v>
      </c>
      <c r="G525">
        <v>6003</v>
      </c>
      <c r="H525">
        <v>6417</v>
      </c>
      <c r="I525">
        <v>305</v>
      </c>
      <c r="J525">
        <v>4.99</v>
      </c>
      <c r="K525">
        <v>6232</v>
      </c>
      <c r="L525">
        <v>120</v>
      </c>
      <c r="M525">
        <v>1.96</v>
      </c>
      <c r="N525">
        <v>6003</v>
      </c>
      <c r="O525">
        <v>6417</v>
      </c>
      <c r="P525" t="s">
        <v>1494</v>
      </c>
      <c r="Q525" t="s">
        <v>3054</v>
      </c>
      <c r="R525">
        <v>2</v>
      </c>
      <c r="S525">
        <v>4660</v>
      </c>
      <c r="T525">
        <v>6394</v>
      </c>
      <c r="U525">
        <v>6414</v>
      </c>
      <c r="V525">
        <v>10150</v>
      </c>
      <c r="W525">
        <v>2</v>
      </c>
    </row>
    <row r="526" spans="1:23" x14ac:dyDescent="0.25">
      <c r="A526" t="s">
        <v>1495</v>
      </c>
      <c r="B526" t="s">
        <v>1496</v>
      </c>
      <c r="C526">
        <v>9</v>
      </c>
      <c r="D526">
        <v>31089</v>
      </c>
      <c r="E526">
        <v>314681801</v>
      </c>
      <c r="F526">
        <v>10122</v>
      </c>
      <c r="G526">
        <v>10123</v>
      </c>
      <c r="H526">
        <v>10123</v>
      </c>
      <c r="I526">
        <v>1</v>
      </c>
      <c r="J526">
        <v>0.01</v>
      </c>
      <c r="K526">
        <v>10122</v>
      </c>
      <c r="L526">
        <v>0</v>
      </c>
      <c r="M526">
        <v>0</v>
      </c>
      <c r="N526">
        <v>10121</v>
      </c>
      <c r="O526">
        <v>10125</v>
      </c>
      <c r="R526">
        <v>1</v>
      </c>
      <c r="S526">
        <v>4900</v>
      </c>
      <c r="T526">
        <v>10123</v>
      </c>
      <c r="U526">
        <v>10126</v>
      </c>
      <c r="V526">
        <v>8100</v>
      </c>
      <c r="W526">
        <v>1</v>
      </c>
    </row>
    <row r="527" spans="1:23" x14ac:dyDescent="0.25">
      <c r="A527" t="s">
        <v>1497</v>
      </c>
      <c r="B527" t="s">
        <v>1498</v>
      </c>
      <c r="C527">
        <v>712</v>
      </c>
      <c r="D527">
        <v>1229043</v>
      </c>
      <c r="E527">
        <v>22277069934</v>
      </c>
      <c r="F527">
        <v>19136</v>
      </c>
      <c r="G527">
        <v>17880</v>
      </c>
      <c r="H527">
        <v>18090</v>
      </c>
      <c r="I527">
        <v>-1046</v>
      </c>
      <c r="J527">
        <v>-5.47</v>
      </c>
      <c r="K527">
        <v>18126</v>
      </c>
      <c r="L527">
        <v>-1010</v>
      </c>
      <c r="M527">
        <v>-5.28</v>
      </c>
      <c r="N527">
        <v>17400</v>
      </c>
      <c r="O527">
        <v>18989</v>
      </c>
      <c r="P527" t="s">
        <v>1499</v>
      </c>
      <c r="Q527" t="s">
        <v>3055</v>
      </c>
      <c r="R527">
        <v>1</v>
      </c>
      <c r="S527">
        <v>73</v>
      </c>
      <c r="T527">
        <v>18005</v>
      </c>
      <c r="U527">
        <v>18085</v>
      </c>
      <c r="V527">
        <v>250</v>
      </c>
      <c r="W527">
        <v>1</v>
      </c>
    </row>
    <row r="528" spans="1:23" x14ac:dyDescent="0.25">
      <c r="A528" t="s">
        <v>1500</v>
      </c>
      <c r="B528" t="s">
        <v>1501</v>
      </c>
      <c r="C528">
        <v>23</v>
      </c>
      <c r="D528">
        <v>201</v>
      </c>
      <c r="E528">
        <v>79753096</v>
      </c>
      <c r="F528">
        <v>407882</v>
      </c>
      <c r="G528">
        <v>388122</v>
      </c>
      <c r="H528">
        <v>400000</v>
      </c>
      <c r="I528">
        <v>-7882</v>
      </c>
      <c r="J528">
        <v>-1.93</v>
      </c>
      <c r="K528">
        <v>396782</v>
      </c>
      <c r="L528">
        <v>-11100</v>
      </c>
      <c r="M528">
        <v>-2.72</v>
      </c>
      <c r="N528">
        <v>388122</v>
      </c>
      <c r="O528">
        <v>400000</v>
      </c>
      <c r="R528">
        <v>1</v>
      </c>
      <c r="S528">
        <v>39</v>
      </c>
      <c r="T528">
        <v>400000</v>
      </c>
      <c r="U528">
        <v>404999</v>
      </c>
      <c r="V528">
        <v>2</v>
      </c>
      <c r="W528">
        <v>1</v>
      </c>
    </row>
    <row r="529" spans="1:23" x14ac:dyDescent="0.25">
      <c r="A529" t="s">
        <v>1502</v>
      </c>
      <c r="B529" t="s">
        <v>1503</v>
      </c>
      <c r="C529">
        <v>0</v>
      </c>
      <c r="D529">
        <v>0</v>
      </c>
      <c r="E529">
        <v>0</v>
      </c>
      <c r="F529">
        <v>738</v>
      </c>
      <c r="G529">
        <v>0</v>
      </c>
      <c r="H529">
        <v>740</v>
      </c>
      <c r="I529">
        <v>2</v>
      </c>
      <c r="J529">
        <v>0.27</v>
      </c>
      <c r="K529">
        <v>738</v>
      </c>
      <c r="L529">
        <v>0</v>
      </c>
      <c r="M529">
        <v>0</v>
      </c>
      <c r="N529">
        <v>0</v>
      </c>
      <c r="O529">
        <v>0</v>
      </c>
      <c r="R529">
        <v>1</v>
      </c>
      <c r="S529">
        <v>2</v>
      </c>
      <c r="T529">
        <v>190</v>
      </c>
      <c r="U529">
        <v>1200</v>
      </c>
      <c r="V529">
        <v>22</v>
      </c>
      <c r="W529">
        <v>2</v>
      </c>
    </row>
    <row r="530" spans="1:23" x14ac:dyDescent="0.25">
      <c r="A530" t="s">
        <v>1504</v>
      </c>
      <c r="B530" t="s">
        <v>1505</v>
      </c>
      <c r="C530">
        <v>0</v>
      </c>
      <c r="D530">
        <v>0</v>
      </c>
      <c r="E530">
        <v>0</v>
      </c>
      <c r="F530">
        <v>900000</v>
      </c>
      <c r="G530">
        <v>0</v>
      </c>
      <c r="H530">
        <v>900000</v>
      </c>
      <c r="I530">
        <v>0</v>
      </c>
      <c r="J530">
        <v>0</v>
      </c>
      <c r="K530">
        <v>900000</v>
      </c>
      <c r="L530">
        <v>0</v>
      </c>
      <c r="M530">
        <v>0</v>
      </c>
      <c r="N530">
        <v>0</v>
      </c>
      <c r="O530">
        <v>0</v>
      </c>
      <c r="R530">
        <v>2</v>
      </c>
      <c r="S530">
        <v>3005</v>
      </c>
      <c r="T530">
        <v>890000</v>
      </c>
      <c r="U530">
        <v>0</v>
      </c>
      <c r="V530">
        <v>0</v>
      </c>
      <c r="W530">
        <v>0</v>
      </c>
    </row>
    <row r="531" spans="1:23" x14ac:dyDescent="0.25">
      <c r="A531" t="s">
        <v>1506</v>
      </c>
      <c r="B531" t="s">
        <v>1507</v>
      </c>
      <c r="C531">
        <v>0</v>
      </c>
      <c r="D531">
        <v>0</v>
      </c>
      <c r="E531">
        <v>0</v>
      </c>
      <c r="F531">
        <v>184</v>
      </c>
      <c r="G531">
        <v>0</v>
      </c>
      <c r="H531">
        <v>184</v>
      </c>
      <c r="I531">
        <v>0</v>
      </c>
      <c r="J531">
        <v>0</v>
      </c>
      <c r="K531">
        <v>184</v>
      </c>
      <c r="L531">
        <v>0</v>
      </c>
      <c r="M531">
        <v>0</v>
      </c>
      <c r="N531">
        <v>0</v>
      </c>
      <c r="O531">
        <v>0</v>
      </c>
      <c r="R531">
        <v>1</v>
      </c>
      <c r="S531">
        <v>10</v>
      </c>
      <c r="T531">
        <v>200</v>
      </c>
      <c r="U531">
        <v>0</v>
      </c>
      <c r="V531">
        <v>0</v>
      </c>
      <c r="W531">
        <v>0</v>
      </c>
    </row>
    <row r="532" spans="1:23" x14ac:dyDescent="0.25">
      <c r="A532" t="s">
        <v>1508</v>
      </c>
      <c r="B532" t="s">
        <v>1509</v>
      </c>
      <c r="C532">
        <v>312</v>
      </c>
      <c r="D532">
        <v>3331264</v>
      </c>
      <c r="E532">
        <v>10639791691</v>
      </c>
      <c r="F532">
        <v>3055</v>
      </c>
      <c r="G532">
        <v>3110</v>
      </c>
      <c r="H532">
        <v>3193</v>
      </c>
      <c r="I532">
        <v>138</v>
      </c>
      <c r="J532">
        <v>4.5199999999999996</v>
      </c>
      <c r="K532">
        <v>3194</v>
      </c>
      <c r="L532">
        <v>139</v>
      </c>
      <c r="M532">
        <v>4.55</v>
      </c>
      <c r="N532">
        <v>3110</v>
      </c>
      <c r="O532">
        <v>3207</v>
      </c>
      <c r="P532" t="s">
        <v>1510</v>
      </c>
      <c r="Q532" t="s">
        <v>3056</v>
      </c>
      <c r="R532">
        <v>3</v>
      </c>
      <c r="S532">
        <v>119165</v>
      </c>
      <c r="T532">
        <v>3151</v>
      </c>
      <c r="U532">
        <v>3196</v>
      </c>
      <c r="V532">
        <v>31500</v>
      </c>
      <c r="W532">
        <v>1</v>
      </c>
    </row>
    <row r="533" spans="1:23" x14ac:dyDescent="0.25">
      <c r="A533" t="s">
        <v>1511</v>
      </c>
      <c r="B533" t="s">
        <v>1512</v>
      </c>
      <c r="C533">
        <v>3</v>
      </c>
      <c r="D533">
        <v>137</v>
      </c>
      <c r="E533">
        <v>138361051</v>
      </c>
      <c r="F533">
        <v>1010533</v>
      </c>
      <c r="G533">
        <v>1010000</v>
      </c>
      <c r="H533">
        <v>1001051</v>
      </c>
      <c r="I533">
        <v>-9482</v>
      </c>
      <c r="J533">
        <v>-0.94</v>
      </c>
      <c r="K533">
        <v>1009935</v>
      </c>
      <c r="L533">
        <v>-598</v>
      </c>
      <c r="M533">
        <v>-0.06</v>
      </c>
      <c r="N533">
        <v>1001051</v>
      </c>
      <c r="O533">
        <v>1010000</v>
      </c>
      <c r="R533">
        <v>1</v>
      </c>
      <c r="S533">
        <v>1500</v>
      </c>
      <c r="T533">
        <v>1004107</v>
      </c>
      <c r="U533">
        <v>1012000</v>
      </c>
      <c r="V533">
        <v>15</v>
      </c>
      <c r="W533">
        <v>1</v>
      </c>
    </row>
    <row r="534" spans="1:23" x14ac:dyDescent="0.25">
      <c r="A534" t="s">
        <v>1513</v>
      </c>
      <c r="B534" t="s">
        <v>1514</v>
      </c>
      <c r="C534">
        <v>124</v>
      </c>
      <c r="D534">
        <v>377917</v>
      </c>
      <c r="E534">
        <v>16284202266</v>
      </c>
      <c r="F534">
        <v>42356</v>
      </c>
      <c r="G534">
        <v>43500</v>
      </c>
      <c r="H534">
        <v>42987</v>
      </c>
      <c r="I534">
        <v>631</v>
      </c>
      <c r="J534">
        <v>1.49</v>
      </c>
      <c r="K534">
        <v>43089</v>
      </c>
      <c r="L534">
        <v>733</v>
      </c>
      <c r="M534">
        <v>1.73</v>
      </c>
      <c r="N534">
        <v>42510</v>
      </c>
      <c r="O534">
        <v>43500</v>
      </c>
      <c r="P534" t="s">
        <v>1515</v>
      </c>
      <c r="Q534" t="s">
        <v>3057</v>
      </c>
      <c r="R534">
        <v>4</v>
      </c>
      <c r="S534">
        <v>6335</v>
      </c>
      <c r="T534">
        <v>42804</v>
      </c>
      <c r="U534">
        <v>42987</v>
      </c>
      <c r="V534">
        <v>3605</v>
      </c>
      <c r="W534">
        <v>2</v>
      </c>
    </row>
    <row r="535" spans="1:23" x14ac:dyDescent="0.25">
      <c r="A535" t="s">
        <v>3058</v>
      </c>
      <c r="B535" t="s">
        <v>1501</v>
      </c>
      <c r="C535">
        <v>1</v>
      </c>
      <c r="D535">
        <v>25</v>
      </c>
      <c r="E535">
        <v>250</v>
      </c>
      <c r="F535">
        <v>407882</v>
      </c>
      <c r="G535">
        <v>10</v>
      </c>
      <c r="H535">
        <v>10</v>
      </c>
      <c r="I535">
        <v>-407872</v>
      </c>
      <c r="J535">
        <v>-100</v>
      </c>
      <c r="K535">
        <v>10</v>
      </c>
      <c r="L535">
        <v>-407872</v>
      </c>
      <c r="M535">
        <v>-100</v>
      </c>
      <c r="N535">
        <v>10</v>
      </c>
      <c r="O535">
        <v>10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</row>
    <row r="536" spans="1:23" x14ac:dyDescent="0.25">
      <c r="A536" t="s">
        <v>1516</v>
      </c>
      <c r="B536" t="s">
        <v>1517</v>
      </c>
      <c r="C536">
        <v>381</v>
      </c>
      <c r="D536">
        <v>809285</v>
      </c>
      <c r="E536">
        <v>22088985133</v>
      </c>
      <c r="F536">
        <v>25378</v>
      </c>
      <c r="G536">
        <v>27800</v>
      </c>
      <c r="H536">
        <v>27290</v>
      </c>
      <c r="I536">
        <v>1912</v>
      </c>
      <c r="J536">
        <v>7.53</v>
      </c>
      <c r="K536">
        <v>27294</v>
      </c>
      <c r="L536">
        <v>1916</v>
      </c>
      <c r="M536">
        <v>7.55</v>
      </c>
      <c r="N536">
        <v>25444</v>
      </c>
      <c r="O536">
        <v>27915</v>
      </c>
      <c r="P536" t="s">
        <v>605</v>
      </c>
      <c r="Q536" t="s">
        <v>3059</v>
      </c>
      <c r="R536">
        <v>1</v>
      </c>
      <c r="S536">
        <v>76</v>
      </c>
      <c r="T536">
        <v>26501</v>
      </c>
      <c r="U536">
        <v>27274</v>
      </c>
      <c r="V536">
        <v>1693</v>
      </c>
      <c r="W536">
        <v>2</v>
      </c>
    </row>
    <row r="537" spans="1:23" x14ac:dyDescent="0.25">
      <c r="A537" t="s">
        <v>1518</v>
      </c>
      <c r="B537" t="s">
        <v>1519</v>
      </c>
      <c r="C537">
        <v>3</v>
      </c>
      <c r="D537">
        <v>1223</v>
      </c>
      <c r="E537">
        <v>1008269329</v>
      </c>
      <c r="F537">
        <v>823057</v>
      </c>
      <c r="G537">
        <v>824423</v>
      </c>
      <c r="H537">
        <v>824423</v>
      </c>
      <c r="I537">
        <v>1366</v>
      </c>
      <c r="J537">
        <v>0.17</v>
      </c>
      <c r="K537">
        <v>824423</v>
      </c>
      <c r="L537">
        <v>1366</v>
      </c>
      <c r="M537">
        <v>0.17</v>
      </c>
      <c r="N537">
        <v>824423</v>
      </c>
      <c r="O537">
        <v>824423</v>
      </c>
      <c r="R537">
        <v>3</v>
      </c>
      <c r="S537">
        <v>10048</v>
      </c>
      <c r="T537">
        <v>824422</v>
      </c>
      <c r="U537">
        <v>824990</v>
      </c>
      <c r="V537">
        <v>1000</v>
      </c>
      <c r="W537">
        <v>1</v>
      </c>
    </row>
    <row r="538" spans="1:23" x14ac:dyDescent="0.25">
      <c r="A538" t="s">
        <v>1520</v>
      </c>
      <c r="B538" t="s">
        <v>1521</v>
      </c>
      <c r="C538">
        <v>175</v>
      </c>
      <c r="D538">
        <v>1097904</v>
      </c>
      <c r="E538">
        <v>6141677960</v>
      </c>
      <c r="F538">
        <v>5412</v>
      </c>
      <c r="G538">
        <v>5675</v>
      </c>
      <c r="H538">
        <v>5592</v>
      </c>
      <c r="I538">
        <v>180</v>
      </c>
      <c r="J538">
        <v>3.33</v>
      </c>
      <c r="K538">
        <v>5594</v>
      </c>
      <c r="L538">
        <v>182</v>
      </c>
      <c r="M538">
        <v>3.36</v>
      </c>
      <c r="N538">
        <v>5400</v>
      </c>
      <c r="O538">
        <v>5675</v>
      </c>
      <c r="P538" t="s">
        <v>1522</v>
      </c>
      <c r="Q538" t="s">
        <v>3060</v>
      </c>
      <c r="R538">
        <v>1</v>
      </c>
      <c r="S538">
        <v>1803</v>
      </c>
      <c r="T538">
        <v>5520</v>
      </c>
      <c r="U538">
        <v>5580</v>
      </c>
      <c r="V538">
        <v>6250</v>
      </c>
      <c r="W538">
        <v>1</v>
      </c>
    </row>
    <row r="539" spans="1:23" x14ac:dyDescent="0.25">
      <c r="A539" t="s">
        <v>1523</v>
      </c>
      <c r="B539" t="s">
        <v>1524</v>
      </c>
      <c r="C539">
        <v>116</v>
      </c>
      <c r="D539">
        <v>644109</v>
      </c>
      <c r="E539">
        <v>18092242087</v>
      </c>
      <c r="F539">
        <v>26760</v>
      </c>
      <c r="G539">
        <v>27831</v>
      </c>
      <c r="H539">
        <v>28098</v>
      </c>
      <c r="I539">
        <v>1338</v>
      </c>
      <c r="J539">
        <v>5</v>
      </c>
      <c r="K539">
        <v>28089</v>
      </c>
      <c r="L539">
        <v>1329</v>
      </c>
      <c r="M539">
        <v>4.97</v>
      </c>
      <c r="N539">
        <v>27831</v>
      </c>
      <c r="O539">
        <v>28098</v>
      </c>
      <c r="P539" t="s">
        <v>1525</v>
      </c>
      <c r="Q539" t="s">
        <v>2722</v>
      </c>
      <c r="R539">
        <v>47</v>
      </c>
      <c r="S539">
        <v>589818</v>
      </c>
      <c r="T539">
        <v>28098</v>
      </c>
      <c r="U539">
        <v>28930</v>
      </c>
      <c r="V539">
        <v>116</v>
      </c>
      <c r="W539">
        <v>2</v>
      </c>
    </row>
    <row r="540" spans="1:23" x14ac:dyDescent="0.25">
      <c r="A540" t="s">
        <v>1526</v>
      </c>
      <c r="B540" t="s">
        <v>1527</v>
      </c>
      <c r="C540">
        <v>0</v>
      </c>
      <c r="D540">
        <v>0</v>
      </c>
      <c r="E540">
        <v>0</v>
      </c>
      <c r="F540">
        <v>194</v>
      </c>
      <c r="G540">
        <v>0</v>
      </c>
      <c r="H540">
        <v>180</v>
      </c>
      <c r="I540">
        <v>-14</v>
      </c>
      <c r="J540">
        <v>-7.22</v>
      </c>
      <c r="K540">
        <v>194</v>
      </c>
      <c r="L540">
        <v>0</v>
      </c>
      <c r="M540">
        <v>0</v>
      </c>
      <c r="N540">
        <v>0</v>
      </c>
      <c r="O540">
        <v>0</v>
      </c>
      <c r="R540">
        <v>0</v>
      </c>
      <c r="S540">
        <v>0</v>
      </c>
      <c r="T540">
        <v>0</v>
      </c>
      <c r="U540">
        <v>500</v>
      </c>
      <c r="V540">
        <v>15</v>
      </c>
      <c r="W540">
        <v>1</v>
      </c>
    </row>
    <row r="541" spans="1:23" x14ac:dyDescent="0.25">
      <c r="A541" t="s">
        <v>1528</v>
      </c>
      <c r="B541" t="s">
        <v>1529</v>
      </c>
      <c r="C541">
        <v>217</v>
      </c>
      <c r="D541">
        <v>539276</v>
      </c>
      <c r="E541">
        <v>7654834869</v>
      </c>
      <c r="F541">
        <v>14294</v>
      </c>
      <c r="G541">
        <v>14311</v>
      </c>
      <c r="H541">
        <v>14220</v>
      </c>
      <c r="I541">
        <v>-74</v>
      </c>
      <c r="J541">
        <v>-0.52</v>
      </c>
      <c r="K541">
        <v>14221</v>
      </c>
      <c r="L541">
        <v>-73</v>
      </c>
      <c r="M541">
        <v>-0.51</v>
      </c>
      <c r="N541">
        <v>14100</v>
      </c>
      <c r="O541">
        <v>14311</v>
      </c>
      <c r="P541" t="s">
        <v>1530</v>
      </c>
      <c r="Q541" t="s">
        <v>3061</v>
      </c>
      <c r="R541">
        <v>1</v>
      </c>
      <c r="S541">
        <v>309</v>
      </c>
      <c r="T541">
        <v>14220</v>
      </c>
      <c r="U541">
        <v>14229</v>
      </c>
      <c r="V541">
        <v>1047</v>
      </c>
      <c r="W541">
        <v>2</v>
      </c>
    </row>
    <row r="542" spans="1:23" x14ac:dyDescent="0.25">
      <c r="A542" t="s">
        <v>3062</v>
      </c>
      <c r="B542" t="s">
        <v>1366</v>
      </c>
      <c r="C542">
        <v>1</v>
      </c>
      <c r="D542">
        <v>26</v>
      </c>
      <c r="E542">
        <v>260</v>
      </c>
      <c r="F542">
        <v>405253</v>
      </c>
      <c r="G542">
        <v>10</v>
      </c>
      <c r="H542">
        <v>10</v>
      </c>
      <c r="I542">
        <v>-405243</v>
      </c>
      <c r="J542">
        <v>-100</v>
      </c>
      <c r="K542">
        <v>10</v>
      </c>
      <c r="L542">
        <v>-405243</v>
      </c>
      <c r="M542">
        <v>-100</v>
      </c>
      <c r="N542">
        <v>10</v>
      </c>
      <c r="O542">
        <v>10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</row>
    <row r="543" spans="1:23" x14ac:dyDescent="0.25">
      <c r="A543" t="s">
        <v>3063</v>
      </c>
      <c r="B543" t="s">
        <v>3064</v>
      </c>
      <c r="C543">
        <v>0</v>
      </c>
      <c r="D543">
        <v>0</v>
      </c>
      <c r="E543">
        <v>0</v>
      </c>
      <c r="F543">
        <v>1</v>
      </c>
      <c r="G543">
        <v>0</v>
      </c>
      <c r="H543">
        <v>1</v>
      </c>
      <c r="I543">
        <v>0</v>
      </c>
      <c r="J543">
        <v>0</v>
      </c>
      <c r="K543">
        <v>1</v>
      </c>
      <c r="L543">
        <v>0</v>
      </c>
      <c r="M543">
        <v>0</v>
      </c>
      <c r="N543">
        <v>0</v>
      </c>
      <c r="O543">
        <v>0</v>
      </c>
      <c r="R543">
        <v>1</v>
      </c>
      <c r="S543">
        <v>100</v>
      </c>
      <c r="T543">
        <v>50</v>
      </c>
      <c r="U543">
        <v>0</v>
      </c>
      <c r="V543">
        <v>0</v>
      </c>
      <c r="W543">
        <v>0</v>
      </c>
    </row>
    <row r="544" spans="1:23" x14ac:dyDescent="0.25">
      <c r="A544" t="s">
        <v>1531</v>
      </c>
      <c r="B544" t="s">
        <v>1532</v>
      </c>
      <c r="C544">
        <v>0</v>
      </c>
      <c r="D544">
        <v>0</v>
      </c>
      <c r="E544">
        <v>0</v>
      </c>
      <c r="F544">
        <v>872100</v>
      </c>
      <c r="G544">
        <v>0</v>
      </c>
      <c r="H544">
        <v>872100</v>
      </c>
      <c r="I544">
        <v>0</v>
      </c>
      <c r="J544">
        <v>0</v>
      </c>
      <c r="K544">
        <v>872100</v>
      </c>
      <c r="L544">
        <v>0</v>
      </c>
      <c r="M544">
        <v>0</v>
      </c>
      <c r="N544">
        <v>0</v>
      </c>
      <c r="O544">
        <v>0</v>
      </c>
      <c r="R544">
        <v>1</v>
      </c>
      <c r="S544">
        <v>3200</v>
      </c>
      <c r="T544">
        <v>872100</v>
      </c>
      <c r="U544">
        <v>880821</v>
      </c>
      <c r="V544">
        <v>3200</v>
      </c>
      <c r="W544">
        <v>1</v>
      </c>
    </row>
    <row r="545" spans="1:23" x14ac:dyDescent="0.25">
      <c r="A545" t="s">
        <v>1533</v>
      </c>
      <c r="B545" t="s">
        <v>1534</v>
      </c>
      <c r="C545">
        <v>902</v>
      </c>
      <c r="D545">
        <v>4122360</v>
      </c>
      <c r="E545">
        <v>28476668596</v>
      </c>
      <c r="F545">
        <v>6810</v>
      </c>
      <c r="G545">
        <v>7019</v>
      </c>
      <c r="H545">
        <v>6867</v>
      </c>
      <c r="I545">
        <v>57</v>
      </c>
      <c r="J545">
        <v>0.84</v>
      </c>
      <c r="K545">
        <v>6908</v>
      </c>
      <c r="L545">
        <v>98</v>
      </c>
      <c r="M545">
        <v>1.44</v>
      </c>
      <c r="N545">
        <v>6666</v>
      </c>
      <c r="O545">
        <v>7149</v>
      </c>
      <c r="P545" t="s">
        <v>742</v>
      </c>
      <c r="Q545" t="s">
        <v>3065</v>
      </c>
      <c r="R545">
        <v>1</v>
      </c>
      <c r="S545">
        <v>1000</v>
      </c>
      <c r="T545">
        <v>6858</v>
      </c>
      <c r="U545">
        <v>6867</v>
      </c>
      <c r="V545">
        <v>26877</v>
      </c>
      <c r="W545">
        <v>2</v>
      </c>
    </row>
    <row r="546" spans="1:23" x14ac:dyDescent="0.25">
      <c r="A546" t="s">
        <v>1535</v>
      </c>
      <c r="B546" t="s">
        <v>1536</v>
      </c>
      <c r="C546">
        <v>1</v>
      </c>
      <c r="D546">
        <v>10</v>
      </c>
      <c r="E546">
        <v>3000000</v>
      </c>
      <c r="F546">
        <v>120</v>
      </c>
      <c r="G546">
        <v>300</v>
      </c>
      <c r="H546">
        <v>300</v>
      </c>
      <c r="I546">
        <v>180</v>
      </c>
      <c r="J546">
        <v>150</v>
      </c>
      <c r="K546">
        <v>300</v>
      </c>
      <c r="L546">
        <v>180</v>
      </c>
      <c r="M546">
        <v>150</v>
      </c>
      <c r="N546">
        <v>300</v>
      </c>
      <c r="O546">
        <v>300</v>
      </c>
      <c r="R546">
        <v>1</v>
      </c>
      <c r="S546">
        <v>2</v>
      </c>
      <c r="T546">
        <v>50</v>
      </c>
      <c r="U546">
        <v>250</v>
      </c>
      <c r="V546">
        <v>100</v>
      </c>
      <c r="W546">
        <v>1</v>
      </c>
    </row>
    <row r="547" spans="1:23" x14ac:dyDescent="0.25">
      <c r="A547" t="s">
        <v>1537</v>
      </c>
      <c r="B547" t="s">
        <v>1538</v>
      </c>
      <c r="C547">
        <v>270</v>
      </c>
      <c r="D547">
        <v>1873324</v>
      </c>
      <c r="E547">
        <v>13750293568</v>
      </c>
      <c r="F547">
        <v>7013</v>
      </c>
      <c r="G547">
        <v>7300</v>
      </c>
      <c r="H547">
        <v>7211</v>
      </c>
      <c r="I547">
        <v>198</v>
      </c>
      <c r="J547">
        <v>2.82</v>
      </c>
      <c r="K547">
        <v>7340</v>
      </c>
      <c r="L547">
        <v>327</v>
      </c>
      <c r="M547">
        <v>4.66</v>
      </c>
      <c r="N547">
        <v>7211</v>
      </c>
      <c r="O547">
        <v>7363</v>
      </c>
      <c r="P547" t="s">
        <v>1539</v>
      </c>
      <c r="Q547" t="s">
        <v>3066</v>
      </c>
      <c r="R547">
        <v>1</v>
      </c>
      <c r="S547">
        <v>13754</v>
      </c>
      <c r="T547">
        <v>7211</v>
      </c>
      <c r="U547">
        <v>7349</v>
      </c>
      <c r="V547">
        <v>30690</v>
      </c>
      <c r="W547">
        <v>1</v>
      </c>
    </row>
    <row r="548" spans="1:23" x14ac:dyDescent="0.25">
      <c r="A548" t="s">
        <v>1540</v>
      </c>
      <c r="B548" t="s">
        <v>1541</v>
      </c>
      <c r="C548">
        <v>0</v>
      </c>
      <c r="D548">
        <v>0</v>
      </c>
      <c r="E548">
        <v>0</v>
      </c>
      <c r="F548">
        <v>902500</v>
      </c>
      <c r="G548">
        <v>0</v>
      </c>
      <c r="H548">
        <v>902500</v>
      </c>
      <c r="I548">
        <v>0</v>
      </c>
      <c r="J548">
        <v>0</v>
      </c>
      <c r="K548">
        <v>902500</v>
      </c>
      <c r="L548">
        <v>0</v>
      </c>
      <c r="M548">
        <v>0</v>
      </c>
      <c r="N548">
        <v>0</v>
      </c>
      <c r="O548">
        <v>0</v>
      </c>
      <c r="R548">
        <v>1</v>
      </c>
      <c r="S548">
        <v>9750</v>
      </c>
      <c r="T548">
        <v>991000</v>
      </c>
      <c r="U548">
        <v>997500</v>
      </c>
      <c r="V548">
        <v>9750</v>
      </c>
      <c r="W548">
        <v>1</v>
      </c>
    </row>
    <row r="549" spans="1:23" x14ac:dyDescent="0.25">
      <c r="A549" t="s">
        <v>1542</v>
      </c>
      <c r="B549" t="s">
        <v>1543</v>
      </c>
      <c r="C549">
        <v>0</v>
      </c>
      <c r="D549">
        <v>0</v>
      </c>
      <c r="E549">
        <v>0</v>
      </c>
      <c r="F549">
        <v>1500</v>
      </c>
      <c r="G549">
        <v>0</v>
      </c>
      <c r="H549">
        <v>1500</v>
      </c>
      <c r="I549">
        <v>0</v>
      </c>
      <c r="J549">
        <v>0</v>
      </c>
      <c r="K549">
        <v>1500</v>
      </c>
      <c r="L549">
        <v>0</v>
      </c>
      <c r="M549">
        <v>0</v>
      </c>
      <c r="N549">
        <v>0</v>
      </c>
      <c r="O549">
        <v>0</v>
      </c>
      <c r="R549">
        <v>1</v>
      </c>
      <c r="S549">
        <v>100</v>
      </c>
      <c r="T549">
        <v>62</v>
      </c>
      <c r="U549">
        <v>2000</v>
      </c>
      <c r="V549">
        <v>60</v>
      </c>
      <c r="W549">
        <v>1</v>
      </c>
    </row>
    <row r="550" spans="1:23" x14ac:dyDescent="0.25">
      <c r="A550" t="s">
        <v>3067</v>
      </c>
      <c r="B550" t="s">
        <v>615</v>
      </c>
      <c r="C550">
        <v>1</v>
      </c>
      <c r="D550">
        <v>24</v>
      </c>
      <c r="E550">
        <v>240</v>
      </c>
      <c r="F550">
        <v>410493</v>
      </c>
      <c r="G550">
        <v>10</v>
      </c>
      <c r="H550">
        <v>10</v>
      </c>
      <c r="I550">
        <v>-410483</v>
      </c>
      <c r="J550">
        <v>-100</v>
      </c>
      <c r="K550">
        <v>10</v>
      </c>
      <c r="L550">
        <v>-410483</v>
      </c>
      <c r="M550">
        <v>-100</v>
      </c>
      <c r="N550">
        <v>10</v>
      </c>
      <c r="O550">
        <v>10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</row>
    <row r="551" spans="1:23" x14ac:dyDescent="0.25">
      <c r="A551" t="s">
        <v>1544</v>
      </c>
      <c r="B551" t="s">
        <v>1545</v>
      </c>
      <c r="C551">
        <v>787</v>
      </c>
      <c r="D551">
        <v>4619637</v>
      </c>
      <c r="E551">
        <v>17053914730</v>
      </c>
      <c r="F551">
        <v>3601</v>
      </c>
      <c r="G551">
        <v>3699</v>
      </c>
      <c r="H551">
        <v>3650</v>
      </c>
      <c r="I551">
        <v>49</v>
      </c>
      <c r="J551">
        <v>1.36</v>
      </c>
      <c r="K551">
        <v>3692</v>
      </c>
      <c r="L551">
        <v>91</v>
      </c>
      <c r="M551">
        <v>2.5299999999999998</v>
      </c>
      <c r="N551">
        <v>3646</v>
      </c>
      <c r="O551">
        <v>3730</v>
      </c>
      <c r="P551" t="s">
        <v>1546</v>
      </c>
      <c r="Q551" t="s">
        <v>2802</v>
      </c>
      <c r="R551">
        <v>1</v>
      </c>
      <c r="S551">
        <v>2442</v>
      </c>
      <c r="T551">
        <v>3647</v>
      </c>
      <c r="U551">
        <v>3650</v>
      </c>
      <c r="V551">
        <v>3700</v>
      </c>
      <c r="W551">
        <v>1</v>
      </c>
    </row>
    <row r="552" spans="1:23" x14ac:dyDescent="0.25">
      <c r="A552" t="s">
        <v>1547</v>
      </c>
      <c r="B552" t="s">
        <v>1548</v>
      </c>
      <c r="C552">
        <v>1</v>
      </c>
      <c r="D552">
        <v>799</v>
      </c>
      <c r="E552">
        <v>15765868</v>
      </c>
      <c r="F552">
        <v>18793</v>
      </c>
      <c r="G552">
        <v>19732</v>
      </c>
      <c r="H552">
        <v>19732</v>
      </c>
      <c r="I552">
        <v>939</v>
      </c>
      <c r="J552">
        <v>5</v>
      </c>
      <c r="K552">
        <v>18801</v>
      </c>
      <c r="L552">
        <v>8</v>
      </c>
      <c r="M552">
        <v>0.04</v>
      </c>
      <c r="N552">
        <v>19732</v>
      </c>
      <c r="O552">
        <v>19732</v>
      </c>
      <c r="P552" t="s">
        <v>1549</v>
      </c>
      <c r="Q552" t="s">
        <v>3068</v>
      </c>
      <c r="R552">
        <v>45</v>
      </c>
      <c r="S552">
        <v>512570</v>
      </c>
      <c r="T552">
        <v>19732</v>
      </c>
      <c r="U552">
        <v>35500</v>
      </c>
      <c r="V552">
        <v>50000</v>
      </c>
      <c r="W552">
        <v>1</v>
      </c>
    </row>
    <row r="553" spans="1:23" x14ac:dyDescent="0.25">
      <c r="A553" t="s">
        <v>1550</v>
      </c>
      <c r="B553" t="s">
        <v>1551</v>
      </c>
      <c r="C553">
        <v>1086</v>
      </c>
      <c r="D553">
        <v>18721179</v>
      </c>
      <c r="E553">
        <v>123561360094</v>
      </c>
      <c r="F553">
        <v>6523</v>
      </c>
      <c r="G553">
        <v>6600</v>
      </c>
      <c r="H553">
        <v>6849</v>
      </c>
      <c r="I553">
        <v>326</v>
      </c>
      <c r="J553">
        <v>5</v>
      </c>
      <c r="K553">
        <v>6600</v>
      </c>
      <c r="L553">
        <v>77</v>
      </c>
      <c r="M553">
        <v>1.18</v>
      </c>
      <c r="N553">
        <v>6525</v>
      </c>
      <c r="O553">
        <v>6849</v>
      </c>
      <c r="P553" t="s">
        <v>2688</v>
      </c>
      <c r="Q553" t="s">
        <v>2687</v>
      </c>
      <c r="R553">
        <v>390</v>
      </c>
      <c r="S553">
        <v>13201875</v>
      </c>
      <c r="T553">
        <v>6849</v>
      </c>
      <c r="U553">
        <v>6874</v>
      </c>
      <c r="V553">
        <v>2000</v>
      </c>
      <c r="W553">
        <v>1</v>
      </c>
    </row>
    <row r="554" spans="1:23" x14ac:dyDescent="0.25">
      <c r="A554" t="s">
        <v>1552</v>
      </c>
      <c r="B554" t="s">
        <v>1553</v>
      </c>
      <c r="C554">
        <v>741</v>
      </c>
      <c r="D554">
        <v>1788324</v>
      </c>
      <c r="E554">
        <v>27171591473</v>
      </c>
      <c r="F554">
        <v>14506</v>
      </c>
      <c r="G554">
        <v>15231</v>
      </c>
      <c r="H554">
        <v>15110</v>
      </c>
      <c r="I554">
        <v>604</v>
      </c>
      <c r="J554">
        <v>4.16</v>
      </c>
      <c r="K554">
        <v>15194</v>
      </c>
      <c r="L554">
        <v>688</v>
      </c>
      <c r="M554">
        <v>4.74</v>
      </c>
      <c r="N554">
        <v>15076</v>
      </c>
      <c r="O554">
        <v>15231</v>
      </c>
      <c r="P554" t="s">
        <v>1554</v>
      </c>
      <c r="Q554" t="s">
        <v>3069</v>
      </c>
      <c r="R554">
        <v>4</v>
      </c>
      <c r="S554">
        <v>2757</v>
      </c>
      <c r="T554">
        <v>15109</v>
      </c>
      <c r="U554">
        <v>15110</v>
      </c>
      <c r="V554">
        <v>432</v>
      </c>
      <c r="W554">
        <v>1</v>
      </c>
    </row>
    <row r="555" spans="1:23" x14ac:dyDescent="0.25">
      <c r="A555" t="s">
        <v>1555</v>
      </c>
      <c r="B555" t="s">
        <v>1556</v>
      </c>
      <c r="C555">
        <v>0</v>
      </c>
      <c r="D555">
        <v>0</v>
      </c>
      <c r="E555">
        <v>0</v>
      </c>
      <c r="F555">
        <v>1010000</v>
      </c>
      <c r="G555">
        <v>0</v>
      </c>
      <c r="H555">
        <v>1010000</v>
      </c>
      <c r="I555">
        <v>0</v>
      </c>
      <c r="J555">
        <v>0</v>
      </c>
      <c r="K555">
        <v>1010000</v>
      </c>
      <c r="L555">
        <v>0</v>
      </c>
      <c r="M555">
        <v>0</v>
      </c>
      <c r="N555">
        <v>0</v>
      </c>
      <c r="O555">
        <v>0</v>
      </c>
      <c r="R555">
        <v>2</v>
      </c>
      <c r="S555">
        <v>12500</v>
      </c>
      <c r="T555">
        <v>1010000</v>
      </c>
      <c r="U555">
        <v>1030200</v>
      </c>
      <c r="V555">
        <v>12500</v>
      </c>
      <c r="W555">
        <v>2</v>
      </c>
    </row>
    <row r="556" spans="1:23" x14ac:dyDescent="0.25">
      <c r="A556" t="s">
        <v>1557</v>
      </c>
      <c r="B556" t="s">
        <v>1558</v>
      </c>
      <c r="C556">
        <v>0</v>
      </c>
      <c r="D556">
        <v>0</v>
      </c>
      <c r="E556">
        <v>0</v>
      </c>
      <c r="F556">
        <v>200</v>
      </c>
      <c r="G556">
        <v>0</v>
      </c>
      <c r="H556">
        <v>200</v>
      </c>
      <c r="I556">
        <v>0</v>
      </c>
      <c r="J556">
        <v>0</v>
      </c>
      <c r="K556">
        <v>200</v>
      </c>
      <c r="L556">
        <v>0</v>
      </c>
      <c r="M556">
        <v>0</v>
      </c>
      <c r="N556">
        <v>0</v>
      </c>
      <c r="O556">
        <v>0</v>
      </c>
      <c r="R556">
        <v>1</v>
      </c>
      <c r="S556">
        <v>22</v>
      </c>
      <c r="T556">
        <v>50</v>
      </c>
      <c r="U556">
        <v>350</v>
      </c>
      <c r="V556">
        <v>100</v>
      </c>
      <c r="W556">
        <v>1</v>
      </c>
    </row>
    <row r="557" spans="1:23" x14ac:dyDescent="0.25">
      <c r="A557" t="s">
        <v>1559</v>
      </c>
      <c r="B557" t="s">
        <v>1560</v>
      </c>
      <c r="C557">
        <v>1004</v>
      </c>
      <c r="D557">
        <v>4064727</v>
      </c>
      <c r="E557">
        <v>21962975814</v>
      </c>
      <c r="F557">
        <v>5590</v>
      </c>
      <c r="G557">
        <v>5641</v>
      </c>
      <c r="H557">
        <v>5471</v>
      </c>
      <c r="I557">
        <v>-119</v>
      </c>
      <c r="J557">
        <v>-2.13</v>
      </c>
      <c r="K557">
        <v>5403</v>
      </c>
      <c r="L557">
        <v>-187</v>
      </c>
      <c r="M557">
        <v>-3.35</v>
      </c>
      <c r="N557">
        <v>5311</v>
      </c>
      <c r="O557">
        <v>5641</v>
      </c>
      <c r="P557" t="s">
        <v>1561</v>
      </c>
      <c r="Q557" t="s">
        <v>1433</v>
      </c>
      <c r="R557">
        <v>2</v>
      </c>
      <c r="S557">
        <v>43669</v>
      </c>
      <c r="T557">
        <v>5471</v>
      </c>
      <c r="U557">
        <v>5480</v>
      </c>
      <c r="V557">
        <v>4377</v>
      </c>
      <c r="W557">
        <v>4</v>
      </c>
    </row>
    <row r="558" spans="1:23" x14ac:dyDescent="0.25">
      <c r="A558" t="s">
        <v>1562</v>
      </c>
      <c r="B558" t="s">
        <v>1563</v>
      </c>
      <c r="C558">
        <v>296</v>
      </c>
      <c r="D558">
        <v>1441084</v>
      </c>
      <c r="E558">
        <v>15997762278</v>
      </c>
      <c r="F558">
        <v>10675</v>
      </c>
      <c r="G558">
        <v>10800</v>
      </c>
      <c r="H558">
        <v>11208</v>
      </c>
      <c r="I558">
        <v>533</v>
      </c>
      <c r="J558">
        <v>4.99</v>
      </c>
      <c r="K558">
        <v>11101</v>
      </c>
      <c r="L558">
        <v>426</v>
      </c>
      <c r="M558">
        <v>3.99</v>
      </c>
      <c r="N558">
        <v>10798</v>
      </c>
      <c r="O558">
        <v>11208</v>
      </c>
      <c r="P558" t="s">
        <v>1564</v>
      </c>
      <c r="Q558" t="s">
        <v>3070</v>
      </c>
      <c r="R558">
        <v>105</v>
      </c>
      <c r="S558">
        <v>1599853</v>
      </c>
      <c r="T558">
        <v>11208</v>
      </c>
      <c r="U558">
        <v>0</v>
      </c>
      <c r="V558">
        <v>0</v>
      </c>
      <c r="W558">
        <v>0</v>
      </c>
    </row>
    <row r="559" spans="1:23" x14ac:dyDescent="0.25">
      <c r="A559" t="s">
        <v>1565</v>
      </c>
      <c r="B559" t="s">
        <v>1566</v>
      </c>
      <c r="C559">
        <v>73</v>
      </c>
      <c r="D559">
        <v>32030</v>
      </c>
      <c r="E559">
        <v>2151326535</v>
      </c>
      <c r="F559">
        <v>68028</v>
      </c>
      <c r="G559">
        <v>70419</v>
      </c>
      <c r="H559">
        <v>67800</v>
      </c>
      <c r="I559">
        <v>-228</v>
      </c>
      <c r="J559">
        <v>-0.34</v>
      </c>
      <c r="K559">
        <v>67749</v>
      </c>
      <c r="L559">
        <v>-279</v>
      </c>
      <c r="M559">
        <v>-0.41</v>
      </c>
      <c r="N559">
        <v>65000</v>
      </c>
      <c r="O559">
        <v>70419</v>
      </c>
      <c r="P559" t="s">
        <v>1567</v>
      </c>
      <c r="Q559" t="s">
        <v>3071</v>
      </c>
      <c r="R559">
        <v>2</v>
      </c>
      <c r="S559">
        <v>853</v>
      </c>
      <c r="T559">
        <v>67801</v>
      </c>
      <c r="U559">
        <v>68000</v>
      </c>
      <c r="V559">
        <v>203</v>
      </c>
      <c r="W559">
        <v>2</v>
      </c>
    </row>
    <row r="560" spans="1:23" x14ac:dyDescent="0.25">
      <c r="A560" t="s">
        <v>1568</v>
      </c>
      <c r="B560" t="s">
        <v>1569</v>
      </c>
      <c r="C560">
        <v>291</v>
      </c>
      <c r="D560">
        <v>630186</v>
      </c>
      <c r="E560">
        <v>9538293145</v>
      </c>
      <c r="F560">
        <v>15635</v>
      </c>
      <c r="G560">
        <v>15650</v>
      </c>
      <c r="H560">
        <v>15210</v>
      </c>
      <c r="I560">
        <v>-425</v>
      </c>
      <c r="J560">
        <v>-2.72</v>
      </c>
      <c r="K560">
        <v>15136</v>
      </c>
      <c r="L560">
        <v>-499</v>
      </c>
      <c r="M560">
        <v>-3.19</v>
      </c>
      <c r="N560">
        <v>14900</v>
      </c>
      <c r="O560">
        <v>15650</v>
      </c>
      <c r="P560" t="s">
        <v>1570</v>
      </c>
      <c r="Q560" t="s">
        <v>3072</v>
      </c>
      <c r="R560">
        <v>3</v>
      </c>
      <c r="S560">
        <v>34229</v>
      </c>
      <c r="T560">
        <v>15210</v>
      </c>
      <c r="U560">
        <v>15277</v>
      </c>
      <c r="V560">
        <v>5421</v>
      </c>
      <c r="W560">
        <v>1</v>
      </c>
    </row>
    <row r="561" spans="1:23" x14ac:dyDescent="0.25">
      <c r="A561" t="s">
        <v>1571</v>
      </c>
      <c r="B561" t="s">
        <v>1572</v>
      </c>
      <c r="C561">
        <v>733</v>
      </c>
      <c r="D561">
        <v>4855282</v>
      </c>
      <c r="E561">
        <v>24057298722</v>
      </c>
      <c r="F561">
        <v>4903</v>
      </c>
      <c r="G561">
        <v>4980</v>
      </c>
      <c r="H561">
        <v>5000</v>
      </c>
      <c r="I561">
        <v>97</v>
      </c>
      <c r="J561">
        <v>1.98</v>
      </c>
      <c r="K561">
        <v>4955</v>
      </c>
      <c r="L561">
        <v>52</v>
      </c>
      <c r="M561">
        <v>1.06</v>
      </c>
      <c r="N561">
        <v>4764</v>
      </c>
      <c r="O561">
        <v>5148</v>
      </c>
      <c r="P561" t="s">
        <v>1573</v>
      </c>
      <c r="Q561" t="s">
        <v>2593</v>
      </c>
      <c r="R561">
        <v>8</v>
      </c>
      <c r="S561">
        <v>751275</v>
      </c>
      <c r="T561">
        <v>5001</v>
      </c>
      <c r="U561">
        <v>5148</v>
      </c>
      <c r="V561">
        <v>5160</v>
      </c>
      <c r="W561">
        <v>1</v>
      </c>
    </row>
    <row r="562" spans="1:23" x14ac:dyDescent="0.25">
      <c r="A562" t="s">
        <v>1574</v>
      </c>
      <c r="B562" t="s">
        <v>1575</v>
      </c>
      <c r="C562">
        <v>0</v>
      </c>
      <c r="D562">
        <v>0</v>
      </c>
      <c r="E562">
        <v>0</v>
      </c>
      <c r="F562">
        <v>1000001</v>
      </c>
      <c r="G562">
        <v>0</v>
      </c>
      <c r="H562">
        <v>1000001</v>
      </c>
      <c r="I562">
        <v>0</v>
      </c>
      <c r="J562">
        <v>0</v>
      </c>
      <c r="K562">
        <v>1000001</v>
      </c>
      <c r="L562">
        <v>0</v>
      </c>
      <c r="M562">
        <v>0</v>
      </c>
      <c r="N562">
        <v>0</v>
      </c>
      <c r="O562">
        <v>0</v>
      </c>
      <c r="R562">
        <v>1</v>
      </c>
      <c r="S562">
        <v>1000</v>
      </c>
      <c r="T562">
        <v>1000001</v>
      </c>
      <c r="U562">
        <v>1010000</v>
      </c>
      <c r="V562">
        <v>748</v>
      </c>
      <c r="W562">
        <v>1</v>
      </c>
    </row>
    <row r="563" spans="1:23" x14ac:dyDescent="0.25">
      <c r="A563" t="s">
        <v>1576</v>
      </c>
      <c r="B563" t="s">
        <v>1577</v>
      </c>
      <c r="C563">
        <v>55</v>
      </c>
      <c r="D563">
        <v>77858</v>
      </c>
      <c r="E563">
        <v>48216386483</v>
      </c>
      <c r="F563">
        <v>620460</v>
      </c>
      <c r="G563">
        <v>618000</v>
      </c>
      <c r="H563">
        <v>619450</v>
      </c>
      <c r="I563">
        <v>-1010</v>
      </c>
      <c r="J563">
        <v>-0.16</v>
      </c>
      <c r="K563">
        <v>619286</v>
      </c>
      <c r="L563">
        <v>-1174</v>
      </c>
      <c r="M563">
        <v>-0.19</v>
      </c>
      <c r="N563">
        <v>616001</v>
      </c>
      <c r="O563">
        <v>620998</v>
      </c>
      <c r="R563">
        <v>1</v>
      </c>
      <c r="S563">
        <v>100</v>
      </c>
      <c r="T563">
        <v>619441</v>
      </c>
      <c r="U563">
        <v>619450</v>
      </c>
      <c r="V563">
        <v>1557</v>
      </c>
      <c r="W563">
        <v>2</v>
      </c>
    </row>
    <row r="564" spans="1:23" x14ac:dyDescent="0.25">
      <c r="A564" t="s">
        <v>1578</v>
      </c>
      <c r="B564" t="s">
        <v>1579</v>
      </c>
      <c r="C564">
        <v>0</v>
      </c>
      <c r="D564">
        <v>0</v>
      </c>
      <c r="E564">
        <v>0</v>
      </c>
      <c r="F564">
        <v>34061</v>
      </c>
      <c r="G564">
        <v>0</v>
      </c>
      <c r="H564">
        <v>39900</v>
      </c>
      <c r="I564">
        <v>5839</v>
      </c>
      <c r="J564">
        <v>17.14</v>
      </c>
      <c r="K564">
        <v>34061</v>
      </c>
      <c r="L564">
        <v>0</v>
      </c>
      <c r="M564">
        <v>0</v>
      </c>
      <c r="N564">
        <v>0</v>
      </c>
      <c r="O564">
        <v>0</v>
      </c>
      <c r="P564" t="s">
        <v>1580</v>
      </c>
      <c r="Q564" t="s">
        <v>2691</v>
      </c>
      <c r="R564">
        <v>2</v>
      </c>
      <c r="S564">
        <v>10178</v>
      </c>
      <c r="T564">
        <v>34061</v>
      </c>
      <c r="U564">
        <v>0</v>
      </c>
      <c r="V564">
        <v>0</v>
      </c>
      <c r="W564">
        <v>0</v>
      </c>
    </row>
    <row r="565" spans="1:23" x14ac:dyDescent="0.25">
      <c r="A565" t="s">
        <v>1581</v>
      </c>
      <c r="B565" t="s">
        <v>1582</v>
      </c>
      <c r="C565">
        <v>648</v>
      </c>
      <c r="D565">
        <v>7611555</v>
      </c>
      <c r="E565">
        <v>17835615430</v>
      </c>
      <c r="F565">
        <v>2234</v>
      </c>
      <c r="G565">
        <v>2345</v>
      </c>
      <c r="H565">
        <v>2345</v>
      </c>
      <c r="I565">
        <v>111</v>
      </c>
      <c r="J565">
        <v>4.97</v>
      </c>
      <c r="K565">
        <v>2343</v>
      </c>
      <c r="L565">
        <v>109</v>
      </c>
      <c r="M565">
        <v>4.88</v>
      </c>
      <c r="N565">
        <v>2320</v>
      </c>
      <c r="O565">
        <v>2345</v>
      </c>
      <c r="P565" t="s">
        <v>1583</v>
      </c>
      <c r="Q565" t="s">
        <v>3073</v>
      </c>
      <c r="R565">
        <v>114</v>
      </c>
      <c r="S565">
        <v>2531591</v>
      </c>
      <c r="T565">
        <v>2345</v>
      </c>
      <c r="U565">
        <v>2698</v>
      </c>
      <c r="V565">
        <v>500</v>
      </c>
      <c r="W565">
        <v>1</v>
      </c>
    </row>
    <row r="566" spans="1:23" x14ac:dyDescent="0.25">
      <c r="A566" t="s">
        <v>1584</v>
      </c>
      <c r="B566" t="s">
        <v>1585</v>
      </c>
      <c r="C566">
        <v>0</v>
      </c>
      <c r="D566">
        <v>0</v>
      </c>
      <c r="E566">
        <v>0</v>
      </c>
      <c r="F566">
        <v>60856</v>
      </c>
      <c r="G566">
        <v>0</v>
      </c>
      <c r="H566">
        <v>60500</v>
      </c>
      <c r="I566">
        <v>-356</v>
      </c>
      <c r="J566">
        <v>-0.57999999999999996</v>
      </c>
      <c r="K566">
        <v>60856</v>
      </c>
      <c r="L566">
        <v>0</v>
      </c>
      <c r="M566">
        <v>0</v>
      </c>
      <c r="N566">
        <v>0</v>
      </c>
      <c r="O566">
        <v>0</v>
      </c>
      <c r="R566">
        <v>1</v>
      </c>
      <c r="S566">
        <v>1</v>
      </c>
      <c r="T566">
        <v>59000</v>
      </c>
      <c r="U566">
        <v>62000</v>
      </c>
      <c r="V566">
        <v>1</v>
      </c>
      <c r="W566">
        <v>1</v>
      </c>
    </row>
    <row r="567" spans="1:23" x14ac:dyDescent="0.25">
      <c r="A567" t="s">
        <v>1586</v>
      </c>
      <c r="B567" t="s">
        <v>1587</v>
      </c>
      <c r="C567">
        <v>3442</v>
      </c>
      <c r="D567">
        <v>62674057</v>
      </c>
      <c r="E567">
        <v>82464486310</v>
      </c>
      <c r="F567">
        <v>1303</v>
      </c>
      <c r="G567">
        <v>1321</v>
      </c>
      <c r="H567">
        <v>1317</v>
      </c>
      <c r="I567">
        <v>14</v>
      </c>
      <c r="J567">
        <v>1.07</v>
      </c>
      <c r="K567">
        <v>1316</v>
      </c>
      <c r="L567">
        <v>13</v>
      </c>
      <c r="M567">
        <v>1</v>
      </c>
      <c r="N567">
        <v>1295</v>
      </c>
      <c r="O567">
        <v>1340</v>
      </c>
      <c r="P567" t="s">
        <v>1588</v>
      </c>
      <c r="Q567" t="s">
        <v>3074</v>
      </c>
      <c r="R567">
        <v>3</v>
      </c>
      <c r="S567">
        <v>25510</v>
      </c>
      <c r="T567">
        <v>1315</v>
      </c>
      <c r="U567">
        <v>1317</v>
      </c>
      <c r="V567">
        <v>86409</v>
      </c>
      <c r="W567">
        <v>3</v>
      </c>
    </row>
    <row r="568" spans="1:23" x14ac:dyDescent="0.25">
      <c r="A568" t="s">
        <v>1589</v>
      </c>
      <c r="B568" t="s">
        <v>1590</v>
      </c>
      <c r="C568">
        <v>258</v>
      </c>
      <c r="D568">
        <v>3077426</v>
      </c>
      <c r="E568">
        <v>25351283107</v>
      </c>
      <c r="F568">
        <v>8224</v>
      </c>
      <c r="G568">
        <v>8458</v>
      </c>
      <c r="H568">
        <v>8370</v>
      </c>
      <c r="I568">
        <v>146</v>
      </c>
      <c r="J568">
        <v>1.78</v>
      </c>
      <c r="K568">
        <v>8238</v>
      </c>
      <c r="L568">
        <v>14</v>
      </c>
      <c r="M568">
        <v>0.17</v>
      </c>
      <c r="N568">
        <v>8200</v>
      </c>
      <c r="O568">
        <v>8458</v>
      </c>
      <c r="P568" t="s">
        <v>1095</v>
      </c>
      <c r="Q568" t="s">
        <v>3075</v>
      </c>
      <c r="R568">
        <v>2</v>
      </c>
      <c r="S568">
        <v>26344</v>
      </c>
      <c r="T568">
        <v>8366</v>
      </c>
      <c r="U568">
        <v>8370</v>
      </c>
      <c r="V568">
        <v>2298</v>
      </c>
      <c r="W568">
        <v>1</v>
      </c>
    </row>
    <row r="569" spans="1:23" x14ac:dyDescent="0.25">
      <c r="A569" t="s">
        <v>1591</v>
      </c>
      <c r="B569" t="s">
        <v>1592</v>
      </c>
      <c r="C569">
        <v>116</v>
      </c>
      <c r="D569">
        <v>78161</v>
      </c>
      <c r="E569">
        <v>77199664047</v>
      </c>
      <c r="F569">
        <v>987282</v>
      </c>
      <c r="G569">
        <v>987815</v>
      </c>
      <c r="H569">
        <v>987851</v>
      </c>
      <c r="I569">
        <v>569</v>
      </c>
      <c r="J569">
        <v>0.06</v>
      </c>
      <c r="K569">
        <v>987701</v>
      </c>
      <c r="L569">
        <v>419</v>
      </c>
      <c r="M569">
        <v>0.04</v>
      </c>
      <c r="N569">
        <v>984400</v>
      </c>
      <c r="O569">
        <v>988000</v>
      </c>
      <c r="R569">
        <v>1</v>
      </c>
      <c r="S569">
        <v>955</v>
      </c>
      <c r="T569">
        <v>987851</v>
      </c>
      <c r="U569">
        <v>987997</v>
      </c>
      <c r="V569">
        <v>23</v>
      </c>
      <c r="W569">
        <v>1</v>
      </c>
    </row>
    <row r="570" spans="1:23" x14ac:dyDescent="0.25">
      <c r="A570" t="s">
        <v>1593</v>
      </c>
      <c r="B570" t="s">
        <v>1594</v>
      </c>
      <c r="C570">
        <v>0</v>
      </c>
      <c r="D570">
        <v>0</v>
      </c>
      <c r="E570">
        <v>0</v>
      </c>
      <c r="F570">
        <v>1</v>
      </c>
      <c r="G570">
        <v>0</v>
      </c>
      <c r="H570">
        <v>1</v>
      </c>
      <c r="I570">
        <v>0</v>
      </c>
      <c r="J570">
        <v>0</v>
      </c>
      <c r="K570">
        <v>1</v>
      </c>
      <c r="L570">
        <v>0</v>
      </c>
      <c r="M570">
        <v>0</v>
      </c>
      <c r="N570">
        <v>0</v>
      </c>
      <c r="O570">
        <v>0</v>
      </c>
      <c r="R570">
        <v>1</v>
      </c>
      <c r="S570">
        <v>25</v>
      </c>
      <c r="T570">
        <v>166</v>
      </c>
      <c r="U570">
        <v>0</v>
      </c>
      <c r="V570">
        <v>0</v>
      </c>
      <c r="W570">
        <v>0</v>
      </c>
    </row>
    <row r="571" spans="1:23" x14ac:dyDescent="0.25">
      <c r="A571" t="s">
        <v>1595</v>
      </c>
      <c r="B571" t="s">
        <v>1596</v>
      </c>
      <c r="C571">
        <v>20</v>
      </c>
      <c r="D571">
        <v>11807</v>
      </c>
      <c r="E571">
        <v>7979759600</v>
      </c>
      <c r="F571">
        <v>675425</v>
      </c>
      <c r="G571">
        <v>675425</v>
      </c>
      <c r="H571">
        <v>676000</v>
      </c>
      <c r="I571">
        <v>575</v>
      </c>
      <c r="J571">
        <v>0.09</v>
      </c>
      <c r="K571">
        <v>675850</v>
      </c>
      <c r="L571">
        <v>425</v>
      </c>
      <c r="M571">
        <v>0.06</v>
      </c>
      <c r="N571">
        <v>675425</v>
      </c>
      <c r="O571">
        <v>676400</v>
      </c>
      <c r="R571">
        <v>1</v>
      </c>
      <c r="S571">
        <v>450</v>
      </c>
      <c r="T571">
        <v>676000</v>
      </c>
      <c r="U571">
        <v>676290</v>
      </c>
      <c r="V571">
        <v>60</v>
      </c>
      <c r="W571">
        <v>1</v>
      </c>
    </row>
    <row r="572" spans="1:23" x14ac:dyDescent="0.25">
      <c r="A572" t="s">
        <v>1597</v>
      </c>
      <c r="B572" t="s">
        <v>1598</v>
      </c>
      <c r="C572">
        <v>247</v>
      </c>
      <c r="D572">
        <v>504884</v>
      </c>
      <c r="E572">
        <v>14494830816</v>
      </c>
      <c r="F572">
        <v>27346</v>
      </c>
      <c r="G572">
        <v>28710</v>
      </c>
      <c r="H572">
        <v>28713</v>
      </c>
      <c r="I572">
        <v>1367</v>
      </c>
      <c r="J572">
        <v>5</v>
      </c>
      <c r="K572">
        <v>28709</v>
      </c>
      <c r="L572">
        <v>1363</v>
      </c>
      <c r="M572">
        <v>4.9800000000000004</v>
      </c>
      <c r="N572">
        <v>28700</v>
      </c>
      <c r="O572">
        <v>28713</v>
      </c>
      <c r="P572" t="s">
        <v>1599</v>
      </c>
      <c r="Q572" t="s">
        <v>3076</v>
      </c>
      <c r="R572">
        <v>16</v>
      </c>
      <c r="S572">
        <v>39505</v>
      </c>
      <c r="T572">
        <v>28713</v>
      </c>
      <c r="U572">
        <v>0</v>
      </c>
      <c r="V572">
        <v>0</v>
      </c>
      <c r="W572">
        <v>0</v>
      </c>
    </row>
    <row r="573" spans="1:23" x14ac:dyDescent="0.25">
      <c r="A573" t="s">
        <v>1600</v>
      </c>
      <c r="B573" t="s">
        <v>1601</v>
      </c>
      <c r="C573">
        <v>0</v>
      </c>
      <c r="D573">
        <v>0</v>
      </c>
      <c r="E573">
        <v>0</v>
      </c>
      <c r="F573">
        <v>3561</v>
      </c>
      <c r="G573">
        <v>0</v>
      </c>
      <c r="H573">
        <v>3561</v>
      </c>
      <c r="I573">
        <v>0</v>
      </c>
      <c r="J573">
        <v>0</v>
      </c>
      <c r="K573">
        <v>3561</v>
      </c>
      <c r="L573">
        <v>0</v>
      </c>
      <c r="M573">
        <v>0</v>
      </c>
      <c r="N573">
        <v>0</v>
      </c>
      <c r="O573">
        <v>0</v>
      </c>
      <c r="P573" t="s">
        <v>287</v>
      </c>
      <c r="Q573" t="s">
        <v>2692</v>
      </c>
      <c r="R573">
        <v>0</v>
      </c>
      <c r="S573">
        <v>0</v>
      </c>
      <c r="T573">
        <v>0</v>
      </c>
      <c r="U573">
        <v>3700</v>
      </c>
      <c r="V573">
        <v>4000</v>
      </c>
      <c r="W573">
        <v>1</v>
      </c>
    </row>
    <row r="574" spans="1:23" x14ac:dyDescent="0.25">
      <c r="A574" t="s">
        <v>3077</v>
      </c>
      <c r="B574" t="s">
        <v>887</v>
      </c>
      <c r="C574">
        <v>1</v>
      </c>
      <c r="D574">
        <v>24</v>
      </c>
      <c r="E574">
        <v>240</v>
      </c>
      <c r="F574">
        <v>408995</v>
      </c>
      <c r="G574">
        <v>10</v>
      </c>
      <c r="H574">
        <v>10</v>
      </c>
      <c r="I574">
        <v>-408985</v>
      </c>
      <c r="J574">
        <v>-100</v>
      </c>
      <c r="K574">
        <v>10</v>
      </c>
      <c r="L574">
        <v>-408985</v>
      </c>
      <c r="M574">
        <v>-100</v>
      </c>
      <c r="N574">
        <v>10</v>
      </c>
      <c r="O574">
        <v>10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</row>
    <row r="575" spans="1:23" x14ac:dyDescent="0.25">
      <c r="A575" t="s">
        <v>1602</v>
      </c>
      <c r="B575" t="s">
        <v>1603</v>
      </c>
      <c r="C575">
        <v>0</v>
      </c>
      <c r="D575">
        <v>0</v>
      </c>
      <c r="E575">
        <v>0</v>
      </c>
      <c r="F575">
        <v>69</v>
      </c>
      <c r="G575">
        <v>0</v>
      </c>
      <c r="H575">
        <v>75</v>
      </c>
      <c r="I575">
        <v>6</v>
      </c>
      <c r="J575">
        <v>8.6999999999999993</v>
      </c>
      <c r="K575">
        <v>69</v>
      </c>
      <c r="L575">
        <v>0</v>
      </c>
      <c r="M575">
        <v>0</v>
      </c>
      <c r="N575">
        <v>0</v>
      </c>
      <c r="O575">
        <v>0</v>
      </c>
      <c r="P575" t="s">
        <v>1604</v>
      </c>
      <c r="Q575" t="s">
        <v>1605</v>
      </c>
      <c r="R575">
        <v>1</v>
      </c>
      <c r="S575">
        <v>5000</v>
      </c>
      <c r="T575">
        <v>831</v>
      </c>
      <c r="U575">
        <v>0</v>
      </c>
      <c r="V575">
        <v>0</v>
      </c>
      <c r="W575">
        <v>0</v>
      </c>
    </row>
    <row r="576" spans="1:23" x14ac:dyDescent="0.25">
      <c r="A576" t="s">
        <v>1606</v>
      </c>
      <c r="B576" t="s">
        <v>1607</v>
      </c>
      <c r="C576">
        <v>443</v>
      </c>
      <c r="D576">
        <v>357087</v>
      </c>
      <c r="E576">
        <v>9225970469</v>
      </c>
      <c r="F576">
        <v>25973</v>
      </c>
      <c r="G576">
        <v>26420</v>
      </c>
      <c r="H576">
        <v>25497</v>
      </c>
      <c r="I576">
        <v>-476</v>
      </c>
      <c r="J576">
        <v>-1.83</v>
      </c>
      <c r="K576">
        <v>25837</v>
      </c>
      <c r="L576">
        <v>-136</v>
      </c>
      <c r="M576">
        <v>-0.52</v>
      </c>
      <c r="N576">
        <v>25300</v>
      </c>
      <c r="O576">
        <v>26420</v>
      </c>
      <c r="P576" t="s">
        <v>1608</v>
      </c>
      <c r="Q576" t="s">
        <v>3078</v>
      </c>
      <c r="R576">
        <v>1</v>
      </c>
      <c r="S576">
        <v>150</v>
      </c>
      <c r="T576">
        <v>25314</v>
      </c>
      <c r="U576">
        <v>25400</v>
      </c>
      <c r="V576">
        <v>688</v>
      </c>
      <c r="W576">
        <v>1</v>
      </c>
    </row>
    <row r="577" spans="1:23" x14ac:dyDescent="0.25">
      <c r="A577" t="s">
        <v>1609</v>
      </c>
      <c r="B577" t="s">
        <v>1610</v>
      </c>
      <c r="C577">
        <v>0</v>
      </c>
      <c r="D577">
        <v>0</v>
      </c>
      <c r="E577">
        <v>0</v>
      </c>
      <c r="F577">
        <v>965558</v>
      </c>
      <c r="G577">
        <v>0</v>
      </c>
      <c r="H577">
        <v>965558</v>
      </c>
      <c r="I577">
        <v>0</v>
      </c>
      <c r="J577">
        <v>0</v>
      </c>
      <c r="K577">
        <v>965558</v>
      </c>
      <c r="L577">
        <v>0</v>
      </c>
      <c r="M577">
        <v>0</v>
      </c>
      <c r="N577">
        <v>0</v>
      </c>
      <c r="O577">
        <v>0</v>
      </c>
      <c r="R577">
        <v>1</v>
      </c>
      <c r="S577">
        <v>146</v>
      </c>
      <c r="T577">
        <v>943897</v>
      </c>
      <c r="U577">
        <v>968100</v>
      </c>
      <c r="V577">
        <v>246</v>
      </c>
      <c r="W577">
        <v>1</v>
      </c>
    </row>
    <row r="578" spans="1:23" x14ac:dyDescent="0.25">
      <c r="A578" t="s">
        <v>1611</v>
      </c>
      <c r="B578" t="s">
        <v>1612</v>
      </c>
      <c r="C578">
        <v>313</v>
      </c>
      <c r="D578">
        <v>1505741</v>
      </c>
      <c r="E578">
        <v>11825784793</v>
      </c>
      <c r="F578">
        <v>7521</v>
      </c>
      <c r="G578">
        <v>7595</v>
      </c>
      <c r="H578">
        <v>7897</v>
      </c>
      <c r="I578">
        <v>376</v>
      </c>
      <c r="J578">
        <v>5</v>
      </c>
      <c r="K578">
        <v>7854</v>
      </c>
      <c r="L578">
        <v>333</v>
      </c>
      <c r="M578">
        <v>4.43</v>
      </c>
      <c r="N578">
        <v>7400</v>
      </c>
      <c r="O578">
        <v>7897</v>
      </c>
      <c r="P578" t="s">
        <v>771</v>
      </c>
      <c r="Q578" t="s">
        <v>2967</v>
      </c>
      <c r="R578">
        <v>2</v>
      </c>
      <c r="S578">
        <v>8100</v>
      </c>
      <c r="T578">
        <v>7897</v>
      </c>
      <c r="U578">
        <v>7924</v>
      </c>
      <c r="V578">
        <v>1780</v>
      </c>
      <c r="W578">
        <v>1</v>
      </c>
    </row>
    <row r="579" spans="1:23" x14ac:dyDescent="0.25">
      <c r="A579" t="s">
        <v>1613</v>
      </c>
      <c r="B579" t="s">
        <v>1614</v>
      </c>
      <c r="C579">
        <v>0</v>
      </c>
      <c r="D579">
        <v>0</v>
      </c>
      <c r="E579">
        <v>0</v>
      </c>
      <c r="F579">
        <v>91</v>
      </c>
      <c r="G579">
        <v>0</v>
      </c>
      <c r="H579">
        <v>98</v>
      </c>
      <c r="I579">
        <v>7</v>
      </c>
      <c r="J579">
        <v>7.69</v>
      </c>
      <c r="K579">
        <v>91</v>
      </c>
      <c r="L579">
        <v>0</v>
      </c>
      <c r="M579">
        <v>0</v>
      </c>
      <c r="N579">
        <v>0</v>
      </c>
      <c r="O579">
        <v>0</v>
      </c>
      <c r="R579">
        <v>1</v>
      </c>
      <c r="S579">
        <v>100</v>
      </c>
      <c r="T579">
        <v>16</v>
      </c>
      <c r="U579">
        <v>199</v>
      </c>
      <c r="V579">
        <v>50</v>
      </c>
      <c r="W579">
        <v>1</v>
      </c>
    </row>
    <row r="580" spans="1:23" x14ac:dyDescent="0.25">
      <c r="A580" t="s">
        <v>3079</v>
      </c>
      <c r="B580" t="s">
        <v>3080</v>
      </c>
      <c r="C580">
        <v>0</v>
      </c>
      <c r="D580">
        <v>0</v>
      </c>
      <c r="E580">
        <v>0</v>
      </c>
      <c r="F580">
        <v>1</v>
      </c>
      <c r="G580">
        <v>0</v>
      </c>
      <c r="H580">
        <v>1</v>
      </c>
      <c r="I580">
        <v>0</v>
      </c>
      <c r="J580">
        <v>0</v>
      </c>
      <c r="K580">
        <v>1</v>
      </c>
      <c r="L580">
        <v>0</v>
      </c>
      <c r="M580">
        <v>0</v>
      </c>
      <c r="N580">
        <v>0</v>
      </c>
      <c r="O580">
        <v>0</v>
      </c>
      <c r="R580">
        <v>2</v>
      </c>
      <c r="S580">
        <v>195</v>
      </c>
      <c r="T580">
        <v>10</v>
      </c>
      <c r="U580">
        <v>0</v>
      </c>
      <c r="V580">
        <v>0</v>
      </c>
      <c r="W580">
        <v>0</v>
      </c>
    </row>
    <row r="581" spans="1:23" x14ac:dyDescent="0.25">
      <c r="A581" t="s">
        <v>1615</v>
      </c>
      <c r="B581" t="s">
        <v>1616</v>
      </c>
      <c r="C581">
        <v>450</v>
      </c>
      <c r="D581">
        <v>415393</v>
      </c>
      <c r="E581">
        <v>21919630391</v>
      </c>
      <c r="F581">
        <v>50695</v>
      </c>
      <c r="G581">
        <v>52139</v>
      </c>
      <c r="H581">
        <v>53229</v>
      </c>
      <c r="I581">
        <v>2534</v>
      </c>
      <c r="J581">
        <v>5</v>
      </c>
      <c r="K581">
        <v>52768</v>
      </c>
      <c r="L581">
        <v>2073</v>
      </c>
      <c r="M581">
        <v>4.09</v>
      </c>
      <c r="N581">
        <v>51550</v>
      </c>
      <c r="O581">
        <v>53229</v>
      </c>
      <c r="P581" t="s">
        <v>1617</v>
      </c>
      <c r="Q581" t="s">
        <v>3081</v>
      </c>
      <c r="R581">
        <v>50</v>
      </c>
      <c r="S581">
        <v>60468</v>
      </c>
      <c r="T581">
        <v>53229</v>
      </c>
      <c r="U581">
        <v>53900</v>
      </c>
      <c r="V581">
        <v>19</v>
      </c>
      <c r="W581">
        <v>1</v>
      </c>
    </row>
    <row r="582" spans="1:23" x14ac:dyDescent="0.25">
      <c r="A582" t="s">
        <v>1618</v>
      </c>
      <c r="B582" t="s">
        <v>1619</v>
      </c>
      <c r="C582">
        <v>651</v>
      </c>
      <c r="D582">
        <v>4733113</v>
      </c>
      <c r="E582">
        <v>16712356205</v>
      </c>
      <c r="F582">
        <v>3416</v>
      </c>
      <c r="G582">
        <v>3520</v>
      </c>
      <c r="H582">
        <v>3522</v>
      </c>
      <c r="I582">
        <v>106</v>
      </c>
      <c r="J582">
        <v>3.1</v>
      </c>
      <c r="K582">
        <v>3531</v>
      </c>
      <c r="L582">
        <v>115</v>
      </c>
      <c r="M582">
        <v>3.37</v>
      </c>
      <c r="N582">
        <v>3490</v>
      </c>
      <c r="O582">
        <v>3553</v>
      </c>
      <c r="P582" t="s">
        <v>2693</v>
      </c>
      <c r="Q582" t="s">
        <v>3082</v>
      </c>
      <c r="R582">
        <v>1</v>
      </c>
      <c r="S582">
        <v>1388</v>
      </c>
      <c r="T582">
        <v>3530</v>
      </c>
      <c r="U582">
        <v>3534</v>
      </c>
      <c r="V582">
        <v>14733</v>
      </c>
      <c r="W582">
        <v>1</v>
      </c>
    </row>
    <row r="583" spans="1:23" x14ac:dyDescent="0.25">
      <c r="A583" t="s">
        <v>1620</v>
      </c>
      <c r="B583" t="s">
        <v>1621</v>
      </c>
      <c r="C583">
        <v>340</v>
      </c>
      <c r="D583">
        <v>1716168</v>
      </c>
      <c r="E583">
        <v>6480820014</v>
      </c>
      <c r="F583">
        <v>3855</v>
      </c>
      <c r="G583">
        <v>4100</v>
      </c>
      <c r="H583">
        <v>3765</v>
      </c>
      <c r="I583">
        <v>-90</v>
      </c>
      <c r="J583">
        <v>-2.33</v>
      </c>
      <c r="K583">
        <v>3776</v>
      </c>
      <c r="L583">
        <v>-79</v>
      </c>
      <c r="M583">
        <v>-2.0499999999999998</v>
      </c>
      <c r="N583">
        <v>3640</v>
      </c>
      <c r="O583">
        <v>4100</v>
      </c>
      <c r="P583" t="s">
        <v>745</v>
      </c>
      <c r="Q583" t="s">
        <v>3083</v>
      </c>
      <c r="R583">
        <v>2</v>
      </c>
      <c r="S583">
        <v>10320</v>
      </c>
      <c r="T583">
        <v>3723</v>
      </c>
      <c r="U583">
        <v>3765</v>
      </c>
      <c r="V583">
        <v>13909</v>
      </c>
      <c r="W583">
        <v>2</v>
      </c>
    </row>
    <row r="584" spans="1:23" x14ac:dyDescent="0.25">
      <c r="A584" t="s">
        <v>1622</v>
      </c>
      <c r="B584" t="s">
        <v>1623</v>
      </c>
      <c r="C584">
        <v>0</v>
      </c>
      <c r="D584">
        <v>0</v>
      </c>
      <c r="E584">
        <v>0</v>
      </c>
      <c r="F584">
        <v>1</v>
      </c>
      <c r="G584">
        <v>0</v>
      </c>
      <c r="H584">
        <v>1</v>
      </c>
      <c r="I584">
        <v>0</v>
      </c>
      <c r="J584">
        <v>0</v>
      </c>
      <c r="K584">
        <v>1</v>
      </c>
      <c r="L584">
        <v>0</v>
      </c>
      <c r="M584">
        <v>0</v>
      </c>
      <c r="N584">
        <v>0</v>
      </c>
      <c r="O584">
        <v>0</v>
      </c>
      <c r="R584">
        <v>1</v>
      </c>
      <c r="S584">
        <v>100</v>
      </c>
      <c r="T584">
        <v>66</v>
      </c>
      <c r="U584">
        <v>0</v>
      </c>
      <c r="V584">
        <v>0</v>
      </c>
      <c r="W584">
        <v>0</v>
      </c>
    </row>
    <row r="585" spans="1:23" x14ac:dyDescent="0.25">
      <c r="A585" t="s">
        <v>3084</v>
      </c>
      <c r="B585" t="s">
        <v>3085</v>
      </c>
      <c r="C585">
        <v>0</v>
      </c>
      <c r="D585">
        <v>0</v>
      </c>
      <c r="E585">
        <v>0</v>
      </c>
      <c r="F585">
        <v>199247</v>
      </c>
      <c r="G585">
        <v>0</v>
      </c>
      <c r="H585">
        <v>199247</v>
      </c>
      <c r="I585">
        <v>0</v>
      </c>
      <c r="J585">
        <v>0</v>
      </c>
      <c r="K585">
        <v>199247</v>
      </c>
      <c r="L585">
        <v>0</v>
      </c>
      <c r="M585">
        <v>0</v>
      </c>
      <c r="N585">
        <v>0</v>
      </c>
      <c r="O585">
        <v>0</v>
      </c>
      <c r="R585">
        <v>1</v>
      </c>
      <c r="S585">
        <v>6</v>
      </c>
      <c r="T585">
        <v>189285</v>
      </c>
      <c r="U585">
        <v>0</v>
      </c>
      <c r="V585">
        <v>0</v>
      </c>
      <c r="W585">
        <v>0</v>
      </c>
    </row>
    <row r="586" spans="1:23" x14ac:dyDescent="0.25">
      <c r="A586" t="s">
        <v>1624</v>
      </c>
      <c r="B586" t="s">
        <v>1625</v>
      </c>
      <c r="C586">
        <v>191</v>
      </c>
      <c r="D586">
        <v>370925</v>
      </c>
      <c r="E586">
        <v>5747650287</v>
      </c>
      <c r="F586">
        <v>14809</v>
      </c>
      <c r="G586">
        <v>15274</v>
      </c>
      <c r="H586">
        <v>15549</v>
      </c>
      <c r="I586">
        <v>740</v>
      </c>
      <c r="J586">
        <v>5</v>
      </c>
      <c r="K586">
        <v>15495</v>
      </c>
      <c r="L586">
        <v>686</v>
      </c>
      <c r="M586">
        <v>4.63</v>
      </c>
      <c r="N586">
        <v>15256</v>
      </c>
      <c r="O586">
        <v>15549</v>
      </c>
      <c r="P586" t="s">
        <v>1626</v>
      </c>
      <c r="Q586" t="s">
        <v>3086</v>
      </c>
      <c r="R586">
        <v>34</v>
      </c>
      <c r="S586">
        <v>131632</v>
      </c>
      <c r="T586">
        <v>15549</v>
      </c>
      <c r="U586">
        <v>0</v>
      </c>
      <c r="V586">
        <v>0</v>
      </c>
      <c r="W586">
        <v>0</v>
      </c>
    </row>
    <row r="587" spans="1:23" x14ac:dyDescent="0.25">
      <c r="A587" t="s">
        <v>1627</v>
      </c>
      <c r="B587" t="s">
        <v>1628</v>
      </c>
      <c r="C587">
        <v>1489</v>
      </c>
      <c r="D587">
        <v>11747047</v>
      </c>
      <c r="E587">
        <v>107599946484</v>
      </c>
      <c r="F587">
        <v>9164</v>
      </c>
      <c r="G587">
        <v>9200</v>
      </c>
      <c r="H587">
        <v>9201</v>
      </c>
      <c r="I587">
        <v>37</v>
      </c>
      <c r="J587">
        <v>0.4</v>
      </c>
      <c r="K587">
        <v>9160</v>
      </c>
      <c r="L587">
        <v>-4</v>
      </c>
      <c r="M587">
        <v>-0.04</v>
      </c>
      <c r="N587">
        <v>8872</v>
      </c>
      <c r="O587">
        <v>9390</v>
      </c>
      <c r="P587" t="s">
        <v>1629</v>
      </c>
      <c r="Q587" t="s">
        <v>3087</v>
      </c>
      <c r="R587">
        <v>2</v>
      </c>
      <c r="S587">
        <v>15200</v>
      </c>
      <c r="T587">
        <v>9180</v>
      </c>
      <c r="U587">
        <v>9200</v>
      </c>
      <c r="V587">
        <v>89617</v>
      </c>
      <c r="W587">
        <v>2</v>
      </c>
    </row>
    <row r="588" spans="1:23" x14ac:dyDescent="0.25">
      <c r="A588" t="s">
        <v>1630</v>
      </c>
      <c r="B588" t="s">
        <v>1631</v>
      </c>
      <c r="C588">
        <v>0</v>
      </c>
      <c r="D588">
        <v>0</v>
      </c>
      <c r="E588">
        <v>0</v>
      </c>
      <c r="F588">
        <v>13919</v>
      </c>
      <c r="G588">
        <v>0</v>
      </c>
      <c r="H588">
        <v>13000</v>
      </c>
      <c r="I588">
        <v>-919</v>
      </c>
      <c r="J588">
        <v>-6.6</v>
      </c>
      <c r="K588">
        <v>13919</v>
      </c>
      <c r="L588">
        <v>0</v>
      </c>
      <c r="M588">
        <v>0</v>
      </c>
      <c r="N588">
        <v>0</v>
      </c>
      <c r="O588">
        <v>0</v>
      </c>
      <c r="P588" t="s">
        <v>1632</v>
      </c>
      <c r="Q588" t="s">
        <v>2694</v>
      </c>
      <c r="R588">
        <v>1</v>
      </c>
      <c r="S588">
        <v>1000</v>
      </c>
      <c r="T588">
        <v>7000</v>
      </c>
      <c r="U588">
        <v>14000</v>
      </c>
      <c r="V588">
        <v>1743</v>
      </c>
      <c r="W588">
        <v>1</v>
      </c>
    </row>
    <row r="589" spans="1:23" x14ac:dyDescent="0.25">
      <c r="A589" t="s">
        <v>1633</v>
      </c>
      <c r="B589" t="s">
        <v>1634</v>
      </c>
      <c r="C589">
        <v>0</v>
      </c>
      <c r="D589">
        <v>0</v>
      </c>
      <c r="E589">
        <v>0</v>
      </c>
      <c r="F589">
        <v>1350</v>
      </c>
      <c r="G589">
        <v>0</v>
      </c>
      <c r="H589">
        <v>1500</v>
      </c>
      <c r="I589">
        <v>150</v>
      </c>
      <c r="J589">
        <v>11.11</v>
      </c>
      <c r="K589">
        <v>1350</v>
      </c>
      <c r="L589">
        <v>0</v>
      </c>
      <c r="M589">
        <v>0</v>
      </c>
      <c r="N589">
        <v>0</v>
      </c>
      <c r="O589">
        <v>0</v>
      </c>
      <c r="R589">
        <v>1</v>
      </c>
      <c r="S589">
        <v>2</v>
      </c>
      <c r="T589">
        <v>1460</v>
      </c>
      <c r="U589">
        <v>1700</v>
      </c>
      <c r="V589">
        <v>1</v>
      </c>
      <c r="W589">
        <v>1</v>
      </c>
    </row>
    <row r="590" spans="1:23" x14ac:dyDescent="0.25">
      <c r="A590" t="s">
        <v>1635</v>
      </c>
      <c r="B590" t="s">
        <v>1636</v>
      </c>
      <c r="C590">
        <v>208</v>
      </c>
      <c r="D590">
        <v>1213000</v>
      </c>
      <c r="E590">
        <v>24174824134</v>
      </c>
      <c r="F590">
        <v>19016</v>
      </c>
      <c r="G590">
        <v>19939</v>
      </c>
      <c r="H590">
        <v>19966</v>
      </c>
      <c r="I590">
        <v>950</v>
      </c>
      <c r="J590">
        <v>5</v>
      </c>
      <c r="K590">
        <v>19930</v>
      </c>
      <c r="L590">
        <v>914</v>
      </c>
      <c r="M590">
        <v>4.8099999999999996</v>
      </c>
      <c r="N590">
        <v>19500</v>
      </c>
      <c r="O590">
        <v>19966</v>
      </c>
      <c r="P590" t="s">
        <v>1637</v>
      </c>
      <c r="Q590" t="s">
        <v>3088</v>
      </c>
      <c r="R590">
        <v>1</v>
      </c>
      <c r="S590">
        <v>1000</v>
      </c>
      <c r="T590">
        <v>19803</v>
      </c>
      <c r="U590">
        <v>19960</v>
      </c>
      <c r="V590">
        <v>30000</v>
      </c>
      <c r="W590">
        <v>1</v>
      </c>
    </row>
    <row r="591" spans="1:23" x14ac:dyDescent="0.25">
      <c r="A591" t="s">
        <v>1638</v>
      </c>
      <c r="B591" t="s">
        <v>1639</v>
      </c>
      <c r="C591">
        <v>416</v>
      </c>
      <c r="D591">
        <v>1546273</v>
      </c>
      <c r="E591">
        <v>9962025337</v>
      </c>
      <c r="F591">
        <v>6259</v>
      </c>
      <c r="G591">
        <v>6559</v>
      </c>
      <c r="H591">
        <v>6511</v>
      </c>
      <c r="I591">
        <v>252</v>
      </c>
      <c r="J591">
        <v>4.03</v>
      </c>
      <c r="K591">
        <v>6443</v>
      </c>
      <c r="L591">
        <v>184</v>
      </c>
      <c r="M591">
        <v>2.94</v>
      </c>
      <c r="N591">
        <v>6300</v>
      </c>
      <c r="O591">
        <v>6559</v>
      </c>
      <c r="P591" t="s">
        <v>1640</v>
      </c>
      <c r="Q591" t="s">
        <v>3089</v>
      </c>
      <c r="R591">
        <v>2</v>
      </c>
      <c r="S591">
        <v>14180</v>
      </c>
      <c r="T591">
        <v>6468</v>
      </c>
      <c r="U591">
        <v>6511</v>
      </c>
      <c r="V591">
        <v>4349</v>
      </c>
      <c r="W591">
        <v>1</v>
      </c>
    </row>
    <row r="592" spans="1:23" x14ac:dyDescent="0.25">
      <c r="A592" t="s">
        <v>1641</v>
      </c>
      <c r="B592" t="s">
        <v>1642</v>
      </c>
      <c r="C592">
        <v>541</v>
      </c>
      <c r="D592">
        <v>2166167</v>
      </c>
      <c r="E592">
        <v>15264489627</v>
      </c>
      <c r="F592">
        <v>6920</v>
      </c>
      <c r="G592">
        <v>7100</v>
      </c>
      <c r="H592">
        <v>6952</v>
      </c>
      <c r="I592">
        <v>32</v>
      </c>
      <c r="J592">
        <v>0.46</v>
      </c>
      <c r="K592">
        <v>7047</v>
      </c>
      <c r="L592">
        <v>127</v>
      </c>
      <c r="M592">
        <v>1.84</v>
      </c>
      <c r="N592">
        <v>6900</v>
      </c>
      <c r="O592">
        <v>7239</v>
      </c>
      <c r="P592" t="s">
        <v>1643</v>
      </c>
      <c r="Q592" t="s">
        <v>2807</v>
      </c>
      <c r="R592">
        <v>1</v>
      </c>
      <c r="S592">
        <v>1000</v>
      </c>
      <c r="T592">
        <v>6952</v>
      </c>
      <c r="U592">
        <v>6960</v>
      </c>
      <c r="V592">
        <v>1000</v>
      </c>
      <c r="W592">
        <v>1</v>
      </c>
    </row>
    <row r="593" spans="1:23" x14ac:dyDescent="0.25">
      <c r="A593" t="s">
        <v>1644</v>
      </c>
      <c r="B593" t="s">
        <v>1645</v>
      </c>
      <c r="C593">
        <v>0</v>
      </c>
      <c r="D593">
        <v>0</v>
      </c>
      <c r="E593">
        <v>0</v>
      </c>
      <c r="F593">
        <v>997117</v>
      </c>
      <c r="G593">
        <v>0</v>
      </c>
      <c r="H593">
        <v>997117</v>
      </c>
      <c r="I593">
        <v>0</v>
      </c>
      <c r="J593">
        <v>0</v>
      </c>
      <c r="K593">
        <v>997117</v>
      </c>
      <c r="L593">
        <v>0</v>
      </c>
      <c r="M593">
        <v>0</v>
      </c>
      <c r="N593">
        <v>0</v>
      </c>
      <c r="O593">
        <v>0</v>
      </c>
      <c r="R593">
        <v>1</v>
      </c>
      <c r="S593">
        <v>1400</v>
      </c>
      <c r="T593">
        <v>980392</v>
      </c>
      <c r="U593">
        <v>1000000</v>
      </c>
      <c r="V593">
        <v>1400</v>
      </c>
      <c r="W593">
        <v>1</v>
      </c>
    </row>
    <row r="594" spans="1:23" x14ac:dyDescent="0.25">
      <c r="A594" t="s">
        <v>1646</v>
      </c>
      <c r="B594" t="s">
        <v>1647</v>
      </c>
      <c r="C594">
        <v>180</v>
      </c>
      <c r="D594">
        <v>627479</v>
      </c>
      <c r="E594">
        <v>3694784992</v>
      </c>
      <c r="F594">
        <v>5880</v>
      </c>
      <c r="G594">
        <v>6116</v>
      </c>
      <c r="H594">
        <v>5822</v>
      </c>
      <c r="I594">
        <v>-58</v>
      </c>
      <c r="J594">
        <v>-0.99</v>
      </c>
      <c r="K594">
        <v>5888</v>
      </c>
      <c r="L594">
        <v>8</v>
      </c>
      <c r="M594">
        <v>0.14000000000000001</v>
      </c>
      <c r="N594">
        <v>5734</v>
      </c>
      <c r="O594">
        <v>6116</v>
      </c>
      <c r="P594" t="s">
        <v>923</v>
      </c>
      <c r="Q594" t="s">
        <v>3090</v>
      </c>
      <c r="R594">
        <v>1</v>
      </c>
      <c r="S594">
        <v>5360</v>
      </c>
      <c r="T594">
        <v>5822</v>
      </c>
      <c r="U594">
        <v>5979</v>
      </c>
      <c r="V594">
        <v>1012</v>
      </c>
      <c r="W594">
        <v>1</v>
      </c>
    </row>
    <row r="595" spans="1:23" x14ac:dyDescent="0.25">
      <c r="A595" t="s">
        <v>1648</v>
      </c>
      <c r="B595" t="s">
        <v>1649</v>
      </c>
      <c r="C595">
        <v>0</v>
      </c>
      <c r="D595">
        <v>0</v>
      </c>
      <c r="E595">
        <v>0</v>
      </c>
      <c r="F595">
        <v>1000000</v>
      </c>
      <c r="G595">
        <v>0</v>
      </c>
      <c r="H595">
        <v>1000000</v>
      </c>
      <c r="I595">
        <v>0</v>
      </c>
      <c r="J595">
        <v>0</v>
      </c>
      <c r="K595">
        <v>1000000</v>
      </c>
      <c r="L595">
        <v>0</v>
      </c>
      <c r="M595">
        <v>0</v>
      </c>
      <c r="N595">
        <v>0</v>
      </c>
      <c r="O595">
        <v>0</v>
      </c>
      <c r="R595">
        <v>1</v>
      </c>
      <c r="S595">
        <v>1248</v>
      </c>
      <c r="T595">
        <v>1000000</v>
      </c>
      <c r="U595">
        <v>1010000</v>
      </c>
      <c r="V595">
        <v>1250</v>
      </c>
      <c r="W595">
        <v>1</v>
      </c>
    </row>
    <row r="596" spans="1:23" x14ac:dyDescent="0.25">
      <c r="A596" t="s">
        <v>1650</v>
      </c>
      <c r="B596" t="s">
        <v>1651</v>
      </c>
      <c r="C596">
        <v>356</v>
      </c>
      <c r="D596">
        <v>3061646</v>
      </c>
      <c r="E596">
        <v>5170104283</v>
      </c>
      <c r="F596">
        <v>1732</v>
      </c>
      <c r="G596">
        <v>1664</v>
      </c>
      <c r="H596">
        <v>1681</v>
      </c>
      <c r="I596">
        <v>-51</v>
      </c>
      <c r="J596">
        <v>-2.94</v>
      </c>
      <c r="K596">
        <v>1689</v>
      </c>
      <c r="L596">
        <v>-43</v>
      </c>
      <c r="M596">
        <v>-2.48</v>
      </c>
      <c r="N596">
        <v>1660</v>
      </c>
      <c r="O596">
        <v>1739</v>
      </c>
      <c r="P596" t="s">
        <v>1652</v>
      </c>
      <c r="Q596" t="s">
        <v>3091</v>
      </c>
      <c r="R596">
        <v>1</v>
      </c>
      <c r="S596">
        <v>1000</v>
      </c>
      <c r="T596">
        <v>1678</v>
      </c>
      <c r="U596">
        <v>1681</v>
      </c>
      <c r="V596">
        <v>8447</v>
      </c>
      <c r="W596">
        <v>1</v>
      </c>
    </row>
    <row r="597" spans="1:23" x14ac:dyDescent="0.25">
      <c r="A597" t="s">
        <v>1653</v>
      </c>
      <c r="B597" t="s">
        <v>1654</v>
      </c>
      <c r="C597">
        <v>729</v>
      </c>
      <c r="D597">
        <v>4182430</v>
      </c>
      <c r="E597">
        <v>15132658118</v>
      </c>
      <c r="F597">
        <v>3662</v>
      </c>
      <c r="G597">
        <v>3679</v>
      </c>
      <c r="H597">
        <v>3590</v>
      </c>
      <c r="I597">
        <v>-72</v>
      </c>
      <c r="J597">
        <v>-1.97</v>
      </c>
      <c r="K597">
        <v>3618</v>
      </c>
      <c r="L597">
        <v>-44</v>
      </c>
      <c r="M597">
        <v>-1.2</v>
      </c>
      <c r="N597">
        <v>3573</v>
      </c>
      <c r="O597">
        <v>3690</v>
      </c>
      <c r="P597" t="s">
        <v>1655</v>
      </c>
      <c r="Q597" t="s">
        <v>2773</v>
      </c>
      <c r="R597">
        <v>1</v>
      </c>
      <c r="S597">
        <v>1530</v>
      </c>
      <c r="T597">
        <v>3590</v>
      </c>
      <c r="U597">
        <v>3594</v>
      </c>
      <c r="V597">
        <v>2200</v>
      </c>
      <c r="W597">
        <v>1</v>
      </c>
    </row>
    <row r="598" spans="1:23" x14ac:dyDescent="0.25">
      <c r="A598" t="s">
        <v>1656</v>
      </c>
      <c r="B598" t="s">
        <v>1657</v>
      </c>
      <c r="C598">
        <v>2607</v>
      </c>
      <c r="D598">
        <v>47682183</v>
      </c>
      <c r="E598">
        <v>130803096806</v>
      </c>
      <c r="F598">
        <v>2615</v>
      </c>
      <c r="G598">
        <v>2745</v>
      </c>
      <c r="H598">
        <v>2742</v>
      </c>
      <c r="I598">
        <v>127</v>
      </c>
      <c r="J598">
        <v>4.8600000000000003</v>
      </c>
      <c r="K598">
        <v>2743</v>
      </c>
      <c r="L598">
        <v>128</v>
      </c>
      <c r="M598">
        <v>4.8899999999999997</v>
      </c>
      <c r="N598">
        <v>2644</v>
      </c>
      <c r="O598">
        <v>2745</v>
      </c>
      <c r="P598" t="s">
        <v>1658</v>
      </c>
      <c r="Q598" t="s">
        <v>2600</v>
      </c>
      <c r="R598">
        <v>2</v>
      </c>
      <c r="S598">
        <v>15800</v>
      </c>
      <c r="T598">
        <v>2740</v>
      </c>
      <c r="U598">
        <v>2742</v>
      </c>
      <c r="V598">
        <v>28914</v>
      </c>
      <c r="W598">
        <v>1</v>
      </c>
    </row>
    <row r="599" spans="1:23" x14ac:dyDescent="0.25">
      <c r="A599" t="s">
        <v>1659</v>
      </c>
      <c r="B599" t="s">
        <v>1660</v>
      </c>
      <c r="C599">
        <v>288</v>
      </c>
      <c r="D599">
        <v>1989468</v>
      </c>
      <c r="E599">
        <v>25196626082</v>
      </c>
      <c r="F599">
        <v>12069</v>
      </c>
      <c r="G599">
        <v>12672</v>
      </c>
      <c r="H599">
        <v>12672</v>
      </c>
      <c r="I599">
        <v>603</v>
      </c>
      <c r="J599">
        <v>5</v>
      </c>
      <c r="K599">
        <v>12665</v>
      </c>
      <c r="L599">
        <v>596</v>
      </c>
      <c r="M599">
        <v>4.9400000000000004</v>
      </c>
      <c r="N599">
        <v>12450</v>
      </c>
      <c r="O599">
        <v>12672</v>
      </c>
      <c r="P599" t="s">
        <v>1661</v>
      </c>
      <c r="Q599" t="s">
        <v>2727</v>
      </c>
      <c r="R599">
        <v>4</v>
      </c>
      <c r="S599">
        <v>53748</v>
      </c>
      <c r="T599">
        <v>12507</v>
      </c>
      <c r="U599">
        <v>12672</v>
      </c>
      <c r="V599">
        <v>54358</v>
      </c>
      <c r="W599">
        <v>3</v>
      </c>
    </row>
    <row r="600" spans="1:23" x14ac:dyDescent="0.25">
      <c r="A600" t="s">
        <v>1662</v>
      </c>
      <c r="B600" t="s">
        <v>1663</v>
      </c>
      <c r="C600">
        <v>0</v>
      </c>
      <c r="D600">
        <v>0</v>
      </c>
      <c r="E600">
        <v>0</v>
      </c>
      <c r="F600">
        <v>6300</v>
      </c>
      <c r="G600">
        <v>0</v>
      </c>
      <c r="H600">
        <v>6300</v>
      </c>
      <c r="I600">
        <v>0</v>
      </c>
      <c r="J600">
        <v>0</v>
      </c>
      <c r="K600">
        <v>6300</v>
      </c>
      <c r="L600">
        <v>0</v>
      </c>
      <c r="M600">
        <v>0</v>
      </c>
      <c r="N600">
        <v>0</v>
      </c>
      <c r="O600">
        <v>0</v>
      </c>
      <c r="P600" t="s">
        <v>1664</v>
      </c>
      <c r="Q600" t="s">
        <v>1665</v>
      </c>
      <c r="R600">
        <v>1</v>
      </c>
      <c r="S600">
        <v>2000</v>
      </c>
      <c r="T600">
        <v>7001</v>
      </c>
      <c r="U600">
        <v>14900</v>
      </c>
      <c r="V600">
        <v>1860</v>
      </c>
      <c r="W600">
        <v>1</v>
      </c>
    </row>
    <row r="601" spans="1:23" x14ac:dyDescent="0.25">
      <c r="A601" t="s">
        <v>1666</v>
      </c>
      <c r="B601" t="s">
        <v>1667</v>
      </c>
      <c r="C601">
        <v>130</v>
      </c>
      <c r="D601">
        <v>338610</v>
      </c>
      <c r="E601">
        <v>5715398190</v>
      </c>
      <c r="F601">
        <v>16076</v>
      </c>
      <c r="G601">
        <v>16879</v>
      </c>
      <c r="H601">
        <v>16879</v>
      </c>
      <c r="I601">
        <v>803</v>
      </c>
      <c r="J601">
        <v>5</v>
      </c>
      <c r="K601">
        <v>16756</v>
      </c>
      <c r="L601">
        <v>680</v>
      </c>
      <c r="M601">
        <v>4.2300000000000004</v>
      </c>
      <c r="N601">
        <v>16879</v>
      </c>
      <c r="O601">
        <v>16879</v>
      </c>
      <c r="P601" t="s">
        <v>1668</v>
      </c>
      <c r="Q601" t="s">
        <v>3092</v>
      </c>
      <c r="R601">
        <v>453</v>
      </c>
      <c r="S601">
        <v>1229778</v>
      </c>
      <c r="T601">
        <v>16879</v>
      </c>
      <c r="U601">
        <v>0</v>
      </c>
      <c r="V601">
        <v>0</v>
      </c>
      <c r="W601">
        <v>0</v>
      </c>
    </row>
    <row r="602" spans="1:23" x14ac:dyDescent="0.25">
      <c r="A602" t="s">
        <v>1669</v>
      </c>
      <c r="B602" t="s">
        <v>1670</v>
      </c>
      <c r="C602">
        <v>0</v>
      </c>
      <c r="D602">
        <v>0</v>
      </c>
      <c r="E602">
        <v>0</v>
      </c>
      <c r="F602">
        <v>1</v>
      </c>
      <c r="G602">
        <v>0</v>
      </c>
      <c r="H602">
        <v>1</v>
      </c>
      <c r="I602">
        <v>0</v>
      </c>
      <c r="J602">
        <v>0</v>
      </c>
      <c r="K602">
        <v>1</v>
      </c>
      <c r="L602">
        <v>0</v>
      </c>
      <c r="M602">
        <v>0</v>
      </c>
      <c r="N602">
        <v>0</v>
      </c>
      <c r="O602">
        <v>0</v>
      </c>
      <c r="R602">
        <v>3</v>
      </c>
      <c r="S602">
        <v>300</v>
      </c>
      <c r="T602">
        <v>26</v>
      </c>
      <c r="U602">
        <v>0</v>
      </c>
      <c r="V602">
        <v>0</v>
      </c>
      <c r="W602">
        <v>0</v>
      </c>
    </row>
    <row r="603" spans="1:23" x14ac:dyDescent="0.25">
      <c r="A603" t="s">
        <v>2696</v>
      </c>
      <c r="B603" t="s">
        <v>2697</v>
      </c>
      <c r="C603">
        <v>0</v>
      </c>
      <c r="D603">
        <v>0</v>
      </c>
      <c r="E603">
        <v>0</v>
      </c>
      <c r="F603">
        <v>1</v>
      </c>
      <c r="G603">
        <v>0</v>
      </c>
      <c r="H603">
        <v>1</v>
      </c>
      <c r="I603">
        <v>0</v>
      </c>
      <c r="J603">
        <v>0</v>
      </c>
      <c r="K603">
        <v>1</v>
      </c>
      <c r="L603">
        <v>0</v>
      </c>
      <c r="M603">
        <v>0</v>
      </c>
      <c r="N603">
        <v>0</v>
      </c>
      <c r="O603">
        <v>0</v>
      </c>
      <c r="R603">
        <v>1</v>
      </c>
      <c r="S603">
        <v>500</v>
      </c>
      <c r="T603">
        <v>2000</v>
      </c>
      <c r="U603">
        <v>0</v>
      </c>
      <c r="V603">
        <v>0</v>
      </c>
      <c r="W603">
        <v>0</v>
      </c>
    </row>
    <row r="604" spans="1:23" x14ac:dyDescent="0.25">
      <c r="A604" t="s">
        <v>1671</v>
      </c>
      <c r="B604" t="s">
        <v>1672</v>
      </c>
      <c r="C604">
        <v>0</v>
      </c>
      <c r="D604">
        <v>0</v>
      </c>
      <c r="E604">
        <v>0</v>
      </c>
      <c r="F604">
        <v>2300</v>
      </c>
      <c r="G604">
        <v>0</v>
      </c>
      <c r="H604">
        <v>2299</v>
      </c>
      <c r="I604">
        <v>-1</v>
      </c>
      <c r="J604">
        <v>-0.04</v>
      </c>
      <c r="K604">
        <v>2300</v>
      </c>
      <c r="L604">
        <v>0</v>
      </c>
      <c r="M604">
        <v>0</v>
      </c>
      <c r="N604">
        <v>0</v>
      </c>
      <c r="O604">
        <v>0</v>
      </c>
      <c r="P604" t="s">
        <v>1673</v>
      </c>
      <c r="Q604" t="s">
        <v>2698</v>
      </c>
      <c r="R604">
        <v>1</v>
      </c>
      <c r="S604">
        <v>34152</v>
      </c>
      <c r="T604">
        <v>2040</v>
      </c>
      <c r="U604">
        <v>2300</v>
      </c>
      <c r="V604">
        <v>11500</v>
      </c>
      <c r="W604">
        <v>1</v>
      </c>
    </row>
    <row r="605" spans="1:23" x14ac:dyDescent="0.25">
      <c r="A605" t="s">
        <v>1674</v>
      </c>
      <c r="B605" t="s">
        <v>1675</v>
      </c>
      <c r="C605">
        <v>132</v>
      </c>
      <c r="D605">
        <v>2196016</v>
      </c>
      <c r="E605">
        <v>12585367696</v>
      </c>
      <c r="F605">
        <v>5459</v>
      </c>
      <c r="G605">
        <v>5731</v>
      </c>
      <c r="H605">
        <v>5731</v>
      </c>
      <c r="I605">
        <v>272</v>
      </c>
      <c r="J605">
        <v>4.9800000000000004</v>
      </c>
      <c r="K605">
        <v>5731</v>
      </c>
      <c r="L605">
        <v>272</v>
      </c>
      <c r="M605">
        <v>4.9800000000000004</v>
      </c>
      <c r="N605">
        <v>5731</v>
      </c>
      <c r="O605">
        <v>5731</v>
      </c>
      <c r="P605" t="s">
        <v>1676</v>
      </c>
      <c r="Q605" t="s">
        <v>3093</v>
      </c>
      <c r="R605">
        <v>169</v>
      </c>
      <c r="S605">
        <v>2494562</v>
      </c>
      <c r="T605">
        <v>5731</v>
      </c>
      <c r="U605">
        <v>0</v>
      </c>
      <c r="V605">
        <v>0</v>
      </c>
      <c r="W605">
        <v>0</v>
      </c>
    </row>
    <row r="606" spans="1:23" x14ac:dyDescent="0.25">
      <c r="A606" t="s">
        <v>1677</v>
      </c>
      <c r="B606" t="s">
        <v>1678</v>
      </c>
      <c r="C606">
        <v>194</v>
      </c>
      <c r="D606">
        <v>200187</v>
      </c>
      <c r="E606">
        <v>3979540483</v>
      </c>
      <c r="F606">
        <v>20200</v>
      </c>
      <c r="G606">
        <v>20200</v>
      </c>
      <c r="H606">
        <v>19773</v>
      </c>
      <c r="I606">
        <v>-427</v>
      </c>
      <c r="J606">
        <v>-2.11</v>
      </c>
      <c r="K606">
        <v>19879</v>
      </c>
      <c r="L606">
        <v>-321</v>
      </c>
      <c r="M606">
        <v>-1.59</v>
      </c>
      <c r="N606">
        <v>19600</v>
      </c>
      <c r="O606">
        <v>20900</v>
      </c>
      <c r="P606" t="s">
        <v>1679</v>
      </c>
      <c r="Q606" t="s">
        <v>3094</v>
      </c>
      <c r="R606">
        <v>1</v>
      </c>
      <c r="S606">
        <v>758</v>
      </c>
      <c r="T606">
        <v>19632</v>
      </c>
      <c r="U606">
        <v>19774</v>
      </c>
      <c r="V606">
        <v>80</v>
      </c>
      <c r="W606">
        <v>1</v>
      </c>
    </row>
    <row r="607" spans="1:23" x14ac:dyDescent="0.25">
      <c r="A607" t="s">
        <v>1680</v>
      </c>
      <c r="B607" t="s">
        <v>1681</v>
      </c>
      <c r="C607">
        <v>1</v>
      </c>
      <c r="D607">
        <v>9</v>
      </c>
      <c r="E607">
        <v>5391000</v>
      </c>
      <c r="F607">
        <v>1</v>
      </c>
      <c r="G607">
        <v>599</v>
      </c>
      <c r="H607">
        <v>599</v>
      </c>
      <c r="I607">
        <v>598</v>
      </c>
      <c r="J607">
        <v>59800</v>
      </c>
      <c r="K607">
        <v>599</v>
      </c>
      <c r="L607">
        <v>598</v>
      </c>
      <c r="M607">
        <v>59800</v>
      </c>
      <c r="N607">
        <v>599</v>
      </c>
      <c r="O607">
        <v>599</v>
      </c>
      <c r="R607">
        <v>1</v>
      </c>
      <c r="S607">
        <v>10</v>
      </c>
      <c r="T607">
        <v>100</v>
      </c>
      <c r="U607">
        <v>599</v>
      </c>
      <c r="V607">
        <v>2991</v>
      </c>
      <c r="W607">
        <v>30</v>
      </c>
    </row>
    <row r="608" spans="1:23" x14ac:dyDescent="0.25">
      <c r="A608" t="s">
        <v>1682</v>
      </c>
      <c r="B608" t="s">
        <v>1683</v>
      </c>
      <c r="C608">
        <v>71</v>
      </c>
      <c r="D608">
        <v>245045</v>
      </c>
      <c r="E608">
        <v>1950694663</v>
      </c>
      <c r="F608">
        <v>8015</v>
      </c>
      <c r="G608">
        <v>8220</v>
      </c>
      <c r="H608">
        <v>7997</v>
      </c>
      <c r="I608">
        <v>-18</v>
      </c>
      <c r="J608">
        <v>-0.22</v>
      </c>
      <c r="K608">
        <v>7961</v>
      </c>
      <c r="L608">
        <v>-54</v>
      </c>
      <c r="M608">
        <v>-0.67</v>
      </c>
      <c r="N608">
        <v>7707</v>
      </c>
      <c r="O608">
        <v>8220</v>
      </c>
      <c r="P608" t="s">
        <v>1684</v>
      </c>
      <c r="Q608" t="s">
        <v>2758</v>
      </c>
      <c r="R608">
        <v>1</v>
      </c>
      <c r="S608">
        <v>2000</v>
      </c>
      <c r="T608">
        <v>7850</v>
      </c>
      <c r="U608">
        <v>7900</v>
      </c>
      <c r="V608">
        <v>2500</v>
      </c>
      <c r="W608">
        <v>1</v>
      </c>
    </row>
    <row r="609" spans="1:23" x14ac:dyDescent="0.25">
      <c r="A609" t="s">
        <v>1685</v>
      </c>
      <c r="B609" t="s">
        <v>1686</v>
      </c>
      <c r="C609">
        <v>7163</v>
      </c>
      <c r="D609">
        <v>257591180</v>
      </c>
      <c r="E609">
        <v>889802989601</v>
      </c>
      <c r="F609">
        <v>3294</v>
      </c>
      <c r="G609">
        <v>3300</v>
      </c>
      <c r="H609">
        <v>3458</v>
      </c>
      <c r="I609">
        <v>164</v>
      </c>
      <c r="J609">
        <v>4.9800000000000004</v>
      </c>
      <c r="K609">
        <v>3454</v>
      </c>
      <c r="L609">
        <v>160</v>
      </c>
      <c r="M609">
        <v>4.8600000000000003</v>
      </c>
      <c r="N609">
        <v>3300</v>
      </c>
      <c r="O609">
        <v>3458</v>
      </c>
      <c r="P609" t="s">
        <v>1687</v>
      </c>
      <c r="Q609" t="s">
        <v>3095</v>
      </c>
      <c r="R609">
        <v>2345</v>
      </c>
      <c r="S609">
        <v>168324228</v>
      </c>
      <c r="T609">
        <v>3458</v>
      </c>
      <c r="U609">
        <v>3488</v>
      </c>
      <c r="V609">
        <v>2000</v>
      </c>
      <c r="W609">
        <v>1</v>
      </c>
    </row>
    <row r="610" spans="1:23" x14ac:dyDescent="0.25">
      <c r="A610" t="s">
        <v>1688</v>
      </c>
      <c r="B610" t="s">
        <v>1689</v>
      </c>
      <c r="C610">
        <v>304</v>
      </c>
      <c r="D610">
        <v>304637</v>
      </c>
      <c r="E610">
        <v>13652356473</v>
      </c>
      <c r="F610">
        <v>43364</v>
      </c>
      <c r="G610">
        <v>45363</v>
      </c>
      <c r="H610">
        <v>45100</v>
      </c>
      <c r="I610">
        <v>1736</v>
      </c>
      <c r="J610">
        <v>4</v>
      </c>
      <c r="K610">
        <v>44815</v>
      </c>
      <c r="L610">
        <v>1451</v>
      </c>
      <c r="M610">
        <v>3.35</v>
      </c>
      <c r="N610">
        <v>44001</v>
      </c>
      <c r="O610">
        <v>45363</v>
      </c>
      <c r="P610" t="s">
        <v>2699</v>
      </c>
      <c r="Q610" t="s">
        <v>3096</v>
      </c>
      <c r="R610">
        <v>1</v>
      </c>
      <c r="S610">
        <v>30</v>
      </c>
      <c r="T610">
        <v>44992</v>
      </c>
      <c r="U610">
        <v>45190</v>
      </c>
      <c r="V610">
        <v>6963</v>
      </c>
      <c r="W610">
        <v>2</v>
      </c>
    </row>
    <row r="611" spans="1:23" x14ac:dyDescent="0.25">
      <c r="A611" t="s">
        <v>1690</v>
      </c>
      <c r="B611" t="s">
        <v>1691</v>
      </c>
      <c r="C611">
        <v>3967</v>
      </c>
      <c r="D611">
        <v>75048594</v>
      </c>
      <c r="E611">
        <v>120924444614</v>
      </c>
      <c r="F611">
        <v>1586</v>
      </c>
      <c r="G611">
        <v>1602</v>
      </c>
      <c r="H611">
        <v>1608</v>
      </c>
      <c r="I611">
        <v>22</v>
      </c>
      <c r="J611">
        <v>1.39</v>
      </c>
      <c r="K611">
        <v>1611</v>
      </c>
      <c r="L611">
        <v>25</v>
      </c>
      <c r="M611">
        <v>1.58</v>
      </c>
      <c r="N611">
        <v>1590</v>
      </c>
      <c r="O611">
        <v>1624</v>
      </c>
      <c r="P611" t="s">
        <v>1692</v>
      </c>
      <c r="Q611" t="s">
        <v>3097</v>
      </c>
      <c r="R611">
        <v>2</v>
      </c>
      <c r="S611">
        <v>4388</v>
      </c>
      <c r="T611">
        <v>1607</v>
      </c>
      <c r="U611">
        <v>1608</v>
      </c>
      <c r="V611">
        <v>29899</v>
      </c>
      <c r="W611">
        <v>1</v>
      </c>
    </row>
    <row r="612" spans="1:23" x14ac:dyDescent="0.25">
      <c r="A612" t="s">
        <v>3098</v>
      </c>
      <c r="B612" t="s">
        <v>3099</v>
      </c>
      <c r="C612">
        <v>0</v>
      </c>
      <c r="D612">
        <v>0</v>
      </c>
      <c r="E612">
        <v>0</v>
      </c>
      <c r="F612">
        <v>21358</v>
      </c>
      <c r="G612">
        <v>0</v>
      </c>
      <c r="H612">
        <v>21343</v>
      </c>
      <c r="I612">
        <v>-15</v>
      </c>
      <c r="J612">
        <v>-7.0000000000000007E-2</v>
      </c>
      <c r="K612">
        <v>21358</v>
      </c>
      <c r="L612">
        <v>0</v>
      </c>
      <c r="M612">
        <v>0</v>
      </c>
      <c r="N612">
        <v>0</v>
      </c>
      <c r="O612">
        <v>0</v>
      </c>
      <c r="P612" t="s">
        <v>3100</v>
      </c>
      <c r="Q612" t="s">
        <v>3101</v>
      </c>
      <c r="R612">
        <v>49</v>
      </c>
      <c r="S612">
        <v>333674</v>
      </c>
      <c r="T612">
        <v>20291</v>
      </c>
      <c r="U612">
        <v>20291</v>
      </c>
      <c r="V612">
        <v>317406</v>
      </c>
      <c r="W612">
        <v>15</v>
      </c>
    </row>
    <row r="613" spans="1:23" x14ac:dyDescent="0.25">
      <c r="A613" t="s">
        <v>3102</v>
      </c>
      <c r="B613" t="s">
        <v>622</v>
      </c>
      <c r="C613">
        <v>1</v>
      </c>
      <c r="D613">
        <v>25</v>
      </c>
      <c r="E613">
        <v>250</v>
      </c>
      <c r="F613">
        <v>412714</v>
      </c>
      <c r="G613">
        <v>10</v>
      </c>
      <c r="H613">
        <v>10</v>
      </c>
      <c r="I613">
        <v>-412704</v>
      </c>
      <c r="J613">
        <v>-100</v>
      </c>
      <c r="K613">
        <v>10</v>
      </c>
      <c r="L613">
        <v>-412704</v>
      </c>
      <c r="M613">
        <v>-100</v>
      </c>
      <c r="N613">
        <v>10</v>
      </c>
      <c r="O613">
        <v>10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</row>
    <row r="614" spans="1:23" x14ac:dyDescent="0.25">
      <c r="A614" t="s">
        <v>1693</v>
      </c>
      <c r="B614" t="s">
        <v>1694</v>
      </c>
      <c r="C614">
        <v>1080</v>
      </c>
      <c r="D614">
        <v>3293742</v>
      </c>
      <c r="E614">
        <v>29641480914</v>
      </c>
      <c r="F614">
        <v>9248</v>
      </c>
      <c r="G614">
        <v>8411</v>
      </c>
      <c r="H614">
        <v>8800</v>
      </c>
      <c r="I614">
        <v>-448</v>
      </c>
      <c r="J614">
        <v>-4.84</v>
      </c>
      <c r="K614">
        <v>8999</v>
      </c>
      <c r="L614">
        <v>-249</v>
      </c>
      <c r="M614">
        <v>-2.69</v>
      </c>
      <c r="N614">
        <v>8411</v>
      </c>
      <c r="O614">
        <v>9380</v>
      </c>
      <c r="P614" t="s">
        <v>1695</v>
      </c>
      <c r="Q614" t="s">
        <v>3103</v>
      </c>
      <c r="R614">
        <v>1</v>
      </c>
      <c r="S614">
        <v>125</v>
      </c>
      <c r="T614">
        <v>8783</v>
      </c>
      <c r="U614">
        <v>8800</v>
      </c>
      <c r="V614">
        <v>16401</v>
      </c>
      <c r="W614">
        <v>1</v>
      </c>
    </row>
    <row r="615" spans="1:23" x14ac:dyDescent="0.25">
      <c r="A615" t="s">
        <v>1696</v>
      </c>
      <c r="B615" t="s">
        <v>1697</v>
      </c>
      <c r="C615">
        <v>0</v>
      </c>
      <c r="D615">
        <v>0</v>
      </c>
      <c r="E615">
        <v>0</v>
      </c>
      <c r="F615">
        <v>1</v>
      </c>
      <c r="G615">
        <v>0</v>
      </c>
      <c r="H615">
        <v>1</v>
      </c>
      <c r="I615">
        <v>0</v>
      </c>
      <c r="J615">
        <v>0</v>
      </c>
      <c r="K615">
        <v>1</v>
      </c>
      <c r="L615">
        <v>0</v>
      </c>
      <c r="M615">
        <v>0</v>
      </c>
      <c r="N615">
        <v>0</v>
      </c>
      <c r="O615">
        <v>0</v>
      </c>
      <c r="R615">
        <v>1</v>
      </c>
      <c r="S615">
        <v>100</v>
      </c>
      <c r="T615">
        <v>35</v>
      </c>
      <c r="U615">
        <v>0</v>
      </c>
      <c r="V615">
        <v>0</v>
      </c>
      <c r="W615">
        <v>0</v>
      </c>
    </row>
    <row r="616" spans="1:23" x14ac:dyDescent="0.25">
      <c r="A616" t="s">
        <v>1698</v>
      </c>
      <c r="B616" t="s">
        <v>1699</v>
      </c>
      <c r="C616">
        <v>382</v>
      </c>
      <c r="D616">
        <v>7580700</v>
      </c>
      <c r="E616">
        <v>18521624116</v>
      </c>
      <c r="F616">
        <v>2429</v>
      </c>
      <c r="G616">
        <v>2450</v>
      </c>
      <c r="H616">
        <v>2424</v>
      </c>
      <c r="I616">
        <v>-5</v>
      </c>
      <c r="J616">
        <v>-0.21</v>
      </c>
      <c r="K616">
        <v>2443</v>
      </c>
      <c r="L616">
        <v>14</v>
      </c>
      <c r="M616">
        <v>0.57999999999999996</v>
      </c>
      <c r="N616">
        <v>2407</v>
      </c>
      <c r="O616">
        <v>2468</v>
      </c>
      <c r="P616" t="s">
        <v>1700</v>
      </c>
      <c r="Q616" t="s">
        <v>3104</v>
      </c>
      <c r="R616">
        <v>1</v>
      </c>
      <c r="S616">
        <v>35426</v>
      </c>
      <c r="T616">
        <v>2411</v>
      </c>
      <c r="U616">
        <v>2420</v>
      </c>
      <c r="V616">
        <v>10000</v>
      </c>
      <c r="W616">
        <v>1</v>
      </c>
    </row>
    <row r="617" spans="1:23" x14ac:dyDescent="0.25">
      <c r="A617" t="s">
        <v>1701</v>
      </c>
      <c r="B617" t="s">
        <v>1702</v>
      </c>
      <c r="C617">
        <v>347</v>
      </c>
      <c r="D617">
        <v>327757</v>
      </c>
      <c r="E617">
        <v>9247215500</v>
      </c>
      <c r="F617">
        <v>29094</v>
      </c>
      <c r="G617">
        <v>28000</v>
      </c>
      <c r="H617">
        <v>27935</v>
      </c>
      <c r="I617">
        <v>-1159</v>
      </c>
      <c r="J617">
        <v>-3.98</v>
      </c>
      <c r="K617">
        <v>28214</v>
      </c>
      <c r="L617">
        <v>-880</v>
      </c>
      <c r="M617">
        <v>-3.02</v>
      </c>
      <c r="N617">
        <v>27930</v>
      </c>
      <c r="O617">
        <v>28900</v>
      </c>
      <c r="P617" t="s">
        <v>1703</v>
      </c>
      <c r="Q617" t="s">
        <v>3105</v>
      </c>
      <c r="R617">
        <v>1</v>
      </c>
      <c r="S617">
        <v>630</v>
      </c>
      <c r="T617">
        <v>27930</v>
      </c>
      <c r="U617">
        <v>27935</v>
      </c>
      <c r="V617">
        <v>2542</v>
      </c>
      <c r="W617">
        <v>1</v>
      </c>
    </row>
    <row r="618" spans="1:23" x14ac:dyDescent="0.25">
      <c r="A618" t="s">
        <v>1704</v>
      </c>
      <c r="B618" t="s">
        <v>1705</v>
      </c>
      <c r="C618">
        <v>0</v>
      </c>
      <c r="D618">
        <v>0</v>
      </c>
      <c r="E618">
        <v>0</v>
      </c>
      <c r="F618">
        <v>201</v>
      </c>
      <c r="G618">
        <v>0</v>
      </c>
      <c r="H618">
        <v>200</v>
      </c>
      <c r="I618">
        <v>-1</v>
      </c>
      <c r="J618">
        <v>-0.5</v>
      </c>
      <c r="K618">
        <v>201</v>
      </c>
      <c r="L618">
        <v>0</v>
      </c>
      <c r="M618">
        <v>0</v>
      </c>
      <c r="N618">
        <v>0</v>
      </c>
      <c r="O618">
        <v>0</v>
      </c>
      <c r="R618">
        <v>1</v>
      </c>
      <c r="S618">
        <v>100</v>
      </c>
      <c r="T618">
        <v>141</v>
      </c>
      <c r="U618">
        <v>270</v>
      </c>
      <c r="V618">
        <v>1000</v>
      </c>
      <c r="W618">
        <v>10</v>
      </c>
    </row>
    <row r="619" spans="1:23" x14ac:dyDescent="0.25">
      <c r="A619" t="s">
        <v>1706</v>
      </c>
      <c r="B619" t="s">
        <v>1707</v>
      </c>
      <c r="C619">
        <v>70</v>
      </c>
      <c r="D619">
        <v>2496006</v>
      </c>
      <c r="E619">
        <v>1804612338</v>
      </c>
      <c r="F619">
        <v>658</v>
      </c>
      <c r="G619">
        <v>723</v>
      </c>
      <c r="H619">
        <v>723</v>
      </c>
      <c r="I619">
        <v>65</v>
      </c>
      <c r="J619">
        <v>9.8800000000000008</v>
      </c>
      <c r="K619">
        <v>723</v>
      </c>
      <c r="L619">
        <v>65</v>
      </c>
      <c r="M619">
        <v>9.8800000000000008</v>
      </c>
      <c r="N619">
        <v>723</v>
      </c>
      <c r="O619">
        <v>723</v>
      </c>
      <c r="R619">
        <v>381</v>
      </c>
      <c r="S619">
        <v>35582536</v>
      </c>
      <c r="T619">
        <v>723</v>
      </c>
      <c r="U619">
        <v>0</v>
      </c>
      <c r="V619">
        <v>0</v>
      </c>
      <c r="W619">
        <v>0</v>
      </c>
    </row>
    <row r="620" spans="1:23" x14ac:dyDescent="0.25">
      <c r="A620" t="s">
        <v>1708</v>
      </c>
      <c r="B620" t="s">
        <v>1709</v>
      </c>
      <c r="C620">
        <v>2409</v>
      </c>
      <c r="D620">
        <v>33419441</v>
      </c>
      <c r="E620">
        <v>57491778188</v>
      </c>
      <c r="F620">
        <v>1732</v>
      </c>
      <c r="G620">
        <v>1760</v>
      </c>
      <c r="H620">
        <v>1690</v>
      </c>
      <c r="I620">
        <v>-42</v>
      </c>
      <c r="J620">
        <v>-2.42</v>
      </c>
      <c r="K620">
        <v>1720</v>
      </c>
      <c r="L620">
        <v>-12</v>
      </c>
      <c r="M620">
        <v>-0.69</v>
      </c>
      <c r="N620">
        <v>1671</v>
      </c>
      <c r="O620">
        <v>1767</v>
      </c>
      <c r="P620" t="s">
        <v>1710</v>
      </c>
      <c r="Q620" t="s">
        <v>3106</v>
      </c>
      <c r="R620">
        <v>3</v>
      </c>
      <c r="S620">
        <v>16620</v>
      </c>
      <c r="T620">
        <v>1684</v>
      </c>
      <c r="U620">
        <v>1693</v>
      </c>
      <c r="V620">
        <v>21663</v>
      </c>
      <c r="W620">
        <v>1</v>
      </c>
    </row>
    <row r="621" spans="1:23" x14ac:dyDescent="0.25">
      <c r="A621" t="s">
        <v>1711</v>
      </c>
      <c r="B621" t="s">
        <v>1712</v>
      </c>
      <c r="C621">
        <v>15</v>
      </c>
      <c r="D621">
        <v>622000</v>
      </c>
      <c r="E621">
        <v>6292840000</v>
      </c>
      <c r="F621">
        <v>10097</v>
      </c>
      <c r="G621">
        <v>10120</v>
      </c>
      <c r="H621">
        <v>10090</v>
      </c>
      <c r="I621">
        <v>-7</v>
      </c>
      <c r="J621">
        <v>-7.0000000000000007E-2</v>
      </c>
      <c r="K621">
        <v>10117</v>
      </c>
      <c r="L621">
        <v>20</v>
      </c>
      <c r="M621">
        <v>0.2</v>
      </c>
      <c r="N621">
        <v>10090</v>
      </c>
      <c r="O621">
        <v>10120</v>
      </c>
      <c r="R621">
        <v>1</v>
      </c>
      <c r="S621">
        <v>30000</v>
      </c>
      <c r="T621">
        <v>10086</v>
      </c>
      <c r="U621">
        <v>10119</v>
      </c>
      <c r="V621">
        <v>3590</v>
      </c>
      <c r="W621">
        <v>1</v>
      </c>
    </row>
    <row r="622" spans="1:23" x14ac:dyDescent="0.25">
      <c r="A622" t="s">
        <v>1713</v>
      </c>
      <c r="B622" t="s">
        <v>1712</v>
      </c>
      <c r="C622">
        <v>6</v>
      </c>
      <c r="D622">
        <v>600000</v>
      </c>
      <c r="E622">
        <v>600000</v>
      </c>
      <c r="F622">
        <v>10097</v>
      </c>
      <c r="G622">
        <v>1</v>
      </c>
      <c r="H622">
        <v>1</v>
      </c>
      <c r="I622">
        <v>-10096</v>
      </c>
      <c r="J622">
        <v>-99.99</v>
      </c>
      <c r="K622">
        <v>1</v>
      </c>
      <c r="L622">
        <v>-10096</v>
      </c>
      <c r="M622">
        <v>-99.99</v>
      </c>
      <c r="N622">
        <v>1</v>
      </c>
      <c r="O622">
        <v>1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</row>
    <row r="623" spans="1:23" x14ac:dyDescent="0.25">
      <c r="A623" t="s">
        <v>1714</v>
      </c>
      <c r="B623" t="s">
        <v>1715</v>
      </c>
      <c r="C623">
        <v>0</v>
      </c>
      <c r="D623">
        <v>0</v>
      </c>
      <c r="E623">
        <v>0</v>
      </c>
      <c r="F623">
        <v>1300</v>
      </c>
      <c r="G623">
        <v>0</v>
      </c>
      <c r="H623">
        <v>1300</v>
      </c>
      <c r="I623">
        <v>0</v>
      </c>
      <c r="J623">
        <v>0</v>
      </c>
      <c r="K623">
        <v>1300</v>
      </c>
      <c r="L623">
        <v>0</v>
      </c>
      <c r="M623">
        <v>0</v>
      </c>
      <c r="N623">
        <v>0</v>
      </c>
      <c r="O623">
        <v>0</v>
      </c>
      <c r="R623">
        <v>1</v>
      </c>
      <c r="S623">
        <v>10</v>
      </c>
      <c r="T623">
        <v>800</v>
      </c>
      <c r="U623">
        <v>0</v>
      </c>
      <c r="V623">
        <v>0</v>
      </c>
      <c r="W623">
        <v>0</v>
      </c>
    </row>
    <row r="624" spans="1:23" x14ac:dyDescent="0.25">
      <c r="A624" t="s">
        <v>1716</v>
      </c>
      <c r="B624" t="s">
        <v>1717</v>
      </c>
      <c r="C624">
        <v>1038</v>
      </c>
      <c r="D624">
        <v>15422868</v>
      </c>
      <c r="E624">
        <v>30945981405</v>
      </c>
      <c r="F624">
        <v>2005</v>
      </c>
      <c r="G624">
        <v>2050</v>
      </c>
      <c r="H624">
        <v>2009</v>
      </c>
      <c r="I624">
        <v>4</v>
      </c>
      <c r="J624">
        <v>0.2</v>
      </c>
      <c r="K624">
        <v>2006</v>
      </c>
      <c r="L624">
        <v>1</v>
      </c>
      <c r="M624">
        <v>0.05</v>
      </c>
      <c r="N624">
        <v>1952</v>
      </c>
      <c r="O624">
        <v>2079</v>
      </c>
      <c r="P624" t="s">
        <v>1718</v>
      </c>
      <c r="Q624" t="s">
        <v>3107</v>
      </c>
      <c r="R624">
        <v>1</v>
      </c>
      <c r="S624">
        <v>2000</v>
      </c>
      <c r="T624">
        <v>2003</v>
      </c>
      <c r="U624">
        <v>2009</v>
      </c>
      <c r="V624">
        <v>59634</v>
      </c>
      <c r="W624">
        <v>2</v>
      </c>
    </row>
    <row r="625" spans="1:23" x14ac:dyDescent="0.25">
      <c r="A625" t="s">
        <v>1719</v>
      </c>
      <c r="B625" t="s">
        <v>1720</v>
      </c>
      <c r="C625">
        <v>261</v>
      </c>
      <c r="D625">
        <v>754276</v>
      </c>
      <c r="E625">
        <v>9857454327</v>
      </c>
      <c r="F625">
        <v>12457</v>
      </c>
      <c r="G625">
        <v>13079</v>
      </c>
      <c r="H625">
        <v>13079</v>
      </c>
      <c r="I625">
        <v>622</v>
      </c>
      <c r="J625">
        <v>4.99</v>
      </c>
      <c r="K625">
        <v>13069</v>
      </c>
      <c r="L625">
        <v>612</v>
      </c>
      <c r="M625">
        <v>4.91</v>
      </c>
      <c r="N625">
        <v>12624</v>
      </c>
      <c r="O625">
        <v>13079</v>
      </c>
      <c r="P625" t="s">
        <v>1721</v>
      </c>
      <c r="Q625" t="s">
        <v>3108</v>
      </c>
      <c r="R625">
        <v>27</v>
      </c>
      <c r="S625">
        <v>316244</v>
      </c>
      <c r="T625">
        <v>13079</v>
      </c>
      <c r="U625">
        <v>0</v>
      </c>
      <c r="V625">
        <v>0</v>
      </c>
      <c r="W625">
        <v>0</v>
      </c>
    </row>
    <row r="626" spans="1:23" x14ac:dyDescent="0.25">
      <c r="A626" t="s">
        <v>1722</v>
      </c>
      <c r="B626" t="s">
        <v>1723</v>
      </c>
      <c r="C626">
        <v>0</v>
      </c>
      <c r="D626">
        <v>0</v>
      </c>
      <c r="E626">
        <v>0</v>
      </c>
      <c r="F626">
        <v>40001</v>
      </c>
      <c r="G626">
        <v>0</v>
      </c>
      <c r="H626">
        <v>40001</v>
      </c>
      <c r="I626">
        <v>0</v>
      </c>
      <c r="J626">
        <v>0</v>
      </c>
      <c r="K626">
        <v>40001</v>
      </c>
      <c r="L626">
        <v>0</v>
      </c>
      <c r="M626">
        <v>0</v>
      </c>
      <c r="N626">
        <v>0</v>
      </c>
      <c r="O626">
        <v>0</v>
      </c>
      <c r="P626" t="s">
        <v>1724</v>
      </c>
      <c r="Q626" t="s">
        <v>2701</v>
      </c>
      <c r="R626">
        <v>1</v>
      </c>
      <c r="S626">
        <v>100</v>
      </c>
      <c r="T626">
        <v>34800</v>
      </c>
      <c r="U626">
        <v>45000</v>
      </c>
      <c r="V626">
        <v>5100</v>
      </c>
      <c r="W626">
        <v>2</v>
      </c>
    </row>
    <row r="627" spans="1:23" x14ac:dyDescent="0.25">
      <c r="A627" t="s">
        <v>1725</v>
      </c>
      <c r="B627" t="s">
        <v>1726</v>
      </c>
      <c r="C627">
        <v>10075</v>
      </c>
      <c r="D627">
        <v>59433436</v>
      </c>
      <c r="E627">
        <v>390803172667</v>
      </c>
      <c r="F627">
        <v>6092</v>
      </c>
      <c r="G627">
        <v>6650</v>
      </c>
      <c r="H627">
        <v>6487</v>
      </c>
      <c r="I627">
        <v>395</v>
      </c>
      <c r="J627">
        <v>6.48</v>
      </c>
      <c r="K627">
        <v>6575</v>
      </c>
      <c r="L627">
        <v>483</v>
      </c>
      <c r="M627">
        <v>7.93</v>
      </c>
      <c r="N627">
        <v>6200</v>
      </c>
      <c r="O627">
        <v>6701</v>
      </c>
      <c r="P627" t="s">
        <v>1727</v>
      </c>
      <c r="Q627" t="s">
        <v>3109</v>
      </c>
      <c r="R627">
        <v>1</v>
      </c>
      <c r="S627">
        <v>2307</v>
      </c>
      <c r="T627">
        <v>6470</v>
      </c>
      <c r="U627">
        <v>6480</v>
      </c>
      <c r="V627">
        <v>1688</v>
      </c>
      <c r="W627">
        <v>1</v>
      </c>
    </row>
    <row r="628" spans="1:23" x14ac:dyDescent="0.25">
      <c r="A628" t="s">
        <v>1728</v>
      </c>
      <c r="B628" t="s">
        <v>1729</v>
      </c>
      <c r="C628">
        <v>370</v>
      </c>
      <c r="D628">
        <v>5451651</v>
      </c>
      <c r="E628">
        <v>54865416753</v>
      </c>
      <c r="F628">
        <v>10053</v>
      </c>
      <c r="G628">
        <v>10060</v>
      </c>
      <c r="H628">
        <v>10070</v>
      </c>
      <c r="I628">
        <v>17</v>
      </c>
      <c r="J628">
        <v>0.17</v>
      </c>
      <c r="K628">
        <v>10064</v>
      </c>
      <c r="L628">
        <v>11</v>
      </c>
      <c r="M628">
        <v>0.11</v>
      </c>
      <c r="N628">
        <v>10055</v>
      </c>
      <c r="O628">
        <v>10081</v>
      </c>
      <c r="R628">
        <v>1</v>
      </c>
      <c r="S628">
        <v>20000</v>
      </c>
      <c r="T628">
        <v>10069</v>
      </c>
      <c r="U628">
        <v>10070</v>
      </c>
      <c r="V628">
        <v>77062</v>
      </c>
      <c r="W628">
        <v>2</v>
      </c>
    </row>
    <row r="629" spans="1:23" x14ac:dyDescent="0.25">
      <c r="A629" t="s">
        <v>1730</v>
      </c>
      <c r="B629" t="s">
        <v>1731</v>
      </c>
      <c r="C629">
        <v>0</v>
      </c>
      <c r="D629">
        <v>0</v>
      </c>
      <c r="E629">
        <v>0</v>
      </c>
      <c r="F629">
        <v>1</v>
      </c>
      <c r="G629">
        <v>0</v>
      </c>
      <c r="H629">
        <v>1</v>
      </c>
      <c r="I629">
        <v>0</v>
      </c>
      <c r="J629">
        <v>0</v>
      </c>
      <c r="K629">
        <v>1</v>
      </c>
      <c r="L629">
        <v>0</v>
      </c>
      <c r="M629">
        <v>0</v>
      </c>
      <c r="N629">
        <v>0</v>
      </c>
      <c r="O629">
        <v>0</v>
      </c>
      <c r="R629">
        <v>1</v>
      </c>
      <c r="S629">
        <v>50</v>
      </c>
      <c r="T629">
        <v>2</v>
      </c>
      <c r="U629">
        <v>0</v>
      </c>
      <c r="V629">
        <v>0</v>
      </c>
      <c r="W629">
        <v>0</v>
      </c>
    </row>
    <row r="630" spans="1:23" x14ac:dyDescent="0.25">
      <c r="A630" t="s">
        <v>1732</v>
      </c>
      <c r="B630" t="s">
        <v>1733</v>
      </c>
      <c r="C630">
        <v>439</v>
      </c>
      <c r="D630">
        <v>1364380</v>
      </c>
      <c r="E630">
        <v>6663170315</v>
      </c>
      <c r="F630">
        <v>4872</v>
      </c>
      <c r="G630">
        <v>4950</v>
      </c>
      <c r="H630">
        <v>4801</v>
      </c>
      <c r="I630">
        <v>-71</v>
      </c>
      <c r="J630">
        <v>-1.46</v>
      </c>
      <c r="K630">
        <v>4884</v>
      </c>
      <c r="L630">
        <v>12</v>
      </c>
      <c r="M630">
        <v>0.25</v>
      </c>
      <c r="N630">
        <v>4800</v>
      </c>
      <c r="O630">
        <v>4973</v>
      </c>
      <c r="P630" t="s">
        <v>1734</v>
      </c>
      <c r="Q630" t="s">
        <v>3110</v>
      </c>
      <c r="R630">
        <v>1</v>
      </c>
      <c r="S630">
        <v>5200</v>
      </c>
      <c r="T630">
        <v>4802</v>
      </c>
      <c r="U630">
        <v>4849</v>
      </c>
      <c r="V630">
        <v>4300</v>
      </c>
      <c r="W630">
        <v>2</v>
      </c>
    </row>
    <row r="631" spans="1:23" x14ac:dyDescent="0.25">
      <c r="A631" t="s">
        <v>1735</v>
      </c>
      <c r="B631" t="s">
        <v>1736</v>
      </c>
      <c r="C631">
        <v>0</v>
      </c>
      <c r="D631">
        <v>0</v>
      </c>
      <c r="E631">
        <v>0</v>
      </c>
      <c r="F631">
        <v>1</v>
      </c>
      <c r="G631">
        <v>0</v>
      </c>
      <c r="H631">
        <v>1</v>
      </c>
      <c r="I631">
        <v>0</v>
      </c>
      <c r="J631">
        <v>0</v>
      </c>
      <c r="K631">
        <v>1</v>
      </c>
      <c r="L631">
        <v>0</v>
      </c>
      <c r="M631">
        <v>0</v>
      </c>
      <c r="N631">
        <v>0</v>
      </c>
      <c r="O631">
        <v>0</v>
      </c>
      <c r="P631" t="s">
        <v>1664</v>
      </c>
      <c r="Q631" t="s">
        <v>1737</v>
      </c>
      <c r="R631">
        <v>1</v>
      </c>
      <c r="S631">
        <v>50000</v>
      </c>
      <c r="T631">
        <v>20</v>
      </c>
      <c r="U631">
        <v>0</v>
      </c>
      <c r="V631">
        <v>0</v>
      </c>
      <c r="W631">
        <v>0</v>
      </c>
    </row>
    <row r="632" spans="1:23" x14ac:dyDescent="0.25">
      <c r="A632" t="s">
        <v>1738</v>
      </c>
      <c r="B632" t="s">
        <v>1739</v>
      </c>
      <c r="C632">
        <v>525</v>
      </c>
      <c r="D632">
        <v>1710899</v>
      </c>
      <c r="E632">
        <v>16701825748</v>
      </c>
      <c r="F632">
        <v>9802</v>
      </c>
      <c r="G632">
        <v>9900</v>
      </c>
      <c r="H632">
        <v>9752</v>
      </c>
      <c r="I632">
        <v>-50</v>
      </c>
      <c r="J632">
        <v>-0.51</v>
      </c>
      <c r="K632">
        <v>9762</v>
      </c>
      <c r="L632">
        <v>-40</v>
      </c>
      <c r="M632">
        <v>-0.41</v>
      </c>
      <c r="N632">
        <v>9690</v>
      </c>
      <c r="O632">
        <v>9939</v>
      </c>
      <c r="P632" t="s">
        <v>1740</v>
      </c>
      <c r="Q632" t="s">
        <v>3111</v>
      </c>
      <c r="R632">
        <v>1</v>
      </c>
      <c r="S632">
        <v>2060</v>
      </c>
      <c r="T632">
        <v>9750</v>
      </c>
      <c r="U632">
        <v>9752</v>
      </c>
      <c r="V632">
        <v>1585</v>
      </c>
      <c r="W632">
        <v>1</v>
      </c>
    </row>
    <row r="633" spans="1:23" x14ac:dyDescent="0.25">
      <c r="A633" t="s">
        <v>1741</v>
      </c>
      <c r="B633" t="s">
        <v>1742</v>
      </c>
      <c r="C633">
        <v>0</v>
      </c>
      <c r="D633">
        <v>0</v>
      </c>
      <c r="E633">
        <v>0</v>
      </c>
      <c r="F633">
        <v>370000</v>
      </c>
      <c r="G633">
        <v>0</v>
      </c>
      <c r="H633">
        <v>370000</v>
      </c>
      <c r="I633">
        <v>0</v>
      </c>
      <c r="J633">
        <v>0</v>
      </c>
      <c r="K633">
        <v>370000</v>
      </c>
      <c r="L633">
        <v>0</v>
      </c>
      <c r="M633">
        <v>0</v>
      </c>
      <c r="N633">
        <v>0</v>
      </c>
      <c r="O633">
        <v>0</v>
      </c>
      <c r="R633">
        <v>1</v>
      </c>
      <c r="S633">
        <v>3</v>
      </c>
      <c r="T633">
        <v>351500</v>
      </c>
      <c r="U633">
        <v>370000</v>
      </c>
      <c r="V633">
        <v>85</v>
      </c>
      <c r="W633">
        <v>1</v>
      </c>
    </row>
    <row r="634" spans="1:23" x14ac:dyDescent="0.25">
      <c r="A634" t="s">
        <v>1743</v>
      </c>
      <c r="B634" t="s">
        <v>1744</v>
      </c>
      <c r="C634">
        <v>3387</v>
      </c>
      <c r="D634">
        <v>32442974</v>
      </c>
      <c r="E634">
        <v>131479268299</v>
      </c>
      <c r="F634">
        <v>3976</v>
      </c>
      <c r="G634">
        <v>4043</v>
      </c>
      <c r="H634">
        <v>4048</v>
      </c>
      <c r="I634">
        <v>72</v>
      </c>
      <c r="J634">
        <v>1.81</v>
      </c>
      <c r="K634">
        <v>4053</v>
      </c>
      <c r="L634">
        <v>77</v>
      </c>
      <c r="M634">
        <v>1.94</v>
      </c>
      <c r="N634">
        <v>4023</v>
      </c>
      <c r="O634">
        <v>4075</v>
      </c>
      <c r="P634" t="s">
        <v>1745</v>
      </c>
      <c r="Q634" t="s">
        <v>3112</v>
      </c>
      <c r="R634">
        <v>6</v>
      </c>
      <c r="S634">
        <v>31403</v>
      </c>
      <c r="T634">
        <v>4047</v>
      </c>
      <c r="U634">
        <v>4049</v>
      </c>
      <c r="V634">
        <v>99880</v>
      </c>
      <c r="W634">
        <v>4</v>
      </c>
    </row>
    <row r="635" spans="1:23" x14ac:dyDescent="0.25">
      <c r="A635" t="s">
        <v>1746</v>
      </c>
      <c r="B635" t="s">
        <v>1747</v>
      </c>
      <c r="C635">
        <v>2</v>
      </c>
      <c r="D635">
        <v>13666</v>
      </c>
      <c r="E635">
        <v>13310721200</v>
      </c>
      <c r="F635">
        <v>973788</v>
      </c>
      <c r="G635">
        <v>974000</v>
      </c>
      <c r="H635">
        <v>974300</v>
      </c>
      <c r="I635">
        <v>512</v>
      </c>
      <c r="J635">
        <v>0.05</v>
      </c>
      <c r="K635">
        <v>974003</v>
      </c>
      <c r="L635">
        <v>215</v>
      </c>
      <c r="M635">
        <v>0.02</v>
      </c>
      <c r="N635">
        <v>974000</v>
      </c>
      <c r="O635">
        <v>974300</v>
      </c>
      <c r="R635">
        <v>1</v>
      </c>
      <c r="S635">
        <v>1376</v>
      </c>
      <c r="T635">
        <v>974300</v>
      </c>
      <c r="U635">
        <v>974800</v>
      </c>
      <c r="V635">
        <v>1000</v>
      </c>
      <c r="W635">
        <v>1</v>
      </c>
    </row>
    <row r="636" spans="1:23" x14ac:dyDescent="0.25">
      <c r="A636" t="s">
        <v>1748</v>
      </c>
      <c r="B636" t="s">
        <v>1749</v>
      </c>
      <c r="C636">
        <v>0</v>
      </c>
      <c r="D636">
        <v>0</v>
      </c>
      <c r="E636">
        <v>0</v>
      </c>
      <c r="F636">
        <v>1000000</v>
      </c>
      <c r="G636">
        <v>0</v>
      </c>
      <c r="H636">
        <v>1000000</v>
      </c>
      <c r="I636">
        <v>0</v>
      </c>
      <c r="J636">
        <v>0</v>
      </c>
      <c r="K636">
        <v>1000000</v>
      </c>
      <c r="L636">
        <v>0</v>
      </c>
      <c r="M636">
        <v>0</v>
      </c>
      <c r="N636">
        <v>0</v>
      </c>
      <c r="O636">
        <v>0</v>
      </c>
      <c r="R636">
        <v>1</v>
      </c>
      <c r="S636">
        <v>1000</v>
      </c>
      <c r="T636">
        <v>1000001</v>
      </c>
      <c r="U636">
        <v>1010000</v>
      </c>
      <c r="V636">
        <v>250</v>
      </c>
      <c r="W636">
        <v>1</v>
      </c>
    </row>
    <row r="637" spans="1:23" x14ac:dyDescent="0.25">
      <c r="A637" t="s">
        <v>1750</v>
      </c>
      <c r="B637" t="s">
        <v>1751</v>
      </c>
      <c r="C637">
        <v>0</v>
      </c>
      <c r="D637">
        <v>0</v>
      </c>
      <c r="E637">
        <v>0</v>
      </c>
      <c r="F637">
        <v>1</v>
      </c>
      <c r="G637">
        <v>0</v>
      </c>
      <c r="H637">
        <v>1</v>
      </c>
      <c r="I637">
        <v>0</v>
      </c>
      <c r="J637">
        <v>0</v>
      </c>
      <c r="K637">
        <v>1</v>
      </c>
      <c r="L637">
        <v>0</v>
      </c>
      <c r="M637">
        <v>0</v>
      </c>
      <c r="N637">
        <v>0</v>
      </c>
      <c r="O637">
        <v>0</v>
      </c>
      <c r="R637">
        <v>3</v>
      </c>
      <c r="S637">
        <v>300</v>
      </c>
      <c r="T637">
        <v>26</v>
      </c>
      <c r="U637">
        <v>0</v>
      </c>
      <c r="V637">
        <v>0</v>
      </c>
      <c r="W637">
        <v>0</v>
      </c>
    </row>
    <row r="638" spans="1:23" x14ac:dyDescent="0.25">
      <c r="A638" t="s">
        <v>1752</v>
      </c>
      <c r="B638" t="s">
        <v>1753</v>
      </c>
      <c r="C638">
        <v>7460</v>
      </c>
      <c r="D638">
        <v>48471146</v>
      </c>
      <c r="E638">
        <v>399068969789</v>
      </c>
      <c r="F638">
        <v>7830</v>
      </c>
      <c r="G638">
        <v>7888</v>
      </c>
      <c r="H638">
        <v>8534</v>
      </c>
      <c r="I638">
        <v>704</v>
      </c>
      <c r="J638">
        <v>8.99</v>
      </c>
      <c r="K638">
        <v>8233</v>
      </c>
      <c r="L638">
        <v>403</v>
      </c>
      <c r="M638">
        <v>5.15</v>
      </c>
      <c r="N638">
        <v>7710</v>
      </c>
      <c r="O638">
        <v>8534</v>
      </c>
      <c r="P638" t="s">
        <v>976</v>
      </c>
      <c r="Q638" t="s">
        <v>3113</v>
      </c>
      <c r="R638">
        <v>1</v>
      </c>
      <c r="S638">
        <v>2830</v>
      </c>
      <c r="T638">
        <v>8534</v>
      </c>
      <c r="U638">
        <v>8535</v>
      </c>
      <c r="V638">
        <v>1000</v>
      </c>
      <c r="W638">
        <v>1</v>
      </c>
    </row>
    <row r="639" spans="1:23" x14ac:dyDescent="0.25">
      <c r="A639" t="s">
        <v>1754</v>
      </c>
      <c r="B639" t="s">
        <v>1755</v>
      </c>
      <c r="C639">
        <v>634</v>
      </c>
      <c r="D639">
        <v>6562956</v>
      </c>
      <c r="E639">
        <v>56585806632</v>
      </c>
      <c r="F639">
        <v>8212</v>
      </c>
      <c r="G639">
        <v>8622</v>
      </c>
      <c r="H639">
        <v>8622</v>
      </c>
      <c r="I639">
        <v>410</v>
      </c>
      <c r="J639">
        <v>4.99</v>
      </c>
      <c r="K639">
        <v>8622</v>
      </c>
      <c r="L639">
        <v>410</v>
      </c>
      <c r="M639">
        <v>4.99</v>
      </c>
      <c r="N639">
        <v>8622</v>
      </c>
      <c r="O639">
        <v>8622</v>
      </c>
      <c r="P639" t="s">
        <v>1756</v>
      </c>
      <c r="Q639" t="s">
        <v>3114</v>
      </c>
      <c r="R639">
        <v>360</v>
      </c>
      <c r="S639">
        <v>7032455</v>
      </c>
      <c r="T639">
        <v>8622</v>
      </c>
      <c r="U639">
        <v>12000</v>
      </c>
      <c r="V639">
        <v>1000</v>
      </c>
      <c r="W639">
        <v>1</v>
      </c>
    </row>
    <row r="640" spans="1:23" x14ac:dyDescent="0.25">
      <c r="A640" t="s">
        <v>1757</v>
      </c>
      <c r="B640" t="s">
        <v>1758</v>
      </c>
      <c r="C640">
        <v>796</v>
      </c>
      <c r="D640">
        <v>9433360</v>
      </c>
      <c r="E640">
        <v>26004404494</v>
      </c>
      <c r="F640">
        <v>2674</v>
      </c>
      <c r="G640">
        <v>2790</v>
      </c>
      <c r="H640">
        <v>2741</v>
      </c>
      <c r="I640">
        <v>67</v>
      </c>
      <c r="J640">
        <v>2.5099999999999998</v>
      </c>
      <c r="K640">
        <v>2757</v>
      </c>
      <c r="L640">
        <v>83</v>
      </c>
      <c r="M640">
        <v>3.1</v>
      </c>
      <c r="N640">
        <v>2686</v>
      </c>
      <c r="O640">
        <v>2807</v>
      </c>
      <c r="P640" t="s">
        <v>1759</v>
      </c>
      <c r="Q640" t="s">
        <v>2690</v>
      </c>
      <c r="R640">
        <v>2</v>
      </c>
      <c r="S640">
        <v>3497</v>
      </c>
      <c r="T640">
        <v>2742</v>
      </c>
      <c r="U640">
        <v>2785</v>
      </c>
      <c r="V640">
        <v>4000</v>
      </c>
      <c r="W640">
        <v>1</v>
      </c>
    </row>
    <row r="641" spans="1:23" x14ac:dyDescent="0.25">
      <c r="A641" t="s">
        <v>1760</v>
      </c>
      <c r="B641" t="s">
        <v>1761</v>
      </c>
      <c r="C641">
        <v>73</v>
      </c>
      <c r="D641">
        <v>132297</v>
      </c>
      <c r="E641">
        <v>82790734076</v>
      </c>
      <c r="F641">
        <v>625384</v>
      </c>
      <c r="G641">
        <v>625999</v>
      </c>
      <c r="H641">
        <v>626700</v>
      </c>
      <c r="I641">
        <v>1316</v>
      </c>
      <c r="J641">
        <v>0.21</v>
      </c>
      <c r="K641">
        <v>625794</v>
      </c>
      <c r="L641">
        <v>410</v>
      </c>
      <c r="M641">
        <v>7.0000000000000007E-2</v>
      </c>
      <c r="N641">
        <v>624000</v>
      </c>
      <c r="O641">
        <v>627000</v>
      </c>
      <c r="R641">
        <v>1</v>
      </c>
      <c r="S641">
        <v>1388</v>
      </c>
      <c r="T641">
        <v>626500</v>
      </c>
      <c r="U641">
        <v>627000</v>
      </c>
      <c r="V641">
        <v>5835</v>
      </c>
      <c r="W641">
        <v>3</v>
      </c>
    </row>
    <row r="642" spans="1:23" x14ac:dyDescent="0.25">
      <c r="A642" t="s">
        <v>1762</v>
      </c>
      <c r="B642" t="s">
        <v>1763</v>
      </c>
      <c r="C642">
        <v>924</v>
      </c>
      <c r="D642">
        <v>8877170</v>
      </c>
      <c r="E642">
        <v>16827820430</v>
      </c>
      <c r="F642">
        <v>1947</v>
      </c>
      <c r="G642">
        <v>1980</v>
      </c>
      <c r="H642">
        <v>1880</v>
      </c>
      <c r="I642">
        <v>-67</v>
      </c>
      <c r="J642">
        <v>-3.44</v>
      </c>
      <c r="K642">
        <v>1896</v>
      </c>
      <c r="L642">
        <v>-51</v>
      </c>
      <c r="M642">
        <v>-2.62</v>
      </c>
      <c r="N642">
        <v>1880</v>
      </c>
      <c r="O642">
        <v>1980</v>
      </c>
      <c r="P642" t="s">
        <v>388</v>
      </c>
      <c r="Q642" t="s">
        <v>2684</v>
      </c>
      <c r="R642">
        <v>3</v>
      </c>
      <c r="S642">
        <v>1850</v>
      </c>
      <c r="T642">
        <v>1880</v>
      </c>
      <c r="U642">
        <v>1881</v>
      </c>
      <c r="V642">
        <v>3062</v>
      </c>
      <c r="W642">
        <v>1</v>
      </c>
    </row>
    <row r="643" spans="1:23" x14ac:dyDescent="0.25">
      <c r="A643" t="s">
        <v>1764</v>
      </c>
      <c r="B643" t="s">
        <v>1765</v>
      </c>
      <c r="C643">
        <v>124</v>
      </c>
      <c r="D643">
        <v>488401</v>
      </c>
      <c r="E643">
        <v>1538394546</v>
      </c>
      <c r="F643">
        <v>3079</v>
      </c>
      <c r="G643">
        <v>3090</v>
      </c>
      <c r="H643">
        <v>3225</v>
      </c>
      <c r="I643">
        <v>146</v>
      </c>
      <c r="J643">
        <v>4.74</v>
      </c>
      <c r="K643">
        <v>3127</v>
      </c>
      <c r="L643">
        <v>48</v>
      </c>
      <c r="M643">
        <v>1.56</v>
      </c>
      <c r="N643">
        <v>3010</v>
      </c>
      <c r="O643">
        <v>3230</v>
      </c>
      <c r="P643" t="s">
        <v>1766</v>
      </c>
      <c r="Q643" t="s">
        <v>3115</v>
      </c>
      <c r="R643">
        <v>2</v>
      </c>
      <c r="S643">
        <v>13000</v>
      </c>
      <c r="T643">
        <v>3202</v>
      </c>
      <c r="U643">
        <v>3225</v>
      </c>
      <c r="V643">
        <v>2171</v>
      </c>
      <c r="W643">
        <v>2</v>
      </c>
    </row>
    <row r="644" spans="1:23" x14ac:dyDescent="0.25">
      <c r="A644" t="s">
        <v>1767</v>
      </c>
      <c r="B644" t="s">
        <v>1768</v>
      </c>
      <c r="C644">
        <v>0</v>
      </c>
      <c r="D644">
        <v>0</v>
      </c>
      <c r="E644">
        <v>0</v>
      </c>
      <c r="F644">
        <v>343</v>
      </c>
      <c r="G644">
        <v>0</v>
      </c>
      <c r="H644">
        <v>343</v>
      </c>
      <c r="I644">
        <v>0</v>
      </c>
      <c r="J644">
        <v>0</v>
      </c>
      <c r="K644">
        <v>343</v>
      </c>
      <c r="L644">
        <v>0</v>
      </c>
      <c r="M644">
        <v>0</v>
      </c>
      <c r="N644">
        <v>0</v>
      </c>
      <c r="O644">
        <v>0</v>
      </c>
      <c r="R644">
        <v>1</v>
      </c>
      <c r="S644">
        <v>50</v>
      </c>
      <c r="T644">
        <v>50</v>
      </c>
      <c r="U644">
        <v>800</v>
      </c>
      <c r="V644">
        <v>35</v>
      </c>
      <c r="W644">
        <v>2</v>
      </c>
    </row>
    <row r="645" spans="1:23" x14ac:dyDescent="0.25">
      <c r="A645" t="s">
        <v>1769</v>
      </c>
      <c r="B645" t="s">
        <v>1770</v>
      </c>
      <c r="C645">
        <v>361</v>
      </c>
      <c r="D645">
        <v>8955004</v>
      </c>
      <c r="E645">
        <v>44969799936</v>
      </c>
      <c r="F645">
        <v>4790</v>
      </c>
      <c r="G645">
        <v>5000</v>
      </c>
      <c r="H645">
        <v>5029</v>
      </c>
      <c r="I645">
        <v>239</v>
      </c>
      <c r="J645">
        <v>4.99</v>
      </c>
      <c r="K645">
        <v>5022</v>
      </c>
      <c r="L645">
        <v>232</v>
      </c>
      <c r="M645">
        <v>4.84</v>
      </c>
      <c r="N645">
        <v>4990</v>
      </c>
      <c r="O645">
        <v>5029</v>
      </c>
      <c r="P645" t="s">
        <v>1771</v>
      </c>
      <c r="Q645" t="s">
        <v>3116</v>
      </c>
      <c r="R645">
        <v>202</v>
      </c>
      <c r="S645">
        <v>11550480</v>
      </c>
      <c r="T645">
        <v>5029</v>
      </c>
      <c r="U645">
        <v>0</v>
      </c>
      <c r="V645">
        <v>0</v>
      </c>
      <c r="W645">
        <v>0</v>
      </c>
    </row>
    <row r="646" spans="1:23" x14ac:dyDescent="0.25">
      <c r="A646" t="s">
        <v>1772</v>
      </c>
      <c r="B646" t="s">
        <v>1773</v>
      </c>
      <c r="C646">
        <v>0</v>
      </c>
      <c r="D646">
        <v>0</v>
      </c>
      <c r="E646">
        <v>0</v>
      </c>
      <c r="F646">
        <v>661</v>
      </c>
      <c r="G646">
        <v>0</v>
      </c>
      <c r="H646">
        <v>661</v>
      </c>
      <c r="I646">
        <v>0</v>
      </c>
      <c r="J646">
        <v>0</v>
      </c>
      <c r="K646">
        <v>661</v>
      </c>
      <c r="L646">
        <v>0</v>
      </c>
      <c r="M646">
        <v>0</v>
      </c>
      <c r="N646">
        <v>0</v>
      </c>
      <c r="O646">
        <v>0</v>
      </c>
      <c r="R646">
        <v>1</v>
      </c>
      <c r="S646">
        <v>20</v>
      </c>
      <c r="T646">
        <v>433</v>
      </c>
      <c r="U646">
        <v>0</v>
      </c>
      <c r="V646">
        <v>0</v>
      </c>
      <c r="W646">
        <v>0</v>
      </c>
    </row>
    <row r="647" spans="1:23" x14ac:dyDescent="0.25">
      <c r="A647" t="s">
        <v>2703</v>
      </c>
      <c r="B647" t="s">
        <v>2704</v>
      </c>
      <c r="C647">
        <v>550</v>
      </c>
      <c r="D647">
        <v>4939133</v>
      </c>
      <c r="E647">
        <v>20953010831</v>
      </c>
      <c r="F647">
        <v>4256</v>
      </c>
      <c r="G647">
        <v>4250</v>
      </c>
      <c r="H647">
        <v>4198</v>
      </c>
      <c r="I647">
        <v>-58</v>
      </c>
      <c r="J647">
        <v>-1.36</v>
      </c>
      <c r="K647">
        <v>4242</v>
      </c>
      <c r="L647">
        <v>-14</v>
      </c>
      <c r="M647">
        <v>-0.33</v>
      </c>
      <c r="N647">
        <v>4160</v>
      </c>
      <c r="O647">
        <v>4304</v>
      </c>
      <c r="P647" t="s">
        <v>2705</v>
      </c>
      <c r="Q647" t="s">
        <v>3117</v>
      </c>
      <c r="R647">
        <v>1</v>
      </c>
      <c r="S647">
        <v>2185</v>
      </c>
      <c r="T647">
        <v>4198</v>
      </c>
      <c r="U647">
        <v>4200</v>
      </c>
      <c r="V647">
        <v>78034</v>
      </c>
      <c r="W647">
        <v>4</v>
      </c>
    </row>
    <row r="648" spans="1:23" x14ac:dyDescent="0.25">
      <c r="A648" t="s">
        <v>1774</v>
      </c>
      <c r="B648" t="s">
        <v>1775</v>
      </c>
      <c r="C648">
        <v>167</v>
      </c>
      <c r="D648">
        <v>674537</v>
      </c>
      <c r="E648">
        <v>2482401718</v>
      </c>
      <c r="F648">
        <v>3589</v>
      </c>
      <c r="G648">
        <v>3660</v>
      </c>
      <c r="H648">
        <v>3660</v>
      </c>
      <c r="I648">
        <v>71</v>
      </c>
      <c r="J648">
        <v>1.98</v>
      </c>
      <c r="K648">
        <v>3611</v>
      </c>
      <c r="L648">
        <v>22</v>
      </c>
      <c r="M648">
        <v>0.61</v>
      </c>
      <c r="N648">
        <v>3630</v>
      </c>
      <c r="O648">
        <v>3753</v>
      </c>
      <c r="P648" t="s">
        <v>1776</v>
      </c>
      <c r="Q648" t="s">
        <v>3118</v>
      </c>
      <c r="R648">
        <v>1</v>
      </c>
      <c r="S648">
        <v>600</v>
      </c>
      <c r="T648">
        <v>3657</v>
      </c>
      <c r="U648">
        <v>3660</v>
      </c>
      <c r="V648">
        <v>8257</v>
      </c>
      <c r="W648">
        <v>1</v>
      </c>
    </row>
    <row r="649" spans="1:23" x14ac:dyDescent="0.25">
      <c r="A649" t="s">
        <v>1777</v>
      </c>
      <c r="B649" t="s">
        <v>1778</v>
      </c>
      <c r="C649">
        <v>267</v>
      </c>
      <c r="D649">
        <v>1240248</v>
      </c>
      <c r="E649">
        <v>6237509086</v>
      </c>
      <c r="F649">
        <v>4808</v>
      </c>
      <c r="G649">
        <v>5030</v>
      </c>
      <c r="H649">
        <v>5048</v>
      </c>
      <c r="I649">
        <v>240</v>
      </c>
      <c r="J649">
        <v>4.99</v>
      </c>
      <c r="K649">
        <v>5029</v>
      </c>
      <c r="L649">
        <v>221</v>
      </c>
      <c r="M649">
        <v>4.5999999999999996</v>
      </c>
      <c r="N649">
        <v>4900</v>
      </c>
      <c r="O649">
        <v>5048</v>
      </c>
      <c r="P649" t="s">
        <v>1779</v>
      </c>
      <c r="Q649" t="s">
        <v>3119</v>
      </c>
      <c r="R649">
        <v>6</v>
      </c>
      <c r="S649">
        <v>84290</v>
      </c>
      <c r="T649">
        <v>5048</v>
      </c>
      <c r="U649">
        <v>0</v>
      </c>
      <c r="V649">
        <v>0</v>
      </c>
      <c r="W649">
        <v>0</v>
      </c>
    </row>
    <row r="650" spans="1:23" x14ac:dyDescent="0.25">
      <c r="A650" t="s">
        <v>1780</v>
      </c>
      <c r="B650" t="s">
        <v>1781</v>
      </c>
      <c r="C650">
        <v>9</v>
      </c>
      <c r="D650">
        <v>41322</v>
      </c>
      <c r="E650">
        <v>562722996</v>
      </c>
      <c r="F650">
        <v>12970</v>
      </c>
      <c r="G650">
        <v>13618</v>
      </c>
      <c r="H650">
        <v>13618</v>
      </c>
      <c r="I650">
        <v>648</v>
      </c>
      <c r="J650">
        <v>5</v>
      </c>
      <c r="K650">
        <v>13037</v>
      </c>
      <c r="L650">
        <v>67</v>
      </c>
      <c r="M650">
        <v>0.52</v>
      </c>
      <c r="N650">
        <v>13618</v>
      </c>
      <c r="O650">
        <v>13618</v>
      </c>
      <c r="P650" t="s">
        <v>1782</v>
      </c>
      <c r="Q650" t="s">
        <v>3120</v>
      </c>
      <c r="R650">
        <v>66</v>
      </c>
      <c r="S650">
        <v>762233</v>
      </c>
      <c r="T650">
        <v>13618</v>
      </c>
      <c r="U650">
        <v>18500</v>
      </c>
      <c r="V650">
        <v>2379</v>
      </c>
      <c r="W650">
        <v>1</v>
      </c>
    </row>
    <row r="651" spans="1:23" x14ac:dyDescent="0.25">
      <c r="A651" t="s">
        <v>1783</v>
      </c>
      <c r="B651" t="s">
        <v>1784</v>
      </c>
      <c r="C651">
        <v>462</v>
      </c>
      <c r="D651">
        <v>1060106</v>
      </c>
      <c r="E651">
        <v>11155168654</v>
      </c>
      <c r="F651">
        <v>10992</v>
      </c>
      <c r="G651">
        <v>11721</v>
      </c>
      <c r="H651">
        <v>10459</v>
      </c>
      <c r="I651">
        <v>-533</v>
      </c>
      <c r="J651">
        <v>-4.8499999999999996</v>
      </c>
      <c r="K651">
        <v>10523</v>
      </c>
      <c r="L651">
        <v>-469</v>
      </c>
      <c r="M651">
        <v>-4.2699999999999996</v>
      </c>
      <c r="N651">
        <v>10070</v>
      </c>
      <c r="O651">
        <v>11721</v>
      </c>
      <c r="P651" t="s">
        <v>388</v>
      </c>
      <c r="Q651" t="s">
        <v>3121</v>
      </c>
      <c r="R651">
        <v>1</v>
      </c>
      <c r="S651">
        <v>50</v>
      </c>
      <c r="T651">
        <v>10458</v>
      </c>
      <c r="U651">
        <v>10518</v>
      </c>
      <c r="V651">
        <v>500</v>
      </c>
      <c r="W651">
        <v>1</v>
      </c>
    </row>
    <row r="652" spans="1:23" x14ac:dyDescent="0.25">
      <c r="A652" t="s">
        <v>1785</v>
      </c>
      <c r="B652" t="s">
        <v>1786</v>
      </c>
      <c r="C652">
        <v>96</v>
      </c>
      <c r="D652">
        <v>89887</v>
      </c>
      <c r="E652">
        <v>647298797</v>
      </c>
      <c r="F652">
        <v>7391</v>
      </c>
      <c r="G652">
        <v>7511</v>
      </c>
      <c r="H652">
        <v>7162</v>
      </c>
      <c r="I652">
        <v>-229</v>
      </c>
      <c r="J652">
        <v>-3.1</v>
      </c>
      <c r="K652">
        <v>7357</v>
      </c>
      <c r="L652">
        <v>-34</v>
      </c>
      <c r="M652">
        <v>-0.46</v>
      </c>
      <c r="N652">
        <v>7100</v>
      </c>
      <c r="O652">
        <v>7511</v>
      </c>
      <c r="P652" t="s">
        <v>1787</v>
      </c>
      <c r="Q652" t="s">
        <v>2776</v>
      </c>
      <c r="R652">
        <v>1</v>
      </c>
      <c r="S652">
        <v>500</v>
      </c>
      <c r="T652">
        <v>7161</v>
      </c>
      <c r="U652">
        <v>7162</v>
      </c>
      <c r="V652">
        <v>25807</v>
      </c>
      <c r="W652">
        <v>2</v>
      </c>
    </row>
    <row r="653" spans="1:23" x14ac:dyDescent="0.25">
      <c r="A653" t="s">
        <v>1788</v>
      </c>
      <c r="B653" t="s">
        <v>1789</v>
      </c>
      <c r="C653">
        <v>226</v>
      </c>
      <c r="D653">
        <v>2040447</v>
      </c>
      <c r="E653">
        <v>6958795808</v>
      </c>
      <c r="F653">
        <v>3444</v>
      </c>
      <c r="G653">
        <v>3645</v>
      </c>
      <c r="H653">
        <v>3439</v>
      </c>
      <c r="I653">
        <v>-5</v>
      </c>
      <c r="J653">
        <v>-0.15</v>
      </c>
      <c r="K653">
        <v>3410</v>
      </c>
      <c r="L653">
        <v>-34</v>
      </c>
      <c r="M653">
        <v>-0.99</v>
      </c>
      <c r="N653">
        <v>3360</v>
      </c>
      <c r="O653">
        <v>3645</v>
      </c>
      <c r="R653">
        <v>1</v>
      </c>
      <c r="S653">
        <v>1100</v>
      </c>
      <c r="T653">
        <v>3412</v>
      </c>
      <c r="U653">
        <v>3475</v>
      </c>
      <c r="V653">
        <v>3914</v>
      </c>
      <c r="W653">
        <v>1</v>
      </c>
    </row>
    <row r="654" spans="1:23" x14ac:dyDescent="0.25">
      <c r="A654" t="s">
        <v>1790</v>
      </c>
      <c r="B654" t="s">
        <v>1791</v>
      </c>
      <c r="C654">
        <v>775</v>
      </c>
      <c r="D654">
        <v>4947926</v>
      </c>
      <c r="E654">
        <v>18286530696</v>
      </c>
      <c r="F654">
        <v>3741</v>
      </c>
      <c r="G654">
        <v>3785</v>
      </c>
      <c r="H654">
        <v>3679</v>
      </c>
      <c r="I654">
        <v>-62</v>
      </c>
      <c r="J654">
        <v>-1.66</v>
      </c>
      <c r="K654">
        <v>3696</v>
      </c>
      <c r="L654">
        <v>-45</v>
      </c>
      <c r="M654">
        <v>-1.2</v>
      </c>
      <c r="N654">
        <v>3651</v>
      </c>
      <c r="O654">
        <v>3785</v>
      </c>
      <c r="P654" t="s">
        <v>720</v>
      </c>
      <c r="Q654" t="s">
        <v>3122</v>
      </c>
      <c r="R654">
        <v>1</v>
      </c>
      <c r="S654">
        <v>52</v>
      </c>
      <c r="T654">
        <v>3677</v>
      </c>
      <c r="U654">
        <v>3678</v>
      </c>
      <c r="V654">
        <v>6635</v>
      </c>
      <c r="W654">
        <v>1</v>
      </c>
    </row>
    <row r="655" spans="1:23" x14ac:dyDescent="0.25">
      <c r="A655" t="s">
        <v>1792</v>
      </c>
      <c r="B655" t="s">
        <v>1793</v>
      </c>
      <c r="C655">
        <v>202</v>
      </c>
      <c r="D655">
        <v>1813607</v>
      </c>
      <c r="E655">
        <v>4843386078</v>
      </c>
      <c r="F655">
        <v>2677</v>
      </c>
      <c r="G655">
        <v>2740</v>
      </c>
      <c r="H655">
        <v>2571</v>
      </c>
      <c r="I655">
        <v>-106</v>
      </c>
      <c r="J655">
        <v>-3.96</v>
      </c>
      <c r="K655">
        <v>2674</v>
      </c>
      <c r="L655">
        <v>-3</v>
      </c>
      <c r="M655">
        <v>-0.11</v>
      </c>
      <c r="N655">
        <v>2551</v>
      </c>
      <c r="O655">
        <v>2751</v>
      </c>
      <c r="P655" t="s">
        <v>1794</v>
      </c>
      <c r="Q655" t="s">
        <v>3123</v>
      </c>
      <c r="R655">
        <v>2</v>
      </c>
      <c r="S655">
        <v>1772</v>
      </c>
      <c r="T655">
        <v>2573</v>
      </c>
      <c r="U655">
        <v>2629</v>
      </c>
      <c r="V655">
        <v>1000</v>
      </c>
      <c r="W655">
        <v>1</v>
      </c>
    </row>
    <row r="656" spans="1:23" x14ac:dyDescent="0.25">
      <c r="A656" t="s">
        <v>1795</v>
      </c>
      <c r="B656" t="s">
        <v>1796</v>
      </c>
      <c r="C656">
        <v>1059</v>
      </c>
      <c r="D656">
        <v>7478656</v>
      </c>
      <c r="E656">
        <v>26158132779</v>
      </c>
      <c r="F656">
        <v>3488</v>
      </c>
      <c r="G656">
        <v>3500</v>
      </c>
      <c r="H656">
        <v>3483</v>
      </c>
      <c r="I656">
        <v>-5</v>
      </c>
      <c r="J656">
        <v>-0.14000000000000001</v>
      </c>
      <c r="K656">
        <v>3498</v>
      </c>
      <c r="L656">
        <v>10</v>
      </c>
      <c r="M656">
        <v>0.28999999999999998</v>
      </c>
      <c r="N656">
        <v>3470</v>
      </c>
      <c r="O656">
        <v>3529</v>
      </c>
      <c r="P656" t="s">
        <v>1797</v>
      </c>
      <c r="Q656" t="s">
        <v>2927</v>
      </c>
      <c r="R656">
        <v>2</v>
      </c>
      <c r="S656">
        <v>6382</v>
      </c>
      <c r="T656">
        <v>3481</v>
      </c>
      <c r="U656">
        <v>3483</v>
      </c>
      <c r="V656">
        <v>21406</v>
      </c>
      <c r="W656">
        <v>1</v>
      </c>
    </row>
    <row r="657" spans="1:23" x14ac:dyDescent="0.25">
      <c r="A657" t="s">
        <v>3124</v>
      </c>
      <c r="B657" t="s">
        <v>3125</v>
      </c>
      <c r="C657">
        <v>0</v>
      </c>
      <c r="D657">
        <v>0</v>
      </c>
      <c r="E657">
        <v>0</v>
      </c>
      <c r="F657">
        <v>136500</v>
      </c>
      <c r="G657">
        <v>0</v>
      </c>
      <c r="H657">
        <v>136500</v>
      </c>
      <c r="I657">
        <v>0</v>
      </c>
      <c r="J657">
        <v>0</v>
      </c>
      <c r="K657">
        <v>136500</v>
      </c>
      <c r="L657">
        <v>0</v>
      </c>
      <c r="M657">
        <v>0</v>
      </c>
      <c r="N657">
        <v>0</v>
      </c>
      <c r="O657">
        <v>0</v>
      </c>
      <c r="R657">
        <v>1</v>
      </c>
      <c r="S657">
        <v>7</v>
      </c>
      <c r="T657">
        <v>143325</v>
      </c>
      <c r="U657">
        <v>0</v>
      </c>
      <c r="V657">
        <v>0</v>
      </c>
      <c r="W657">
        <v>0</v>
      </c>
    </row>
    <row r="658" spans="1:23" x14ac:dyDescent="0.25">
      <c r="A658" t="s">
        <v>1798</v>
      </c>
      <c r="B658" t="s">
        <v>1799</v>
      </c>
      <c r="C658">
        <v>0</v>
      </c>
      <c r="D658">
        <v>0</v>
      </c>
      <c r="E658">
        <v>0</v>
      </c>
      <c r="F658">
        <v>995000</v>
      </c>
      <c r="G658">
        <v>0</v>
      </c>
      <c r="H658">
        <v>995000</v>
      </c>
      <c r="I658">
        <v>0</v>
      </c>
      <c r="J658">
        <v>0</v>
      </c>
      <c r="K658">
        <v>995000</v>
      </c>
      <c r="L658">
        <v>0</v>
      </c>
      <c r="M658">
        <v>0</v>
      </c>
      <c r="N658">
        <v>0</v>
      </c>
      <c r="O658">
        <v>0</v>
      </c>
      <c r="R658">
        <v>1</v>
      </c>
      <c r="S658">
        <v>1500</v>
      </c>
      <c r="T658">
        <v>995000</v>
      </c>
      <c r="U658">
        <v>1004950</v>
      </c>
      <c r="V658">
        <v>1500</v>
      </c>
      <c r="W658">
        <v>1</v>
      </c>
    </row>
    <row r="659" spans="1:23" x14ac:dyDescent="0.25">
      <c r="A659" t="s">
        <v>1800</v>
      </c>
      <c r="B659" t="s">
        <v>1801</v>
      </c>
      <c r="C659">
        <v>85</v>
      </c>
      <c r="D659">
        <v>579412</v>
      </c>
      <c r="E659">
        <v>1607163652</v>
      </c>
      <c r="F659">
        <v>2664</v>
      </c>
      <c r="G659">
        <v>2601</v>
      </c>
      <c r="H659">
        <v>2772</v>
      </c>
      <c r="I659">
        <v>108</v>
      </c>
      <c r="J659">
        <v>4.05</v>
      </c>
      <c r="K659">
        <v>2774</v>
      </c>
      <c r="L659">
        <v>110</v>
      </c>
      <c r="M659">
        <v>4.13</v>
      </c>
      <c r="N659">
        <v>2601</v>
      </c>
      <c r="O659">
        <v>2797</v>
      </c>
      <c r="P659" t="s">
        <v>1171</v>
      </c>
      <c r="Q659" t="s">
        <v>3126</v>
      </c>
      <c r="R659">
        <v>2</v>
      </c>
      <c r="S659">
        <v>1200</v>
      </c>
      <c r="T659">
        <v>2750</v>
      </c>
      <c r="U659">
        <v>2771</v>
      </c>
      <c r="V659">
        <v>1361</v>
      </c>
      <c r="W659">
        <v>1</v>
      </c>
    </row>
    <row r="660" spans="1:23" x14ac:dyDescent="0.25">
      <c r="A660" t="s">
        <v>1802</v>
      </c>
      <c r="B660" t="s">
        <v>1803</v>
      </c>
      <c r="C660">
        <v>41</v>
      </c>
      <c r="D660">
        <v>727</v>
      </c>
      <c r="E660">
        <v>292225886</v>
      </c>
      <c r="F660">
        <v>405963</v>
      </c>
      <c r="G660">
        <v>400011</v>
      </c>
      <c r="H660">
        <v>393010</v>
      </c>
      <c r="I660">
        <v>-12953</v>
      </c>
      <c r="J660">
        <v>-3.19</v>
      </c>
      <c r="K660">
        <v>401961</v>
      </c>
      <c r="L660">
        <v>-4002</v>
      </c>
      <c r="M660">
        <v>-0.99</v>
      </c>
      <c r="N660">
        <v>387000</v>
      </c>
      <c r="O660">
        <v>410000</v>
      </c>
      <c r="R660">
        <v>1</v>
      </c>
      <c r="S660">
        <v>31</v>
      </c>
      <c r="T660">
        <v>393010</v>
      </c>
      <c r="U660">
        <v>409995</v>
      </c>
      <c r="V660">
        <v>87</v>
      </c>
      <c r="W660">
        <v>2</v>
      </c>
    </row>
    <row r="661" spans="1:23" x14ac:dyDescent="0.25">
      <c r="A661" t="s">
        <v>1804</v>
      </c>
      <c r="B661" t="s">
        <v>1805</v>
      </c>
      <c r="C661">
        <v>0</v>
      </c>
      <c r="D661">
        <v>0</v>
      </c>
      <c r="E661">
        <v>0</v>
      </c>
      <c r="F661">
        <v>940492</v>
      </c>
      <c r="G661">
        <v>0</v>
      </c>
      <c r="H661">
        <v>940490</v>
      </c>
      <c r="I661">
        <v>-2</v>
      </c>
      <c r="J661">
        <v>0</v>
      </c>
      <c r="K661">
        <v>940492</v>
      </c>
      <c r="L661">
        <v>0</v>
      </c>
      <c r="M661">
        <v>0</v>
      </c>
      <c r="N661">
        <v>0</v>
      </c>
      <c r="O661">
        <v>0</v>
      </c>
      <c r="R661">
        <v>2</v>
      </c>
      <c r="S661">
        <v>77</v>
      </c>
      <c r="T661">
        <v>940201</v>
      </c>
      <c r="U661">
        <v>978000</v>
      </c>
      <c r="V661">
        <v>200</v>
      </c>
      <c r="W661">
        <v>1</v>
      </c>
    </row>
    <row r="662" spans="1:23" x14ac:dyDescent="0.25">
      <c r="A662" t="s">
        <v>1806</v>
      </c>
      <c r="B662" t="s">
        <v>1807</v>
      </c>
      <c r="C662">
        <v>0</v>
      </c>
      <c r="D662">
        <v>0</v>
      </c>
      <c r="E662">
        <v>0</v>
      </c>
      <c r="F662">
        <v>900000</v>
      </c>
      <c r="G662">
        <v>0</v>
      </c>
      <c r="H662">
        <v>900000</v>
      </c>
      <c r="I662">
        <v>0</v>
      </c>
      <c r="J662">
        <v>0</v>
      </c>
      <c r="K662">
        <v>900000</v>
      </c>
      <c r="L662">
        <v>0</v>
      </c>
      <c r="M662">
        <v>0</v>
      </c>
      <c r="N662">
        <v>0</v>
      </c>
      <c r="O662">
        <v>0</v>
      </c>
      <c r="R662">
        <v>1</v>
      </c>
      <c r="S662">
        <v>700</v>
      </c>
      <c r="T662">
        <v>900000</v>
      </c>
      <c r="U662">
        <v>920000</v>
      </c>
      <c r="V662">
        <v>700</v>
      </c>
      <c r="W662">
        <v>1</v>
      </c>
    </row>
    <row r="663" spans="1:23" x14ac:dyDescent="0.25">
      <c r="A663" t="s">
        <v>1808</v>
      </c>
      <c r="B663" t="s">
        <v>1809</v>
      </c>
      <c r="C663">
        <v>783</v>
      </c>
      <c r="D663">
        <v>3850904</v>
      </c>
      <c r="E663">
        <v>24903960396</v>
      </c>
      <c r="F663">
        <v>6545</v>
      </c>
      <c r="G663">
        <v>6589</v>
      </c>
      <c r="H663">
        <v>6398</v>
      </c>
      <c r="I663">
        <v>-147</v>
      </c>
      <c r="J663">
        <v>-2.25</v>
      </c>
      <c r="K663">
        <v>6467</v>
      </c>
      <c r="L663">
        <v>-78</v>
      </c>
      <c r="M663">
        <v>-1.19</v>
      </c>
      <c r="N663">
        <v>6347</v>
      </c>
      <c r="O663">
        <v>6589</v>
      </c>
      <c r="P663" t="s">
        <v>1679</v>
      </c>
      <c r="Q663" t="s">
        <v>3127</v>
      </c>
      <c r="R663">
        <v>2</v>
      </c>
      <c r="S663">
        <v>1835</v>
      </c>
      <c r="T663">
        <v>6394</v>
      </c>
      <c r="U663">
        <v>6398</v>
      </c>
      <c r="V663">
        <v>8982</v>
      </c>
      <c r="W663">
        <v>1</v>
      </c>
    </row>
    <row r="664" spans="1:23" x14ac:dyDescent="0.25">
      <c r="A664" t="s">
        <v>2706</v>
      </c>
      <c r="B664" t="s">
        <v>2707</v>
      </c>
      <c r="C664">
        <v>24</v>
      </c>
      <c r="D664">
        <v>600000</v>
      </c>
      <c r="E664">
        <v>6648600000</v>
      </c>
      <c r="F664">
        <v>10554</v>
      </c>
      <c r="G664">
        <v>11081</v>
      </c>
      <c r="H664">
        <v>11081</v>
      </c>
      <c r="I664">
        <v>527</v>
      </c>
      <c r="J664">
        <v>4.99</v>
      </c>
      <c r="K664">
        <v>11081</v>
      </c>
      <c r="L664">
        <v>527</v>
      </c>
      <c r="M664">
        <v>4.99</v>
      </c>
      <c r="N664">
        <v>11081</v>
      </c>
      <c r="O664">
        <v>11081</v>
      </c>
      <c r="P664" t="s">
        <v>2708</v>
      </c>
      <c r="Q664" t="s">
        <v>3128</v>
      </c>
      <c r="R664">
        <v>255</v>
      </c>
      <c r="S664">
        <v>7480909</v>
      </c>
      <c r="T664">
        <v>11081</v>
      </c>
      <c r="U664">
        <v>0</v>
      </c>
      <c r="V664">
        <v>0</v>
      </c>
      <c r="W664">
        <v>0</v>
      </c>
    </row>
    <row r="665" spans="1:23" x14ac:dyDescent="0.25">
      <c r="A665" t="s">
        <v>1810</v>
      </c>
      <c r="B665" t="s">
        <v>1811</v>
      </c>
      <c r="C665">
        <v>0</v>
      </c>
      <c r="D665">
        <v>0</v>
      </c>
      <c r="E665">
        <v>0</v>
      </c>
      <c r="F665">
        <v>1000000</v>
      </c>
      <c r="G665">
        <v>0</v>
      </c>
      <c r="H665">
        <v>1000000</v>
      </c>
      <c r="I665">
        <v>0</v>
      </c>
      <c r="J665">
        <v>0</v>
      </c>
      <c r="K665">
        <v>1000000</v>
      </c>
      <c r="L665">
        <v>0</v>
      </c>
      <c r="M665">
        <v>0</v>
      </c>
      <c r="N665">
        <v>0</v>
      </c>
      <c r="O665">
        <v>0</v>
      </c>
      <c r="R665">
        <v>1</v>
      </c>
      <c r="S665">
        <v>1000</v>
      </c>
      <c r="T665">
        <v>1000001</v>
      </c>
      <c r="U665">
        <v>1010000</v>
      </c>
      <c r="V665">
        <v>200</v>
      </c>
      <c r="W665">
        <v>1</v>
      </c>
    </row>
    <row r="666" spans="1:23" x14ac:dyDescent="0.25">
      <c r="A666" t="s">
        <v>1812</v>
      </c>
      <c r="B666" t="s">
        <v>1813</v>
      </c>
      <c r="C666">
        <v>400</v>
      </c>
      <c r="D666">
        <v>2802668</v>
      </c>
      <c r="E666">
        <v>76995177268</v>
      </c>
      <c r="F666">
        <v>26261</v>
      </c>
      <c r="G666">
        <v>26999</v>
      </c>
      <c r="H666">
        <v>27574</v>
      </c>
      <c r="I666">
        <v>1313</v>
      </c>
      <c r="J666">
        <v>5</v>
      </c>
      <c r="K666">
        <v>27472</v>
      </c>
      <c r="L666">
        <v>1211</v>
      </c>
      <c r="M666">
        <v>4.6100000000000003</v>
      </c>
      <c r="N666">
        <v>26900</v>
      </c>
      <c r="O666">
        <v>27574</v>
      </c>
      <c r="P666" t="s">
        <v>1814</v>
      </c>
      <c r="Q666" t="s">
        <v>3129</v>
      </c>
      <c r="R666">
        <v>33</v>
      </c>
      <c r="S666">
        <v>1885689</v>
      </c>
      <c r="T666">
        <v>27574</v>
      </c>
      <c r="U666">
        <v>27691</v>
      </c>
      <c r="V666">
        <v>540</v>
      </c>
      <c r="W666">
        <v>2</v>
      </c>
    </row>
    <row r="667" spans="1:23" x14ac:dyDescent="0.25">
      <c r="A667" t="s">
        <v>1815</v>
      </c>
      <c r="B667" t="s">
        <v>1816</v>
      </c>
      <c r="C667">
        <v>0</v>
      </c>
      <c r="D667">
        <v>0</v>
      </c>
      <c r="E667">
        <v>0</v>
      </c>
      <c r="F667">
        <v>1000000</v>
      </c>
      <c r="G667">
        <v>0</v>
      </c>
      <c r="H667">
        <v>1000000</v>
      </c>
      <c r="I667">
        <v>0</v>
      </c>
      <c r="J667">
        <v>0</v>
      </c>
      <c r="K667">
        <v>1000000</v>
      </c>
      <c r="L667">
        <v>0</v>
      </c>
      <c r="M667">
        <v>0</v>
      </c>
      <c r="N667">
        <v>0</v>
      </c>
      <c r="O667">
        <v>0</v>
      </c>
      <c r="R667">
        <v>1</v>
      </c>
      <c r="S667">
        <v>1000</v>
      </c>
      <c r="T667">
        <v>990000</v>
      </c>
      <c r="U667">
        <v>1000000</v>
      </c>
      <c r="V667">
        <v>1000</v>
      </c>
      <c r="W667">
        <v>1</v>
      </c>
    </row>
    <row r="668" spans="1:23" x14ac:dyDescent="0.25">
      <c r="A668" t="s">
        <v>1817</v>
      </c>
      <c r="B668" t="s">
        <v>1818</v>
      </c>
      <c r="C668">
        <v>0</v>
      </c>
      <c r="D668">
        <v>0</v>
      </c>
      <c r="E668">
        <v>0</v>
      </c>
      <c r="F668">
        <v>690</v>
      </c>
      <c r="G668">
        <v>0</v>
      </c>
      <c r="H668">
        <v>720</v>
      </c>
      <c r="I668">
        <v>30</v>
      </c>
      <c r="J668">
        <v>4.3499999999999996</v>
      </c>
      <c r="K668">
        <v>690</v>
      </c>
      <c r="L668">
        <v>0</v>
      </c>
      <c r="M668">
        <v>0</v>
      </c>
      <c r="N668">
        <v>0</v>
      </c>
      <c r="O668">
        <v>0</v>
      </c>
      <c r="R668">
        <v>5</v>
      </c>
      <c r="S668">
        <v>500</v>
      </c>
      <c r="T668">
        <v>304</v>
      </c>
      <c r="U668">
        <v>851</v>
      </c>
      <c r="V668">
        <v>500</v>
      </c>
      <c r="W668">
        <v>5</v>
      </c>
    </row>
    <row r="669" spans="1:23" x14ac:dyDescent="0.25">
      <c r="A669" t="s">
        <v>1819</v>
      </c>
      <c r="B669" t="s">
        <v>1820</v>
      </c>
      <c r="C669">
        <v>0</v>
      </c>
      <c r="D669">
        <v>0</v>
      </c>
      <c r="E669">
        <v>0</v>
      </c>
      <c r="F669">
        <v>1</v>
      </c>
      <c r="G669">
        <v>0</v>
      </c>
      <c r="H669">
        <v>1</v>
      </c>
      <c r="I669">
        <v>0</v>
      </c>
      <c r="J669">
        <v>0</v>
      </c>
      <c r="K669">
        <v>1</v>
      </c>
      <c r="L669">
        <v>0</v>
      </c>
      <c r="M669">
        <v>0</v>
      </c>
      <c r="N669">
        <v>0</v>
      </c>
      <c r="O669">
        <v>0</v>
      </c>
      <c r="R669">
        <v>2</v>
      </c>
      <c r="S669">
        <v>200</v>
      </c>
      <c r="T669">
        <v>36</v>
      </c>
      <c r="U669">
        <v>0</v>
      </c>
      <c r="V669">
        <v>0</v>
      </c>
      <c r="W669">
        <v>0</v>
      </c>
    </row>
    <row r="670" spans="1:23" x14ac:dyDescent="0.25">
      <c r="A670" t="s">
        <v>1821</v>
      </c>
      <c r="B670" t="s">
        <v>1822</v>
      </c>
      <c r="C670">
        <v>683</v>
      </c>
      <c r="D670">
        <v>4812667</v>
      </c>
      <c r="E670">
        <v>29550994158</v>
      </c>
      <c r="F670">
        <v>6123</v>
      </c>
      <c r="G670">
        <v>6219</v>
      </c>
      <c r="H670">
        <v>6170</v>
      </c>
      <c r="I670">
        <v>47</v>
      </c>
      <c r="J670">
        <v>0.77</v>
      </c>
      <c r="K670">
        <v>6140</v>
      </c>
      <c r="L670">
        <v>17</v>
      </c>
      <c r="M670">
        <v>0.28000000000000003</v>
      </c>
      <c r="N670">
        <v>6045</v>
      </c>
      <c r="O670">
        <v>6280</v>
      </c>
      <c r="P670" t="s">
        <v>1823</v>
      </c>
      <c r="Q670" t="s">
        <v>3130</v>
      </c>
      <c r="R670">
        <v>2</v>
      </c>
      <c r="S670">
        <v>4618</v>
      </c>
      <c r="T670">
        <v>6171</v>
      </c>
      <c r="U670">
        <v>6198</v>
      </c>
      <c r="V670">
        <v>31298</v>
      </c>
      <c r="W670">
        <v>1</v>
      </c>
    </row>
    <row r="671" spans="1:23" x14ac:dyDescent="0.25">
      <c r="A671" t="s">
        <v>1824</v>
      </c>
      <c r="B671" t="s">
        <v>1825</v>
      </c>
      <c r="C671">
        <v>641</v>
      </c>
      <c r="D671">
        <v>527145</v>
      </c>
      <c r="E671">
        <v>16786673529</v>
      </c>
      <c r="F671">
        <v>31937</v>
      </c>
      <c r="G671">
        <v>32680</v>
      </c>
      <c r="H671">
        <v>31720</v>
      </c>
      <c r="I671">
        <v>-217</v>
      </c>
      <c r="J671">
        <v>-0.68</v>
      </c>
      <c r="K671">
        <v>31845</v>
      </c>
      <c r="L671">
        <v>-92</v>
      </c>
      <c r="M671">
        <v>-0.28999999999999998</v>
      </c>
      <c r="N671">
        <v>31621</v>
      </c>
      <c r="O671">
        <v>32680</v>
      </c>
      <c r="P671" t="s">
        <v>2709</v>
      </c>
      <c r="Q671" t="s">
        <v>3131</v>
      </c>
      <c r="R671">
        <v>4</v>
      </c>
      <c r="S671">
        <v>1127</v>
      </c>
      <c r="T671">
        <v>31700</v>
      </c>
      <c r="U671">
        <v>31720</v>
      </c>
      <c r="V671">
        <v>624</v>
      </c>
      <c r="W671">
        <v>1</v>
      </c>
    </row>
    <row r="672" spans="1:23" x14ac:dyDescent="0.25">
      <c r="A672" t="s">
        <v>1826</v>
      </c>
      <c r="B672" t="s">
        <v>1827</v>
      </c>
      <c r="C672">
        <v>0</v>
      </c>
      <c r="D672">
        <v>0</v>
      </c>
      <c r="E672">
        <v>0</v>
      </c>
      <c r="F672">
        <v>924</v>
      </c>
      <c r="G672">
        <v>0</v>
      </c>
      <c r="H672">
        <v>924</v>
      </c>
      <c r="I672">
        <v>0</v>
      </c>
      <c r="J672">
        <v>0</v>
      </c>
      <c r="K672">
        <v>924</v>
      </c>
      <c r="L672">
        <v>0</v>
      </c>
      <c r="M672">
        <v>0</v>
      </c>
      <c r="N672">
        <v>0</v>
      </c>
      <c r="O672">
        <v>0</v>
      </c>
      <c r="P672" t="s">
        <v>1828</v>
      </c>
      <c r="Q672" t="s">
        <v>1829</v>
      </c>
      <c r="R672">
        <v>2</v>
      </c>
      <c r="S672">
        <v>31830</v>
      </c>
      <c r="T672">
        <v>2022</v>
      </c>
      <c r="U672">
        <v>0</v>
      </c>
      <c r="V672">
        <v>0</v>
      </c>
      <c r="W672">
        <v>0</v>
      </c>
    </row>
    <row r="673" spans="1:23" x14ac:dyDescent="0.25">
      <c r="A673" t="s">
        <v>3132</v>
      </c>
      <c r="B673" t="s">
        <v>3133</v>
      </c>
      <c r="C673">
        <v>0</v>
      </c>
      <c r="D673">
        <v>0</v>
      </c>
      <c r="E673">
        <v>0</v>
      </c>
      <c r="F673">
        <v>1</v>
      </c>
      <c r="G673">
        <v>0</v>
      </c>
      <c r="H673">
        <v>1</v>
      </c>
      <c r="I673">
        <v>0</v>
      </c>
      <c r="J673">
        <v>0</v>
      </c>
      <c r="K673">
        <v>1</v>
      </c>
      <c r="L673">
        <v>0</v>
      </c>
      <c r="M673">
        <v>0</v>
      </c>
      <c r="N673">
        <v>0</v>
      </c>
      <c r="O673">
        <v>0</v>
      </c>
      <c r="R673">
        <v>1</v>
      </c>
      <c r="S673">
        <v>100</v>
      </c>
      <c r="T673">
        <v>1</v>
      </c>
      <c r="U673">
        <v>0</v>
      </c>
      <c r="V673">
        <v>0</v>
      </c>
      <c r="W673">
        <v>0</v>
      </c>
    </row>
    <row r="674" spans="1:23" x14ac:dyDescent="0.25">
      <c r="A674" t="s">
        <v>1830</v>
      </c>
      <c r="B674" t="s">
        <v>2710</v>
      </c>
      <c r="C674">
        <v>5</v>
      </c>
      <c r="D674">
        <v>37</v>
      </c>
      <c r="E674">
        <v>16516000</v>
      </c>
      <c r="F674">
        <v>400</v>
      </c>
      <c r="G674">
        <v>444</v>
      </c>
      <c r="H674">
        <v>488</v>
      </c>
      <c r="I674">
        <v>88</v>
      </c>
      <c r="J674">
        <v>22</v>
      </c>
      <c r="K674">
        <v>446</v>
      </c>
      <c r="L674">
        <v>46</v>
      </c>
      <c r="M674">
        <v>11.5</v>
      </c>
      <c r="N674">
        <v>444</v>
      </c>
      <c r="O674">
        <v>488</v>
      </c>
      <c r="R674">
        <v>1</v>
      </c>
      <c r="S674">
        <v>100</v>
      </c>
      <c r="T674">
        <v>400</v>
      </c>
      <c r="U674">
        <v>488</v>
      </c>
      <c r="V674">
        <v>40</v>
      </c>
      <c r="W674">
        <v>3</v>
      </c>
    </row>
    <row r="675" spans="1:23" x14ac:dyDescent="0.25">
      <c r="A675" t="s">
        <v>1832</v>
      </c>
      <c r="B675" t="s">
        <v>1833</v>
      </c>
      <c r="C675">
        <v>406</v>
      </c>
      <c r="D675">
        <v>1389397</v>
      </c>
      <c r="E675">
        <v>6895089677</v>
      </c>
      <c r="F675">
        <v>4976</v>
      </c>
      <c r="G675">
        <v>5030</v>
      </c>
      <c r="H675">
        <v>4920</v>
      </c>
      <c r="I675">
        <v>-56</v>
      </c>
      <c r="J675">
        <v>-1.1299999999999999</v>
      </c>
      <c r="K675">
        <v>4963</v>
      </c>
      <c r="L675">
        <v>-13</v>
      </c>
      <c r="M675">
        <v>-0.26</v>
      </c>
      <c r="N675">
        <v>4901</v>
      </c>
      <c r="O675">
        <v>5050</v>
      </c>
      <c r="P675" t="s">
        <v>1834</v>
      </c>
      <c r="Q675" t="s">
        <v>3134</v>
      </c>
      <c r="R675">
        <v>1</v>
      </c>
      <c r="S675">
        <v>1620</v>
      </c>
      <c r="T675">
        <v>4915</v>
      </c>
      <c r="U675">
        <v>4920</v>
      </c>
      <c r="V675">
        <v>8708</v>
      </c>
      <c r="W675">
        <v>1</v>
      </c>
    </row>
    <row r="676" spans="1:23" x14ac:dyDescent="0.25">
      <c r="A676" t="s">
        <v>1835</v>
      </c>
      <c r="B676" t="s">
        <v>1836</v>
      </c>
      <c r="C676">
        <v>0</v>
      </c>
      <c r="D676">
        <v>0</v>
      </c>
      <c r="E676">
        <v>0</v>
      </c>
      <c r="F676">
        <v>600</v>
      </c>
      <c r="G676">
        <v>0</v>
      </c>
      <c r="H676">
        <v>600</v>
      </c>
      <c r="I676">
        <v>0</v>
      </c>
      <c r="J676">
        <v>0</v>
      </c>
      <c r="K676">
        <v>600</v>
      </c>
      <c r="L676">
        <v>0</v>
      </c>
      <c r="M676">
        <v>0</v>
      </c>
      <c r="N676">
        <v>0</v>
      </c>
      <c r="O676">
        <v>0</v>
      </c>
      <c r="R676">
        <v>1</v>
      </c>
      <c r="S676">
        <v>100</v>
      </c>
      <c r="T676">
        <v>120</v>
      </c>
      <c r="U676">
        <v>1000</v>
      </c>
      <c r="V676">
        <v>50</v>
      </c>
      <c r="W676">
        <v>1</v>
      </c>
    </row>
    <row r="677" spans="1:23" x14ac:dyDescent="0.25">
      <c r="A677" t="s">
        <v>1837</v>
      </c>
      <c r="B677" t="s">
        <v>1838</v>
      </c>
      <c r="C677">
        <v>357</v>
      </c>
      <c r="D677">
        <v>2812220</v>
      </c>
      <c r="E677">
        <v>26537304830</v>
      </c>
      <c r="F677">
        <v>9249</v>
      </c>
      <c r="G677">
        <v>9500</v>
      </c>
      <c r="H677">
        <v>9469</v>
      </c>
      <c r="I677">
        <v>220</v>
      </c>
      <c r="J677">
        <v>2.38</v>
      </c>
      <c r="K677">
        <v>9436</v>
      </c>
      <c r="L677">
        <v>187</v>
      </c>
      <c r="M677">
        <v>2.02</v>
      </c>
      <c r="N677">
        <v>9312</v>
      </c>
      <c r="O677">
        <v>9699</v>
      </c>
      <c r="P677" t="s">
        <v>1839</v>
      </c>
      <c r="Q677" t="s">
        <v>3135</v>
      </c>
      <c r="R677">
        <v>1</v>
      </c>
      <c r="S677">
        <v>120</v>
      </c>
      <c r="T677">
        <v>9435</v>
      </c>
      <c r="U677">
        <v>9468</v>
      </c>
      <c r="V677">
        <v>9000</v>
      </c>
      <c r="W677">
        <v>1</v>
      </c>
    </row>
    <row r="678" spans="1:23" x14ac:dyDescent="0.25">
      <c r="A678" t="s">
        <v>1840</v>
      </c>
      <c r="B678" t="s">
        <v>1841</v>
      </c>
      <c r="C678">
        <v>4375</v>
      </c>
      <c r="D678">
        <v>26791089</v>
      </c>
      <c r="E678">
        <v>120674302381</v>
      </c>
      <c r="F678">
        <v>4504</v>
      </c>
      <c r="G678">
        <v>4650</v>
      </c>
      <c r="H678">
        <v>4440</v>
      </c>
      <c r="I678">
        <v>-64</v>
      </c>
      <c r="J678">
        <v>-1.42</v>
      </c>
      <c r="K678">
        <v>4504</v>
      </c>
      <c r="L678">
        <v>0</v>
      </c>
      <c r="M678">
        <v>0</v>
      </c>
      <c r="N678">
        <v>4251</v>
      </c>
      <c r="O678">
        <v>4689</v>
      </c>
      <c r="P678" t="s">
        <v>641</v>
      </c>
      <c r="Q678" t="s">
        <v>2711</v>
      </c>
      <c r="R678">
        <v>1</v>
      </c>
      <c r="S678">
        <v>12434</v>
      </c>
      <c r="T678">
        <v>4440</v>
      </c>
      <c r="U678">
        <v>4443</v>
      </c>
      <c r="V678">
        <v>30</v>
      </c>
      <c r="W678">
        <v>1</v>
      </c>
    </row>
    <row r="679" spans="1:23" x14ac:dyDescent="0.25">
      <c r="A679" t="s">
        <v>1842</v>
      </c>
      <c r="B679" t="s">
        <v>1843</v>
      </c>
      <c r="C679">
        <v>494</v>
      </c>
      <c r="D679">
        <v>460792</v>
      </c>
      <c r="E679">
        <v>27606769944</v>
      </c>
      <c r="F679">
        <v>60152</v>
      </c>
      <c r="G679">
        <v>59490</v>
      </c>
      <c r="H679">
        <v>59999</v>
      </c>
      <c r="I679">
        <v>-153</v>
      </c>
      <c r="J679">
        <v>-0.25</v>
      </c>
      <c r="K679">
        <v>59912</v>
      </c>
      <c r="L679">
        <v>-240</v>
      </c>
      <c r="M679">
        <v>-0.4</v>
      </c>
      <c r="N679">
        <v>58005</v>
      </c>
      <c r="O679">
        <v>60800</v>
      </c>
      <c r="P679" t="s">
        <v>1844</v>
      </c>
      <c r="Q679" t="s">
        <v>3136</v>
      </c>
      <c r="R679">
        <v>2</v>
      </c>
      <c r="S679">
        <v>193</v>
      </c>
      <c r="T679">
        <v>59971</v>
      </c>
      <c r="U679">
        <v>59999</v>
      </c>
      <c r="V679">
        <v>2597</v>
      </c>
      <c r="W679">
        <v>3</v>
      </c>
    </row>
    <row r="680" spans="1:23" x14ac:dyDescent="0.25">
      <c r="A680" t="s">
        <v>1845</v>
      </c>
      <c r="B680" t="s">
        <v>1846</v>
      </c>
      <c r="C680">
        <v>0</v>
      </c>
      <c r="D680">
        <v>0</v>
      </c>
      <c r="E680">
        <v>0</v>
      </c>
      <c r="F680">
        <v>990100</v>
      </c>
      <c r="G680">
        <v>0</v>
      </c>
      <c r="H680">
        <v>990100</v>
      </c>
      <c r="I680">
        <v>0</v>
      </c>
      <c r="J680">
        <v>0</v>
      </c>
      <c r="K680">
        <v>990100</v>
      </c>
      <c r="L680">
        <v>0</v>
      </c>
      <c r="M680">
        <v>0</v>
      </c>
      <c r="N680">
        <v>0</v>
      </c>
      <c r="O680">
        <v>0</v>
      </c>
      <c r="R680">
        <v>1</v>
      </c>
      <c r="S680">
        <v>1500</v>
      </c>
      <c r="T680">
        <v>990000</v>
      </c>
      <c r="U680">
        <v>1000000</v>
      </c>
      <c r="V680">
        <v>1500</v>
      </c>
      <c r="W680">
        <v>1</v>
      </c>
    </row>
    <row r="681" spans="1:23" x14ac:dyDescent="0.25">
      <c r="A681" t="s">
        <v>2712</v>
      </c>
      <c r="B681" t="s">
        <v>2713</v>
      </c>
      <c r="C681">
        <v>162</v>
      </c>
      <c r="D681">
        <v>1547599</v>
      </c>
      <c r="E681">
        <v>24015641282</v>
      </c>
      <c r="F681">
        <v>14108</v>
      </c>
      <c r="G681">
        <v>15518</v>
      </c>
      <c r="H681">
        <v>15518</v>
      </c>
      <c r="I681">
        <v>1410</v>
      </c>
      <c r="J681">
        <v>9.99</v>
      </c>
      <c r="K681">
        <v>15518</v>
      </c>
      <c r="L681">
        <v>1410</v>
      </c>
      <c r="M681">
        <v>9.99</v>
      </c>
      <c r="N681">
        <v>15518</v>
      </c>
      <c r="O681">
        <v>15518</v>
      </c>
      <c r="P681" t="s">
        <v>2714</v>
      </c>
      <c r="Q681" t="s">
        <v>3089</v>
      </c>
      <c r="R681">
        <v>581</v>
      </c>
      <c r="S681">
        <v>4931155</v>
      </c>
      <c r="T681">
        <v>15518</v>
      </c>
      <c r="U681">
        <v>0</v>
      </c>
      <c r="V681">
        <v>0</v>
      </c>
      <c r="W681">
        <v>0</v>
      </c>
    </row>
    <row r="682" spans="1:23" x14ac:dyDescent="0.25">
      <c r="A682" t="s">
        <v>1847</v>
      </c>
      <c r="B682" t="s">
        <v>1848</v>
      </c>
      <c r="C682">
        <v>962</v>
      </c>
      <c r="D682">
        <v>11684337</v>
      </c>
      <c r="E682">
        <v>15461879818</v>
      </c>
      <c r="F682">
        <v>1220</v>
      </c>
      <c r="G682">
        <v>1261</v>
      </c>
      <c r="H682">
        <v>1342</v>
      </c>
      <c r="I682">
        <v>122</v>
      </c>
      <c r="J682">
        <v>10</v>
      </c>
      <c r="K682">
        <v>1323</v>
      </c>
      <c r="L682">
        <v>103</v>
      </c>
      <c r="M682">
        <v>8.44</v>
      </c>
      <c r="N682">
        <v>1261</v>
      </c>
      <c r="O682">
        <v>1342</v>
      </c>
      <c r="P682" t="s">
        <v>579</v>
      </c>
      <c r="Q682" t="s">
        <v>3137</v>
      </c>
      <c r="R682">
        <v>299</v>
      </c>
      <c r="S682">
        <v>6472205</v>
      </c>
      <c r="T682">
        <v>1342</v>
      </c>
      <c r="U682">
        <v>1348</v>
      </c>
      <c r="V682">
        <v>5000</v>
      </c>
      <c r="W682">
        <v>1</v>
      </c>
    </row>
    <row r="683" spans="1:23" x14ac:dyDescent="0.25">
      <c r="A683" t="s">
        <v>1849</v>
      </c>
      <c r="B683" t="s">
        <v>1850</v>
      </c>
      <c r="C683">
        <v>0</v>
      </c>
      <c r="D683">
        <v>0</v>
      </c>
      <c r="E683">
        <v>0</v>
      </c>
      <c r="F683">
        <v>1</v>
      </c>
      <c r="G683">
        <v>0</v>
      </c>
      <c r="H683">
        <v>1</v>
      </c>
      <c r="I683">
        <v>0</v>
      </c>
      <c r="J683">
        <v>0</v>
      </c>
      <c r="K683">
        <v>1</v>
      </c>
      <c r="L683">
        <v>0</v>
      </c>
      <c r="M683">
        <v>0</v>
      </c>
      <c r="N683">
        <v>0</v>
      </c>
      <c r="O683">
        <v>0</v>
      </c>
      <c r="R683">
        <v>1</v>
      </c>
      <c r="S683">
        <v>10</v>
      </c>
      <c r="T683">
        <v>300</v>
      </c>
      <c r="U683">
        <v>0</v>
      </c>
      <c r="V683">
        <v>0</v>
      </c>
      <c r="W683">
        <v>0</v>
      </c>
    </row>
    <row r="684" spans="1:23" x14ac:dyDescent="0.25">
      <c r="A684" t="s">
        <v>1851</v>
      </c>
      <c r="B684" t="s">
        <v>1852</v>
      </c>
      <c r="C684">
        <v>0</v>
      </c>
      <c r="D684">
        <v>0</v>
      </c>
      <c r="E684">
        <v>0</v>
      </c>
      <c r="F684">
        <v>2481096</v>
      </c>
      <c r="G684">
        <v>0</v>
      </c>
      <c r="H684">
        <v>2481096</v>
      </c>
      <c r="I684">
        <v>0</v>
      </c>
      <c r="J684">
        <v>0</v>
      </c>
      <c r="K684">
        <v>2481096</v>
      </c>
      <c r="L684">
        <v>0</v>
      </c>
      <c r="M684">
        <v>0</v>
      </c>
      <c r="N684">
        <v>0</v>
      </c>
      <c r="O684">
        <v>0</v>
      </c>
      <c r="R684">
        <v>1</v>
      </c>
      <c r="S684">
        <v>2068</v>
      </c>
      <c r="T684">
        <v>2684357</v>
      </c>
      <c r="U684">
        <v>2741439</v>
      </c>
      <c r="V684">
        <v>2068</v>
      </c>
      <c r="W684">
        <v>1</v>
      </c>
    </row>
    <row r="685" spans="1:23" x14ac:dyDescent="0.25">
      <c r="A685" t="s">
        <v>1853</v>
      </c>
      <c r="B685" t="s">
        <v>1854</v>
      </c>
      <c r="C685">
        <v>2072</v>
      </c>
      <c r="D685">
        <v>16910503</v>
      </c>
      <c r="E685">
        <v>58899553907</v>
      </c>
      <c r="F685">
        <v>3557</v>
      </c>
      <c r="G685">
        <v>3500</v>
      </c>
      <c r="H685">
        <v>3496</v>
      </c>
      <c r="I685">
        <v>-61</v>
      </c>
      <c r="J685">
        <v>-1.71</v>
      </c>
      <c r="K685">
        <v>3483</v>
      </c>
      <c r="L685">
        <v>-74</v>
      </c>
      <c r="M685">
        <v>-2.08</v>
      </c>
      <c r="N685">
        <v>3420</v>
      </c>
      <c r="O685">
        <v>3555</v>
      </c>
      <c r="P685" t="s">
        <v>1855</v>
      </c>
      <c r="Q685" t="s">
        <v>3138</v>
      </c>
      <c r="R685">
        <v>1</v>
      </c>
      <c r="S685">
        <v>30000</v>
      </c>
      <c r="T685">
        <v>3490</v>
      </c>
      <c r="U685">
        <v>3495</v>
      </c>
      <c r="V685">
        <v>5000</v>
      </c>
      <c r="W685">
        <v>1</v>
      </c>
    </row>
    <row r="686" spans="1:23" x14ac:dyDescent="0.25">
      <c r="A686" t="s">
        <v>1856</v>
      </c>
      <c r="B686" t="s">
        <v>1857</v>
      </c>
      <c r="C686">
        <v>465</v>
      </c>
      <c r="D686">
        <v>1951724</v>
      </c>
      <c r="E686">
        <v>22440496411</v>
      </c>
      <c r="F686">
        <v>10951</v>
      </c>
      <c r="G686">
        <v>11498</v>
      </c>
      <c r="H686">
        <v>11498</v>
      </c>
      <c r="I686">
        <v>547</v>
      </c>
      <c r="J686">
        <v>4.99</v>
      </c>
      <c r="K686">
        <v>11498</v>
      </c>
      <c r="L686">
        <v>547</v>
      </c>
      <c r="M686">
        <v>4.99</v>
      </c>
      <c r="N686">
        <v>11411</v>
      </c>
      <c r="O686">
        <v>11498</v>
      </c>
      <c r="P686" t="s">
        <v>2715</v>
      </c>
      <c r="Q686" t="s">
        <v>3139</v>
      </c>
      <c r="R686">
        <v>44</v>
      </c>
      <c r="S686">
        <v>134160</v>
      </c>
      <c r="T686">
        <v>11498</v>
      </c>
      <c r="U686">
        <v>0</v>
      </c>
      <c r="V686">
        <v>0</v>
      </c>
      <c r="W686">
        <v>0</v>
      </c>
    </row>
    <row r="687" spans="1:23" x14ac:dyDescent="0.25">
      <c r="A687" t="s">
        <v>1858</v>
      </c>
      <c r="B687" t="s">
        <v>1859</v>
      </c>
      <c r="C687">
        <v>205</v>
      </c>
      <c r="D687">
        <v>532432</v>
      </c>
      <c r="E687">
        <v>5231824574</v>
      </c>
      <c r="F687">
        <v>9417</v>
      </c>
      <c r="G687">
        <v>9800</v>
      </c>
      <c r="H687">
        <v>9887</v>
      </c>
      <c r="I687">
        <v>470</v>
      </c>
      <c r="J687">
        <v>4.99</v>
      </c>
      <c r="K687">
        <v>9826</v>
      </c>
      <c r="L687">
        <v>409</v>
      </c>
      <c r="M687">
        <v>4.34</v>
      </c>
      <c r="N687">
        <v>9500</v>
      </c>
      <c r="O687">
        <v>9887</v>
      </c>
      <c r="P687" t="s">
        <v>1860</v>
      </c>
      <c r="Q687" t="s">
        <v>3140</v>
      </c>
      <c r="R687">
        <v>46</v>
      </c>
      <c r="S687">
        <v>126663</v>
      </c>
      <c r="T687">
        <v>9887</v>
      </c>
      <c r="U687">
        <v>12182</v>
      </c>
      <c r="V687">
        <v>864</v>
      </c>
      <c r="W687">
        <v>1</v>
      </c>
    </row>
    <row r="688" spans="1:23" x14ac:dyDescent="0.25">
      <c r="A688" t="s">
        <v>1861</v>
      </c>
      <c r="B688" t="s">
        <v>1862</v>
      </c>
      <c r="C688">
        <v>0</v>
      </c>
      <c r="D688">
        <v>0</v>
      </c>
      <c r="E688">
        <v>0</v>
      </c>
      <c r="F688">
        <v>238</v>
      </c>
      <c r="G688">
        <v>0</v>
      </c>
      <c r="H688">
        <v>238</v>
      </c>
      <c r="I688">
        <v>0</v>
      </c>
      <c r="J688">
        <v>0</v>
      </c>
      <c r="K688">
        <v>238</v>
      </c>
      <c r="L688">
        <v>0</v>
      </c>
      <c r="M688">
        <v>0</v>
      </c>
      <c r="N688">
        <v>0</v>
      </c>
      <c r="O688">
        <v>0</v>
      </c>
      <c r="P688" t="s">
        <v>1863</v>
      </c>
      <c r="Q688" t="s">
        <v>1864</v>
      </c>
      <c r="R688">
        <v>4</v>
      </c>
      <c r="S688">
        <v>200000</v>
      </c>
      <c r="T688">
        <v>238</v>
      </c>
      <c r="U688">
        <v>0</v>
      </c>
      <c r="V688">
        <v>0</v>
      </c>
      <c r="W688">
        <v>0</v>
      </c>
    </row>
    <row r="689" spans="1:23" x14ac:dyDescent="0.25">
      <c r="A689" t="s">
        <v>1865</v>
      </c>
      <c r="B689" t="s">
        <v>1866</v>
      </c>
      <c r="C689">
        <v>24</v>
      </c>
      <c r="D689">
        <v>294252</v>
      </c>
      <c r="E689">
        <v>3069048360</v>
      </c>
      <c r="F689">
        <v>9946</v>
      </c>
      <c r="G689">
        <v>10430</v>
      </c>
      <c r="H689">
        <v>10430</v>
      </c>
      <c r="I689">
        <v>484</v>
      </c>
      <c r="J689">
        <v>4.87</v>
      </c>
      <c r="K689">
        <v>10430</v>
      </c>
      <c r="L689">
        <v>484</v>
      </c>
      <c r="M689">
        <v>4.87</v>
      </c>
      <c r="N689">
        <v>10430</v>
      </c>
      <c r="O689">
        <v>10430</v>
      </c>
      <c r="P689" t="s">
        <v>1867</v>
      </c>
      <c r="Q689" t="s">
        <v>3141</v>
      </c>
      <c r="R689">
        <v>1</v>
      </c>
      <c r="S689">
        <v>23000</v>
      </c>
      <c r="T689">
        <v>10043</v>
      </c>
      <c r="U689">
        <v>10430</v>
      </c>
      <c r="V689">
        <v>135148</v>
      </c>
      <c r="W689">
        <v>5</v>
      </c>
    </row>
    <row r="690" spans="1:23" x14ac:dyDescent="0.25">
      <c r="A690" t="s">
        <v>2716</v>
      </c>
      <c r="B690" t="s">
        <v>2717</v>
      </c>
      <c r="C690">
        <v>301</v>
      </c>
      <c r="D690">
        <v>6584180</v>
      </c>
      <c r="E690">
        <v>10105218243</v>
      </c>
      <c r="F690">
        <v>1409</v>
      </c>
      <c r="G690">
        <v>1549</v>
      </c>
      <c r="H690">
        <v>1471</v>
      </c>
      <c r="I690">
        <v>62</v>
      </c>
      <c r="J690">
        <v>4.4000000000000004</v>
      </c>
      <c r="K690">
        <v>1535</v>
      </c>
      <c r="L690">
        <v>126</v>
      </c>
      <c r="M690">
        <v>8.94</v>
      </c>
      <c r="N690">
        <v>1400</v>
      </c>
      <c r="O690">
        <v>1549</v>
      </c>
      <c r="R690">
        <v>1</v>
      </c>
      <c r="S690">
        <v>1413</v>
      </c>
      <c r="T690">
        <v>1474</v>
      </c>
      <c r="U690">
        <v>1488</v>
      </c>
      <c r="V690">
        <v>80</v>
      </c>
      <c r="W690">
        <v>1</v>
      </c>
    </row>
    <row r="691" spans="1:23" x14ac:dyDescent="0.25">
      <c r="A691" t="s">
        <v>1868</v>
      </c>
      <c r="B691" t="s">
        <v>1869</v>
      </c>
      <c r="C691">
        <v>0</v>
      </c>
      <c r="D691">
        <v>0</v>
      </c>
      <c r="E691">
        <v>0</v>
      </c>
      <c r="F691">
        <v>979411</v>
      </c>
      <c r="G691">
        <v>0</v>
      </c>
      <c r="H691">
        <v>979411</v>
      </c>
      <c r="I691">
        <v>0</v>
      </c>
      <c r="J691">
        <v>0</v>
      </c>
      <c r="K691">
        <v>979411</v>
      </c>
      <c r="L691">
        <v>0</v>
      </c>
      <c r="M691">
        <v>0</v>
      </c>
      <c r="N691">
        <v>0</v>
      </c>
      <c r="O691">
        <v>0</v>
      </c>
      <c r="R691">
        <v>1</v>
      </c>
      <c r="S691">
        <v>600</v>
      </c>
      <c r="T691">
        <v>979411</v>
      </c>
      <c r="U691">
        <v>998000</v>
      </c>
      <c r="V691">
        <v>300</v>
      </c>
      <c r="W691">
        <v>1</v>
      </c>
    </row>
    <row r="692" spans="1:23" x14ac:dyDescent="0.25">
      <c r="A692" t="s">
        <v>3142</v>
      </c>
      <c r="B692" t="s">
        <v>3143</v>
      </c>
      <c r="C692">
        <v>475</v>
      </c>
      <c r="D692">
        <v>1213130</v>
      </c>
      <c r="E692">
        <v>30488590653</v>
      </c>
      <c r="F692">
        <v>23939</v>
      </c>
      <c r="G692">
        <v>25135</v>
      </c>
      <c r="H692">
        <v>24525</v>
      </c>
      <c r="I692">
        <v>586</v>
      </c>
      <c r="J692">
        <v>2.4500000000000002</v>
      </c>
      <c r="K692">
        <v>25132</v>
      </c>
      <c r="L692">
        <v>1193</v>
      </c>
      <c r="M692">
        <v>4.9800000000000004</v>
      </c>
      <c r="N692">
        <v>24100</v>
      </c>
      <c r="O692">
        <v>26391</v>
      </c>
      <c r="P692" t="s">
        <v>3144</v>
      </c>
      <c r="Q692" t="s">
        <v>3145</v>
      </c>
      <c r="R692">
        <v>1</v>
      </c>
      <c r="S692">
        <v>109</v>
      </c>
      <c r="T692">
        <v>24524</v>
      </c>
      <c r="U692">
        <v>24650</v>
      </c>
      <c r="V692">
        <v>3796</v>
      </c>
      <c r="W692">
        <v>1</v>
      </c>
    </row>
    <row r="693" spans="1:23" x14ac:dyDescent="0.25">
      <c r="A693" t="s">
        <v>2718</v>
      </c>
      <c r="B693" t="s">
        <v>2719</v>
      </c>
      <c r="C693">
        <v>710</v>
      </c>
      <c r="D693">
        <v>1715358</v>
      </c>
      <c r="E693">
        <v>20210376207</v>
      </c>
      <c r="F693">
        <v>12146</v>
      </c>
      <c r="G693">
        <v>11871</v>
      </c>
      <c r="H693">
        <v>11656</v>
      </c>
      <c r="I693">
        <v>-490</v>
      </c>
      <c r="J693">
        <v>-4.03</v>
      </c>
      <c r="K693">
        <v>11782</v>
      </c>
      <c r="L693">
        <v>-364</v>
      </c>
      <c r="M693">
        <v>-3</v>
      </c>
      <c r="N693">
        <v>11580</v>
      </c>
      <c r="O693">
        <v>12547</v>
      </c>
      <c r="P693" t="s">
        <v>2720</v>
      </c>
      <c r="Q693" t="s">
        <v>3146</v>
      </c>
      <c r="R693">
        <v>1</v>
      </c>
      <c r="S693">
        <v>88</v>
      </c>
      <c r="T693">
        <v>11656</v>
      </c>
      <c r="U693">
        <v>11750</v>
      </c>
      <c r="V693">
        <v>10000</v>
      </c>
      <c r="W693">
        <v>1</v>
      </c>
    </row>
    <row r="694" spans="1:23" x14ac:dyDescent="0.25">
      <c r="A694" t="s">
        <v>1870</v>
      </c>
      <c r="B694" t="s">
        <v>1871</v>
      </c>
      <c r="C694">
        <v>57</v>
      </c>
      <c r="D694">
        <v>81993</v>
      </c>
      <c r="E694">
        <v>1451455400</v>
      </c>
      <c r="F694">
        <v>17295</v>
      </c>
      <c r="G694">
        <v>17800</v>
      </c>
      <c r="H694">
        <v>18000</v>
      </c>
      <c r="I694">
        <v>705</v>
      </c>
      <c r="J694">
        <v>4.08</v>
      </c>
      <c r="K694">
        <v>17702</v>
      </c>
      <c r="L694">
        <v>407</v>
      </c>
      <c r="M694">
        <v>2.35</v>
      </c>
      <c r="N694">
        <v>17300</v>
      </c>
      <c r="O694">
        <v>18000</v>
      </c>
      <c r="P694" t="s">
        <v>2721</v>
      </c>
      <c r="Q694" t="s">
        <v>3147</v>
      </c>
      <c r="R694">
        <v>1</v>
      </c>
      <c r="S694">
        <v>6000</v>
      </c>
      <c r="T694">
        <v>17400</v>
      </c>
      <c r="U694">
        <v>17999</v>
      </c>
      <c r="V694">
        <v>3550</v>
      </c>
      <c r="W694">
        <v>1</v>
      </c>
    </row>
    <row r="695" spans="1:23" x14ac:dyDescent="0.25">
      <c r="A695" t="s">
        <v>1872</v>
      </c>
      <c r="B695" t="s">
        <v>1873</v>
      </c>
      <c r="C695">
        <v>0</v>
      </c>
      <c r="D695">
        <v>0</v>
      </c>
      <c r="E695">
        <v>0</v>
      </c>
      <c r="F695">
        <v>7550</v>
      </c>
      <c r="G695">
        <v>0</v>
      </c>
      <c r="H695">
        <v>7550</v>
      </c>
      <c r="I695">
        <v>0</v>
      </c>
      <c r="J695">
        <v>0</v>
      </c>
      <c r="K695">
        <v>7550</v>
      </c>
      <c r="L695">
        <v>0</v>
      </c>
      <c r="M695">
        <v>0</v>
      </c>
      <c r="N695">
        <v>0</v>
      </c>
      <c r="O695">
        <v>0</v>
      </c>
      <c r="P695" t="s">
        <v>1874</v>
      </c>
      <c r="Q695" t="s">
        <v>1875</v>
      </c>
      <c r="R695">
        <v>1</v>
      </c>
      <c r="S695">
        <v>3000</v>
      </c>
      <c r="T695">
        <v>4000</v>
      </c>
      <c r="U695">
        <v>49966</v>
      </c>
      <c r="V695">
        <v>7500</v>
      </c>
      <c r="W695">
        <v>4</v>
      </c>
    </row>
    <row r="696" spans="1:23" x14ac:dyDescent="0.25">
      <c r="A696" t="s">
        <v>1876</v>
      </c>
      <c r="B696" t="s">
        <v>1877</v>
      </c>
      <c r="C696">
        <v>0</v>
      </c>
      <c r="D696">
        <v>0</v>
      </c>
      <c r="E696">
        <v>0</v>
      </c>
      <c r="F696">
        <v>366</v>
      </c>
      <c r="G696">
        <v>0</v>
      </c>
      <c r="H696">
        <v>310</v>
      </c>
      <c r="I696">
        <v>-56</v>
      </c>
      <c r="J696">
        <v>-15.3</v>
      </c>
      <c r="K696">
        <v>366</v>
      </c>
      <c r="L696">
        <v>0</v>
      </c>
      <c r="M696">
        <v>0</v>
      </c>
      <c r="N696">
        <v>0</v>
      </c>
      <c r="O696">
        <v>0</v>
      </c>
      <c r="R696">
        <v>1</v>
      </c>
      <c r="S696">
        <v>13</v>
      </c>
      <c r="T696">
        <v>136</v>
      </c>
      <c r="U696">
        <v>650</v>
      </c>
      <c r="V696">
        <v>20</v>
      </c>
      <c r="W696">
        <v>1</v>
      </c>
    </row>
    <row r="697" spans="1:23" x14ac:dyDescent="0.25">
      <c r="A697" t="s">
        <v>1878</v>
      </c>
      <c r="B697" t="s">
        <v>1879</v>
      </c>
      <c r="C697">
        <v>2156</v>
      </c>
      <c r="D697">
        <v>2764516</v>
      </c>
      <c r="E697">
        <v>88294606524</v>
      </c>
      <c r="F697">
        <v>32611</v>
      </c>
      <c r="G697">
        <v>32806</v>
      </c>
      <c r="H697">
        <v>31450</v>
      </c>
      <c r="I697">
        <v>-1161</v>
      </c>
      <c r="J697">
        <v>-3.56</v>
      </c>
      <c r="K697">
        <v>31939</v>
      </c>
      <c r="L697">
        <v>-672</v>
      </c>
      <c r="M697">
        <v>-2.06</v>
      </c>
      <c r="N697">
        <v>31200</v>
      </c>
      <c r="O697">
        <v>32806</v>
      </c>
      <c r="P697" t="s">
        <v>1880</v>
      </c>
      <c r="Q697" t="s">
        <v>3148</v>
      </c>
      <c r="R697">
        <v>1</v>
      </c>
      <c r="S697">
        <v>239</v>
      </c>
      <c r="T697">
        <v>31420</v>
      </c>
      <c r="U697">
        <v>31450</v>
      </c>
      <c r="V697">
        <v>70404</v>
      </c>
      <c r="W697">
        <v>4</v>
      </c>
    </row>
    <row r="698" spans="1:23" x14ac:dyDescent="0.25">
      <c r="A698" t="s">
        <v>1881</v>
      </c>
      <c r="B698" t="s">
        <v>1882</v>
      </c>
      <c r="C698">
        <v>10</v>
      </c>
      <c r="D698">
        <v>3310</v>
      </c>
      <c r="E698">
        <v>3177582515</v>
      </c>
      <c r="F698">
        <v>959271</v>
      </c>
      <c r="G698">
        <v>960000</v>
      </c>
      <c r="H698">
        <v>960998</v>
      </c>
      <c r="I698">
        <v>1727</v>
      </c>
      <c r="J698">
        <v>0.18</v>
      </c>
      <c r="K698">
        <v>959995</v>
      </c>
      <c r="L698">
        <v>724</v>
      </c>
      <c r="M698">
        <v>0.08</v>
      </c>
      <c r="N698">
        <v>958945</v>
      </c>
      <c r="O698">
        <v>960998</v>
      </c>
      <c r="R698">
        <v>1</v>
      </c>
      <c r="S698">
        <v>652</v>
      </c>
      <c r="T698">
        <v>959500</v>
      </c>
      <c r="U698">
        <v>960500</v>
      </c>
      <c r="V698">
        <v>55</v>
      </c>
      <c r="W698">
        <v>1</v>
      </c>
    </row>
    <row r="699" spans="1:23" x14ac:dyDescent="0.25">
      <c r="A699" t="s">
        <v>1883</v>
      </c>
      <c r="B699" t="s">
        <v>1884</v>
      </c>
      <c r="C699">
        <v>0</v>
      </c>
      <c r="D699">
        <v>0</v>
      </c>
      <c r="E699">
        <v>0</v>
      </c>
      <c r="F699">
        <v>975000</v>
      </c>
      <c r="G699">
        <v>0</v>
      </c>
      <c r="H699">
        <v>975000</v>
      </c>
      <c r="I699">
        <v>0</v>
      </c>
      <c r="J699">
        <v>0</v>
      </c>
      <c r="K699">
        <v>975000</v>
      </c>
      <c r="L699">
        <v>0</v>
      </c>
      <c r="M699">
        <v>0</v>
      </c>
      <c r="N699">
        <v>0</v>
      </c>
      <c r="O699">
        <v>0</v>
      </c>
      <c r="R699">
        <v>1</v>
      </c>
      <c r="S699">
        <v>1500</v>
      </c>
      <c r="T699">
        <v>972004</v>
      </c>
      <c r="U699">
        <v>0</v>
      </c>
      <c r="V699">
        <v>0</v>
      </c>
      <c r="W699">
        <v>0</v>
      </c>
    </row>
    <row r="700" spans="1:23" x14ac:dyDescent="0.25">
      <c r="A700" t="s">
        <v>1885</v>
      </c>
      <c r="B700" t="s">
        <v>1886</v>
      </c>
      <c r="C700">
        <v>308</v>
      </c>
      <c r="D700">
        <v>5668143</v>
      </c>
      <c r="E700">
        <v>23525402346</v>
      </c>
      <c r="F700">
        <v>3971</v>
      </c>
      <c r="G700">
        <v>4099</v>
      </c>
      <c r="H700">
        <v>4166</v>
      </c>
      <c r="I700">
        <v>195</v>
      </c>
      <c r="J700">
        <v>4.91</v>
      </c>
      <c r="K700">
        <v>4150</v>
      </c>
      <c r="L700">
        <v>179</v>
      </c>
      <c r="M700">
        <v>4.51</v>
      </c>
      <c r="N700">
        <v>4000</v>
      </c>
      <c r="O700">
        <v>4169</v>
      </c>
      <c r="P700" t="s">
        <v>1887</v>
      </c>
      <c r="Q700" t="s">
        <v>3149</v>
      </c>
      <c r="R700">
        <v>2</v>
      </c>
      <c r="S700">
        <v>21000</v>
      </c>
      <c r="T700">
        <v>4097</v>
      </c>
      <c r="U700">
        <v>4166</v>
      </c>
      <c r="V700">
        <v>33872</v>
      </c>
      <c r="W700">
        <v>3</v>
      </c>
    </row>
    <row r="701" spans="1:23" x14ac:dyDescent="0.25">
      <c r="A701" t="s">
        <v>1888</v>
      </c>
      <c r="B701" t="s">
        <v>1889</v>
      </c>
      <c r="C701">
        <v>202</v>
      </c>
      <c r="D701">
        <v>155208</v>
      </c>
      <c r="E701">
        <v>4262692554</v>
      </c>
      <c r="F701">
        <v>28090</v>
      </c>
      <c r="G701">
        <v>28193</v>
      </c>
      <c r="H701">
        <v>27313</v>
      </c>
      <c r="I701">
        <v>-777</v>
      </c>
      <c r="J701">
        <v>-2.77</v>
      </c>
      <c r="K701">
        <v>27464</v>
      </c>
      <c r="L701">
        <v>-626</v>
      </c>
      <c r="M701">
        <v>-2.23</v>
      </c>
      <c r="N701">
        <v>27120</v>
      </c>
      <c r="O701">
        <v>28193</v>
      </c>
      <c r="P701" t="s">
        <v>1890</v>
      </c>
      <c r="Q701" t="s">
        <v>3150</v>
      </c>
      <c r="R701">
        <v>2</v>
      </c>
      <c r="S701">
        <v>1144</v>
      </c>
      <c r="T701">
        <v>27312</v>
      </c>
      <c r="U701">
        <v>27313</v>
      </c>
      <c r="V701">
        <v>44</v>
      </c>
      <c r="W701">
        <v>1</v>
      </c>
    </row>
    <row r="702" spans="1:23" x14ac:dyDescent="0.25">
      <c r="A702" t="s">
        <v>1891</v>
      </c>
      <c r="B702" t="s">
        <v>1892</v>
      </c>
      <c r="C702">
        <v>0</v>
      </c>
      <c r="D702">
        <v>0</v>
      </c>
      <c r="E702">
        <v>0</v>
      </c>
      <c r="F702">
        <v>945000</v>
      </c>
      <c r="G702">
        <v>0</v>
      </c>
      <c r="H702">
        <v>945000</v>
      </c>
      <c r="I702">
        <v>0</v>
      </c>
      <c r="J702">
        <v>0</v>
      </c>
      <c r="K702">
        <v>945000</v>
      </c>
      <c r="L702">
        <v>0</v>
      </c>
      <c r="M702">
        <v>0</v>
      </c>
      <c r="N702">
        <v>0</v>
      </c>
      <c r="O702">
        <v>0</v>
      </c>
      <c r="R702">
        <v>1</v>
      </c>
      <c r="S702">
        <v>625</v>
      </c>
      <c r="T702">
        <v>900000</v>
      </c>
      <c r="U702">
        <v>0</v>
      </c>
      <c r="V702">
        <v>0</v>
      </c>
      <c r="W702">
        <v>0</v>
      </c>
    </row>
    <row r="703" spans="1:23" x14ac:dyDescent="0.25">
      <c r="A703" t="s">
        <v>1893</v>
      </c>
      <c r="B703" t="s">
        <v>1894</v>
      </c>
      <c r="C703">
        <v>986</v>
      </c>
      <c r="D703">
        <v>1600662</v>
      </c>
      <c r="E703">
        <v>25574468893</v>
      </c>
      <c r="F703">
        <v>15463</v>
      </c>
      <c r="G703">
        <v>15875</v>
      </c>
      <c r="H703">
        <v>16030</v>
      </c>
      <c r="I703">
        <v>567</v>
      </c>
      <c r="J703">
        <v>3.67</v>
      </c>
      <c r="K703">
        <v>15977</v>
      </c>
      <c r="L703">
        <v>514</v>
      </c>
      <c r="M703">
        <v>3.32</v>
      </c>
      <c r="N703">
        <v>15011</v>
      </c>
      <c r="O703">
        <v>16454</v>
      </c>
      <c r="P703" t="s">
        <v>1189</v>
      </c>
      <c r="Q703" t="s">
        <v>3151</v>
      </c>
      <c r="R703">
        <v>2</v>
      </c>
      <c r="S703">
        <v>4702</v>
      </c>
      <c r="T703">
        <v>15990</v>
      </c>
      <c r="U703">
        <v>15999</v>
      </c>
      <c r="V703">
        <v>3779</v>
      </c>
      <c r="W703">
        <v>1</v>
      </c>
    </row>
    <row r="704" spans="1:23" x14ac:dyDescent="0.25">
      <c r="A704" t="s">
        <v>1895</v>
      </c>
      <c r="B704" t="s">
        <v>1896</v>
      </c>
      <c r="C704">
        <v>1131</v>
      </c>
      <c r="D704">
        <v>7008240</v>
      </c>
      <c r="E704">
        <v>36447298754</v>
      </c>
      <c r="F704">
        <v>5175</v>
      </c>
      <c r="G704">
        <v>5201</v>
      </c>
      <c r="H704">
        <v>5230</v>
      </c>
      <c r="I704">
        <v>55</v>
      </c>
      <c r="J704">
        <v>1.06</v>
      </c>
      <c r="K704">
        <v>5201</v>
      </c>
      <c r="L704">
        <v>26</v>
      </c>
      <c r="M704">
        <v>0.5</v>
      </c>
      <c r="N704">
        <v>5160</v>
      </c>
      <c r="O704">
        <v>5240</v>
      </c>
      <c r="P704" t="s">
        <v>1897</v>
      </c>
      <c r="Q704" t="s">
        <v>2677</v>
      </c>
      <c r="R704">
        <v>1</v>
      </c>
      <c r="S704">
        <v>1000</v>
      </c>
      <c r="T704">
        <v>5226</v>
      </c>
      <c r="U704">
        <v>5230</v>
      </c>
      <c r="V704">
        <v>21091</v>
      </c>
      <c r="W704">
        <v>2</v>
      </c>
    </row>
    <row r="705" spans="1:23" x14ac:dyDescent="0.25">
      <c r="A705" t="s">
        <v>1898</v>
      </c>
      <c r="B705" t="s">
        <v>1899</v>
      </c>
      <c r="C705">
        <v>208</v>
      </c>
      <c r="D705">
        <v>1194257</v>
      </c>
      <c r="E705">
        <v>8357624169</v>
      </c>
      <c r="F705">
        <v>6674</v>
      </c>
      <c r="G705">
        <v>6951</v>
      </c>
      <c r="H705">
        <v>7007</v>
      </c>
      <c r="I705">
        <v>333</v>
      </c>
      <c r="J705">
        <v>4.99</v>
      </c>
      <c r="K705">
        <v>6998</v>
      </c>
      <c r="L705">
        <v>324</v>
      </c>
      <c r="M705">
        <v>4.8499999999999996</v>
      </c>
      <c r="N705">
        <v>6930</v>
      </c>
      <c r="O705">
        <v>7007</v>
      </c>
      <c r="P705" t="s">
        <v>1900</v>
      </c>
      <c r="Q705" t="s">
        <v>3152</v>
      </c>
      <c r="R705">
        <v>63</v>
      </c>
      <c r="S705">
        <v>319390</v>
      </c>
      <c r="T705">
        <v>7007</v>
      </c>
      <c r="U705">
        <v>0</v>
      </c>
      <c r="V705">
        <v>0</v>
      </c>
      <c r="W705">
        <v>0</v>
      </c>
    </row>
    <row r="706" spans="1:23" x14ac:dyDescent="0.25">
      <c r="A706" t="s">
        <v>1901</v>
      </c>
      <c r="B706" t="s">
        <v>1902</v>
      </c>
      <c r="C706">
        <v>456</v>
      </c>
      <c r="D706">
        <v>2534904</v>
      </c>
      <c r="E706">
        <v>14965752022</v>
      </c>
      <c r="F706">
        <v>5636</v>
      </c>
      <c r="G706">
        <v>5917</v>
      </c>
      <c r="H706">
        <v>5916</v>
      </c>
      <c r="I706">
        <v>280</v>
      </c>
      <c r="J706">
        <v>4.97</v>
      </c>
      <c r="K706">
        <v>5904</v>
      </c>
      <c r="L706">
        <v>268</v>
      </c>
      <c r="M706">
        <v>4.76</v>
      </c>
      <c r="N706">
        <v>5800</v>
      </c>
      <c r="O706">
        <v>5917</v>
      </c>
      <c r="P706" t="s">
        <v>1903</v>
      </c>
      <c r="Q706" t="s">
        <v>3153</v>
      </c>
      <c r="R706">
        <v>4</v>
      </c>
      <c r="S706">
        <v>6301</v>
      </c>
      <c r="T706">
        <v>5880</v>
      </c>
      <c r="U706">
        <v>5916</v>
      </c>
      <c r="V706">
        <v>106547</v>
      </c>
      <c r="W706">
        <v>8</v>
      </c>
    </row>
    <row r="707" spans="1:23" x14ac:dyDescent="0.25">
      <c r="A707" t="s">
        <v>1904</v>
      </c>
      <c r="B707" t="s">
        <v>1905</v>
      </c>
      <c r="C707">
        <v>229</v>
      </c>
      <c r="D707">
        <v>1801995</v>
      </c>
      <c r="E707">
        <v>10812017388</v>
      </c>
      <c r="F707">
        <v>5900</v>
      </c>
      <c r="G707">
        <v>5989</v>
      </c>
      <c r="H707">
        <v>5988</v>
      </c>
      <c r="I707">
        <v>88</v>
      </c>
      <c r="J707">
        <v>1.49</v>
      </c>
      <c r="K707">
        <v>6000</v>
      </c>
      <c r="L707">
        <v>100</v>
      </c>
      <c r="M707">
        <v>1.69</v>
      </c>
      <c r="N707">
        <v>5970</v>
      </c>
      <c r="O707">
        <v>6080</v>
      </c>
      <c r="P707" t="s">
        <v>2723</v>
      </c>
      <c r="Q707" t="s">
        <v>3154</v>
      </c>
      <c r="R707">
        <v>1</v>
      </c>
      <c r="S707">
        <v>630</v>
      </c>
      <c r="T707">
        <v>5987</v>
      </c>
      <c r="U707">
        <v>5988</v>
      </c>
      <c r="V707">
        <v>19283</v>
      </c>
      <c r="W707">
        <v>2</v>
      </c>
    </row>
    <row r="708" spans="1:23" x14ac:dyDescent="0.25">
      <c r="A708" t="s">
        <v>1906</v>
      </c>
      <c r="B708" t="s">
        <v>1907</v>
      </c>
      <c r="C708">
        <v>0</v>
      </c>
      <c r="D708">
        <v>0</v>
      </c>
      <c r="E708">
        <v>0</v>
      </c>
      <c r="F708">
        <v>37000</v>
      </c>
      <c r="G708">
        <v>0</v>
      </c>
      <c r="H708">
        <v>36323</v>
      </c>
      <c r="I708">
        <v>-677</v>
      </c>
      <c r="J708">
        <v>-1.83</v>
      </c>
      <c r="K708">
        <v>37000</v>
      </c>
      <c r="L708">
        <v>0</v>
      </c>
      <c r="M708">
        <v>0</v>
      </c>
      <c r="N708">
        <v>0</v>
      </c>
      <c r="O708">
        <v>0</v>
      </c>
      <c r="R708">
        <v>1</v>
      </c>
      <c r="S708">
        <v>1</v>
      </c>
      <c r="T708">
        <v>36000</v>
      </c>
      <c r="U708">
        <v>38742</v>
      </c>
      <c r="V708">
        <v>1</v>
      </c>
      <c r="W708">
        <v>1</v>
      </c>
    </row>
    <row r="709" spans="1:23" x14ac:dyDescent="0.25">
      <c r="A709" t="s">
        <v>1908</v>
      </c>
      <c r="B709" t="s">
        <v>1909</v>
      </c>
      <c r="C709">
        <v>0</v>
      </c>
      <c r="D709">
        <v>0</v>
      </c>
      <c r="E709">
        <v>0</v>
      </c>
      <c r="F709">
        <v>865120</v>
      </c>
      <c r="G709">
        <v>0</v>
      </c>
      <c r="H709">
        <v>865000</v>
      </c>
      <c r="I709">
        <v>-120</v>
      </c>
      <c r="J709">
        <v>-0.01</v>
      </c>
      <c r="K709">
        <v>865120</v>
      </c>
      <c r="L709">
        <v>0</v>
      </c>
      <c r="M709">
        <v>0</v>
      </c>
      <c r="N709">
        <v>0</v>
      </c>
      <c r="O709">
        <v>0</v>
      </c>
      <c r="R709">
        <v>3</v>
      </c>
      <c r="S709">
        <v>115</v>
      </c>
      <c r="T709">
        <v>882200</v>
      </c>
      <c r="U709">
        <v>915000</v>
      </c>
      <c r="V709">
        <v>820</v>
      </c>
      <c r="W709">
        <v>1</v>
      </c>
    </row>
    <row r="710" spans="1:23" x14ac:dyDescent="0.25">
      <c r="A710" t="s">
        <v>1910</v>
      </c>
      <c r="B710" t="s">
        <v>1911</v>
      </c>
      <c r="C710">
        <v>0</v>
      </c>
      <c r="D710">
        <v>0</v>
      </c>
      <c r="E710">
        <v>0</v>
      </c>
      <c r="F710">
        <v>149</v>
      </c>
      <c r="G710">
        <v>0</v>
      </c>
      <c r="H710">
        <v>150</v>
      </c>
      <c r="I710">
        <v>1</v>
      </c>
      <c r="J710">
        <v>0.67</v>
      </c>
      <c r="K710">
        <v>149</v>
      </c>
      <c r="L710">
        <v>0</v>
      </c>
      <c r="M710">
        <v>0</v>
      </c>
      <c r="N710">
        <v>0</v>
      </c>
      <c r="O710">
        <v>0</v>
      </c>
      <c r="R710">
        <v>2</v>
      </c>
      <c r="S710">
        <v>200</v>
      </c>
      <c r="T710">
        <v>5</v>
      </c>
      <c r="U710">
        <v>130</v>
      </c>
      <c r="V710">
        <v>100</v>
      </c>
      <c r="W710">
        <v>1</v>
      </c>
    </row>
    <row r="711" spans="1:23" x14ac:dyDescent="0.25">
      <c r="A711" t="s">
        <v>1912</v>
      </c>
      <c r="B711" t="s">
        <v>1913</v>
      </c>
      <c r="C711">
        <v>1724</v>
      </c>
      <c r="D711">
        <v>2349682</v>
      </c>
      <c r="E711">
        <v>36222897698</v>
      </c>
      <c r="F711">
        <v>14850</v>
      </c>
      <c r="G711">
        <v>15100</v>
      </c>
      <c r="H711">
        <v>15571</v>
      </c>
      <c r="I711">
        <v>721</v>
      </c>
      <c r="J711">
        <v>4.8600000000000003</v>
      </c>
      <c r="K711">
        <v>15416</v>
      </c>
      <c r="L711">
        <v>566</v>
      </c>
      <c r="M711">
        <v>3.81</v>
      </c>
      <c r="N711">
        <v>15000</v>
      </c>
      <c r="O711">
        <v>15591</v>
      </c>
      <c r="P711" t="s">
        <v>1427</v>
      </c>
      <c r="Q711" t="s">
        <v>3155</v>
      </c>
      <c r="R711">
        <v>1</v>
      </c>
      <c r="S711">
        <v>59</v>
      </c>
      <c r="T711">
        <v>15571</v>
      </c>
      <c r="U711">
        <v>15572</v>
      </c>
      <c r="V711">
        <v>148</v>
      </c>
      <c r="W711">
        <v>2</v>
      </c>
    </row>
    <row r="712" spans="1:23" x14ac:dyDescent="0.25">
      <c r="A712" t="s">
        <v>1914</v>
      </c>
      <c r="B712" t="s">
        <v>1915</v>
      </c>
      <c r="C712">
        <v>0</v>
      </c>
      <c r="D712">
        <v>0</v>
      </c>
      <c r="E712">
        <v>0</v>
      </c>
      <c r="F712">
        <v>1</v>
      </c>
      <c r="G712">
        <v>0</v>
      </c>
      <c r="H712">
        <v>1</v>
      </c>
      <c r="I712">
        <v>0</v>
      </c>
      <c r="J712">
        <v>0</v>
      </c>
      <c r="K712">
        <v>1</v>
      </c>
      <c r="L712">
        <v>0</v>
      </c>
      <c r="M712">
        <v>0</v>
      </c>
      <c r="N712">
        <v>0</v>
      </c>
      <c r="O712">
        <v>0</v>
      </c>
      <c r="R712">
        <v>4</v>
      </c>
      <c r="S712">
        <v>400</v>
      </c>
      <c r="T712">
        <v>26</v>
      </c>
      <c r="U712">
        <v>0</v>
      </c>
      <c r="V712">
        <v>0</v>
      </c>
      <c r="W712">
        <v>0</v>
      </c>
    </row>
    <row r="713" spans="1:23" x14ac:dyDescent="0.25">
      <c r="A713" t="s">
        <v>1916</v>
      </c>
      <c r="B713" t="s">
        <v>1917</v>
      </c>
      <c r="C713">
        <v>0</v>
      </c>
      <c r="D713">
        <v>0</v>
      </c>
      <c r="E713">
        <v>0</v>
      </c>
      <c r="F713">
        <v>162</v>
      </c>
      <c r="G713">
        <v>0</v>
      </c>
      <c r="H713">
        <v>166</v>
      </c>
      <c r="I713">
        <v>4</v>
      </c>
      <c r="J713">
        <v>2.4700000000000002</v>
      </c>
      <c r="K713">
        <v>162</v>
      </c>
      <c r="L713">
        <v>0</v>
      </c>
      <c r="M713">
        <v>0</v>
      </c>
      <c r="N713">
        <v>0</v>
      </c>
      <c r="O713">
        <v>0</v>
      </c>
      <c r="R713">
        <v>1</v>
      </c>
      <c r="S713">
        <v>100</v>
      </c>
      <c r="T713">
        <v>36</v>
      </c>
      <c r="U713">
        <v>169</v>
      </c>
      <c r="V713">
        <v>100</v>
      </c>
      <c r="W713">
        <v>1</v>
      </c>
    </row>
    <row r="714" spans="1:23" x14ac:dyDescent="0.25">
      <c r="A714" t="s">
        <v>1918</v>
      </c>
      <c r="B714" t="s">
        <v>1919</v>
      </c>
      <c r="C714">
        <v>0</v>
      </c>
      <c r="D714">
        <v>0</v>
      </c>
      <c r="E714">
        <v>0</v>
      </c>
      <c r="F714">
        <v>13285</v>
      </c>
      <c r="G714">
        <v>0</v>
      </c>
      <c r="H714">
        <v>13501</v>
      </c>
      <c r="I714">
        <v>216</v>
      </c>
      <c r="J714">
        <v>1.63</v>
      </c>
      <c r="K714">
        <v>13285</v>
      </c>
      <c r="L714">
        <v>0</v>
      </c>
      <c r="M714">
        <v>0</v>
      </c>
      <c r="N714">
        <v>0</v>
      </c>
      <c r="O714">
        <v>0</v>
      </c>
      <c r="P714" t="s">
        <v>1920</v>
      </c>
      <c r="Q714" t="s">
        <v>2724</v>
      </c>
      <c r="R714">
        <v>1</v>
      </c>
      <c r="S714">
        <v>3000</v>
      </c>
      <c r="T714">
        <v>13250</v>
      </c>
      <c r="U714">
        <v>13988</v>
      </c>
      <c r="V714">
        <v>1000</v>
      </c>
      <c r="W714">
        <v>1</v>
      </c>
    </row>
    <row r="715" spans="1:23" x14ac:dyDescent="0.25">
      <c r="A715" t="s">
        <v>1921</v>
      </c>
      <c r="B715" t="s">
        <v>1922</v>
      </c>
      <c r="C715">
        <v>0</v>
      </c>
      <c r="D715">
        <v>0</v>
      </c>
      <c r="E715">
        <v>0</v>
      </c>
      <c r="F715">
        <v>888480</v>
      </c>
      <c r="G715">
        <v>0</v>
      </c>
      <c r="H715">
        <v>888480</v>
      </c>
      <c r="I715">
        <v>0</v>
      </c>
      <c r="J715">
        <v>0</v>
      </c>
      <c r="K715">
        <v>888480</v>
      </c>
      <c r="L715">
        <v>0</v>
      </c>
      <c r="M715">
        <v>0</v>
      </c>
      <c r="N715">
        <v>0</v>
      </c>
      <c r="O715">
        <v>0</v>
      </c>
      <c r="R715">
        <v>1</v>
      </c>
      <c r="S715">
        <v>2000</v>
      </c>
      <c r="T715">
        <v>888481</v>
      </c>
      <c r="U715">
        <v>906250</v>
      </c>
      <c r="V715">
        <v>3136</v>
      </c>
      <c r="W715">
        <v>1</v>
      </c>
    </row>
    <row r="716" spans="1:23" x14ac:dyDescent="0.25">
      <c r="A716" t="s">
        <v>1923</v>
      </c>
      <c r="B716" t="s">
        <v>1924</v>
      </c>
      <c r="C716">
        <v>0</v>
      </c>
      <c r="D716">
        <v>0</v>
      </c>
      <c r="E716">
        <v>0</v>
      </c>
      <c r="F716">
        <v>12908</v>
      </c>
      <c r="G716">
        <v>0</v>
      </c>
      <c r="H716">
        <v>14500</v>
      </c>
      <c r="I716">
        <v>1592</v>
      </c>
      <c r="J716">
        <v>12.33</v>
      </c>
      <c r="K716">
        <v>12908</v>
      </c>
      <c r="L716">
        <v>0</v>
      </c>
      <c r="M716">
        <v>0</v>
      </c>
      <c r="N716">
        <v>0</v>
      </c>
      <c r="O716">
        <v>0</v>
      </c>
      <c r="P716" t="s">
        <v>1925</v>
      </c>
      <c r="Q716" t="s">
        <v>2725</v>
      </c>
      <c r="R716">
        <v>0</v>
      </c>
      <c r="S716">
        <v>0</v>
      </c>
      <c r="T716">
        <v>0</v>
      </c>
      <c r="U716">
        <v>20000</v>
      </c>
      <c r="V716">
        <v>1000</v>
      </c>
      <c r="W716">
        <v>1</v>
      </c>
    </row>
    <row r="717" spans="1:23" x14ac:dyDescent="0.25">
      <c r="A717" t="s">
        <v>1926</v>
      </c>
      <c r="B717" t="s">
        <v>1927</v>
      </c>
      <c r="C717">
        <v>0</v>
      </c>
      <c r="D717">
        <v>0</v>
      </c>
      <c r="E717">
        <v>0</v>
      </c>
      <c r="F717">
        <v>623</v>
      </c>
      <c r="G717">
        <v>0</v>
      </c>
      <c r="H717">
        <v>623</v>
      </c>
      <c r="I717">
        <v>0</v>
      </c>
      <c r="J717">
        <v>0</v>
      </c>
      <c r="K717">
        <v>623</v>
      </c>
      <c r="L717">
        <v>0</v>
      </c>
      <c r="M717">
        <v>0</v>
      </c>
      <c r="N717">
        <v>0</v>
      </c>
      <c r="O717">
        <v>0</v>
      </c>
      <c r="R717">
        <v>1</v>
      </c>
      <c r="S717">
        <v>10</v>
      </c>
      <c r="T717">
        <v>340</v>
      </c>
      <c r="U717">
        <v>1500</v>
      </c>
      <c r="V717">
        <v>20</v>
      </c>
      <c r="W717">
        <v>1</v>
      </c>
    </row>
    <row r="718" spans="1:23" x14ac:dyDescent="0.25">
      <c r="A718" t="s">
        <v>1928</v>
      </c>
      <c r="B718" t="s">
        <v>1929</v>
      </c>
      <c r="C718">
        <v>5</v>
      </c>
      <c r="D718">
        <v>102</v>
      </c>
      <c r="E718">
        <v>31628529</v>
      </c>
      <c r="F718">
        <v>307200</v>
      </c>
      <c r="G718">
        <v>309999</v>
      </c>
      <c r="H718">
        <v>318560</v>
      </c>
      <c r="I718">
        <v>11360</v>
      </c>
      <c r="J718">
        <v>3.7</v>
      </c>
      <c r="K718">
        <v>310084</v>
      </c>
      <c r="L718">
        <v>2884</v>
      </c>
      <c r="M718">
        <v>0.94</v>
      </c>
      <c r="N718">
        <v>309999</v>
      </c>
      <c r="O718">
        <v>318560</v>
      </c>
      <c r="R718">
        <v>1</v>
      </c>
      <c r="S718">
        <v>1050</v>
      </c>
      <c r="T718">
        <v>296500</v>
      </c>
      <c r="U718">
        <v>318559</v>
      </c>
      <c r="V718">
        <v>74</v>
      </c>
      <c r="W718">
        <v>1</v>
      </c>
    </row>
    <row r="719" spans="1:23" x14ac:dyDescent="0.25">
      <c r="A719" t="s">
        <v>1930</v>
      </c>
      <c r="B719" t="s">
        <v>1931</v>
      </c>
      <c r="C719">
        <v>4</v>
      </c>
      <c r="D719">
        <v>1185</v>
      </c>
      <c r="E719">
        <v>1104714829</v>
      </c>
      <c r="F719">
        <v>932901</v>
      </c>
      <c r="G719">
        <v>932176</v>
      </c>
      <c r="H719">
        <v>932201</v>
      </c>
      <c r="I719">
        <v>-700</v>
      </c>
      <c r="J719">
        <v>-0.08</v>
      </c>
      <c r="K719">
        <v>932249</v>
      </c>
      <c r="L719">
        <v>-652</v>
      </c>
      <c r="M719">
        <v>-7.0000000000000007E-2</v>
      </c>
      <c r="N719">
        <v>932176</v>
      </c>
      <c r="O719">
        <v>933002</v>
      </c>
      <c r="R719">
        <v>1</v>
      </c>
      <c r="S719">
        <v>8888</v>
      </c>
      <c r="T719">
        <v>932501</v>
      </c>
      <c r="U719">
        <v>950000</v>
      </c>
      <c r="V719">
        <v>300</v>
      </c>
      <c r="W719">
        <v>1</v>
      </c>
    </row>
    <row r="720" spans="1:23" x14ac:dyDescent="0.25">
      <c r="A720" t="s">
        <v>1932</v>
      </c>
      <c r="B720" t="s">
        <v>1933</v>
      </c>
      <c r="C720">
        <v>655</v>
      </c>
      <c r="D720">
        <v>1821583</v>
      </c>
      <c r="E720">
        <v>13716977136</v>
      </c>
      <c r="F720">
        <v>7591</v>
      </c>
      <c r="G720">
        <v>7499</v>
      </c>
      <c r="H720">
        <v>7631</v>
      </c>
      <c r="I720">
        <v>40</v>
      </c>
      <c r="J720">
        <v>0.53</v>
      </c>
      <c r="K720">
        <v>7530</v>
      </c>
      <c r="L720">
        <v>-61</v>
      </c>
      <c r="M720">
        <v>-0.8</v>
      </c>
      <c r="N720">
        <v>7314</v>
      </c>
      <c r="O720">
        <v>7700</v>
      </c>
      <c r="P720" t="s">
        <v>620</v>
      </c>
      <c r="Q720" t="s">
        <v>3156</v>
      </c>
      <c r="R720">
        <v>1</v>
      </c>
      <c r="S720">
        <v>25</v>
      </c>
      <c r="T720">
        <v>7635</v>
      </c>
      <c r="U720">
        <v>7689</v>
      </c>
      <c r="V720">
        <v>5</v>
      </c>
      <c r="W720">
        <v>1</v>
      </c>
    </row>
    <row r="721" spans="1:23" x14ac:dyDescent="0.25">
      <c r="A721" t="s">
        <v>1934</v>
      </c>
      <c r="B721" t="s">
        <v>1935</v>
      </c>
      <c r="C721">
        <v>579</v>
      </c>
      <c r="D721">
        <v>1046556</v>
      </c>
      <c r="E721">
        <v>54003338563</v>
      </c>
      <c r="F721">
        <v>49256</v>
      </c>
      <c r="G721">
        <v>50501</v>
      </c>
      <c r="H721">
        <v>51718</v>
      </c>
      <c r="I721">
        <v>2462</v>
      </c>
      <c r="J721">
        <v>5</v>
      </c>
      <c r="K721">
        <v>51601</v>
      </c>
      <c r="L721">
        <v>2345</v>
      </c>
      <c r="M721">
        <v>4.76</v>
      </c>
      <c r="N721">
        <v>50501</v>
      </c>
      <c r="O721">
        <v>51718</v>
      </c>
      <c r="P721" t="s">
        <v>1936</v>
      </c>
      <c r="Q721" t="s">
        <v>3157</v>
      </c>
      <c r="R721">
        <v>7</v>
      </c>
      <c r="S721">
        <v>2488</v>
      </c>
      <c r="T721">
        <v>51718</v>
      </c>
      <c r="U721">
        <v>51789</v>
      </c>
      <c r="V721">
        <v>20</v>
      </c>
      <c r="W721">
        <v>1</v>
      </c>
    </row>
    <row r="722" spans="1:23" x14ac:dyDescent="0.25">
      <c r="A722" t="s">
        <v>1937</v>
      </c>
      <c r="B722" t="s">
        <v>1938</v>
      </c>
      <c r="C722">
        <v>567</v>
      </c>
      <c r="D722">
        <v>2866434</v>
      </c>
      <c r="E722">
        <v>10906715225</v>
      </c>
      <c r="F722">
        <v>3889</v>
      </c>
      <c r="G722">
        <v>3979</v>
      </c>
      <c r="H722">
        <v>3797</v>
      </c>
      <c r="I722">
        <v>-92</v>
      </c>
      <c r="J722">
        <v>-2.37</v>
      </c>
      <c r="K722">
        <v>3805</v>
      </c>
      <c r="L722">
        <v>-84</v>
      </c>
      <c r="M722">
        <v>-2.16</v>
      </c>
      <c r="N722">
        <v>3750</v>
      </c>
      <c r="O722">
        <v>3979</v>
      </c>
      <c r="P722" t="s">
        <v>1939</v>
      </c>
      <c r="Q722" t="s">
        <v>3158</v>
      </c>
      <c r="R722">
        <v>1</v>
      </c>
      <c r="S722">
        <v>855</v>
      </c>
      <c r="T722">
        <v>3797</v>
      </c>
      <c r="U722">
        <v>3800</v>
      </c>
      <c r="V722">
        <v>9107</v>
      </c>
      <c r="W722">
        <v>4</v>
      </c>
    </row>
    <row r="723" spans="1:23" x14ac:dyDescent="0.25">
      <c r="A723" t="s">
        <v>1940</v>
      </c>
      <c r="B723" t="s">
        <v>1941</v>
      </c>
      <c r="C723">
        <v>33</v>
      </c>
      <c r="D723">
        <v>312035</v>
      </c>
      <c r="E723">
        <v>5548287020</v>
      </c>
      <c r="F723">
        <v>17764</v>
      </c>
      <c r="G723">
        <v>17760</v>
      </c>
      <c r="H723">
        <v>17790</v>
      </c>
      <c r="I723">
        <v>26</v>
      </c>
      <c r="J723">
        <v>0.15</v>
      </c>
      <c r="K723">
        <v>17781</v>
      </c>
      <c r="L723">
        <v>17</v>
      </c>
      <c r="M723">
        <v>0.1</v>
      </c>
      <c r="N723">
        <v>17760</v>
      </c>
      <c r="O723">
        <v>17799</v>
      </c>
      <c r="R723">
        <v>4</v>
      </c>
      <c r="S723">
        <v>27500</v>
      </c>
      <c r="T723">
        <v>17790</v>
      </c>
      <c r="U723">
        <v>17814</v>
      </c>
      <c r="V723">
        <v>33000</v>
      </c>
      <c r="W723">
        <v>1</v>
      </c>
    </row>
    <row r="724" spans="1:23" x14ac:dyDescent="0.25">
      <c r="A724" t="s">
        <v>1942</v>
      </c>
      <c r="B724" t="s">
        <v>1943</v>
      </c>
      <c r="C724">
        <v>124</v>
      </c>
      <c r="D724">
        <v>62591</v>
      </c>
      <c r="E724">
        <v>2502657699</v>
      </c>
      <c r="F724">
        <v>39557</v>
      </c>
      <c r="G724">
        <v>40375</v>
      </c>
      <c r="H724">
        <v>39981</v>
      </c>
      <c r="I724">
        <v>424</v>
      </c>
      <c r="J724">
        <v>1.07</v>
      </c>
      <c r="K724">
        <v>39984</v>
      </c>
      <c r="L724">
        <v>427</v>
      </c>
      <c r="M724">
        <v>1.08</v>
      </c>
      <c r="N724">
        <v>39800</v>
      </c>
      <c r="O724">
        <v>40375</v>
      </c>
      <c r="P724" t="s">
        <v>1944</v>
      </c>
      <c r="Q724" t="s">
        <v>2787</v>
      </c>
      <c r="R724">
        <v>2</v>
      </c>
      <c r="S724">
        <v>390</v>
      </c>
      <c r="T724">
        <v>39980</v>
      </c>
      <c r="U724">
        <v>39990</v>
      </c>
      <c r="V724">
        <v>3051</v>
      </c>
      <c r="W724">
        <v>2</v>
      </c>
    </row>
    <row r="725" spans="1:23" x14ac:dyDescent="0.25">
      <c r="A725" t="s">
        <v>3159</v>
      </c>
      <c r="B725" t="s">
        <v>3160</v>
      </c>
      <c r="C725">
        <v>0</v>
      </c>
      <c r="D725">
        <v>0</v>
      </c>
      <c r="E725">
        <v>0</v>
      </c>
      <c r="F725">
        <v>654</v>
      </c>
      <c r="G725">
        <v>0</v>
      </c>
      <c r="H725">
        <v>654</v>
      </c>
      <c r="I725">
        <v>0</v>
      </c>
      <c r="J725">
        <v>0</v>
      </c>
      <c r="K725">
        <v>654</v>
      </c>
      <c r="L725">
        <v>0</v>
      </c>
      <c r="M725">
        <v>0</v>
      </c>
      <c r="N725">
        <v>0</v>
      </c>
      <c r="O725">
        <v>0</v>
      </c>
      <c r="R725">
        <v>0</v>
      </c>
      <c r="S725">
        <v>0</v>
      </c>
      <c r="T725">
        <v>0</v>
      </c>
      <c r="U725">
        <v>1625</v>
      </c>
      <c r="V725">
        <v>50</v>
      </c>
      <c r="W725">
        <v>1</v>
      </c>
    </row>
    <row r="726" spans="1:23" x14ac:dyDescent="0.25">
      <c r="A726" t="s">
        <v>2728</v>
      </c>
      <c r="B726" t="s">
        <v>2729</v>
      </c>
      <c r="C726">
        <v>45</v>
      </c>
      <c r="D726">
        <v>48718</v>
      </c>
      <c r="E726">
        <v>1131199513</v>
      </c>
      <c r="F726">
        <v>22197</v>
      </c>
      <c r="G726">
        <v>23200</v>
      </c>
      <c r="H726">
        <v>23990</v>
      </c>
      <c r="I726">
        <v>1793</v>
      </c>
      <c r="J726">
        <v>8.08</v>
      </c>
      <c r="K726">
        <v>23219</v>
      </c>
      <c r="L726">
        <v>1022</v>
      </c>
      <c r="M726">
        <v>4.5999999999999996</v>
      </c>
      <c r="N726">
        <v>23196</v>
      </c>
      <c r="O726">
        <v>23990</v>
      </c>
      <c r="P726" t="s">
        <v>2730</v>
      </c>
      <c r="Q726" t="s">
        <v>3161</v>
      </c>
      <c r="R726">
        <v>3</v>
      </c>
      <c r="S726">
        <v>9580</v>
      </c>
      <c r="T726">
        <v>23200</v>
      </c>
      <c r="U726">
        <v>23990</v>
      </c>
      <c r="V726">
        <v>5151</v>
      </c>
      <c r="W726">
        <v>1</v>
      </c>
    </row>
    <row r="727" spans="1:23" x14ac:dyDescent="0.25">
      <c r="A727" t="s">
        <v>1945</v>
      </c>
      <c r="B727" t="s">
        <v>1946</v>
      </c>
      <c r="C727">
        <v>728</v>
      </c>
      <c r="D727">
        <v>1324601</v>
      </c>
      <c r="E727">
        <v>22118533269</v>
      </c>
      <c r="F727">
        <v>17169</v>
      </c>
      <c r="G727">
        <v>17026</v>
      </c>
      <c r="H727">
        <v>16670</v>
      </c>
      <c r="I727">
        <v>-499</v>
      </c>
      <c r="J727">
        <v>-2.91</v>
      </c>
      <c r="K727">
        <v>16698</v>
      </c>
      <c r="L727">
        <v>-471</v>
      </c>
      <c r="M727">
        <v>-2.74</v>
      </c>
      <c r="N727">
        <v>16460</v>
      </c>
      <c r="O727">
        <v>17370</v>
      </c>
      <c r="P727" t="s">
        <v>1947</v>
      </c>
      <c r="Q727" t="s">
        <v>2601</v>
      </c>
      <c r="R727">
        <v>3</v>
      </c>
      <c r="S727">
        <v>14150</v>
      </c>
      <c r="T727">
        <v>16600</v>
      </c>
      <c r="U727">
        <v>16670</v>
      </c>
      <c r="V727">
        <v>9935</v>
      </c>
      <c r="W727">
        <v>1</v>
      </c>
    </row>
    <row r="728" spans="1:23" x14ac:dyDescent="0.25">
      <c r="A728" t="s">
        <v>1948</v>
      </c>
      <c r="B728" t="s">
        <v>1949</v>
      </c>
      <c r="C728">
        <v>0</v>
      </c>
      <c r="D728">
        <v>0</v>
      </c>
      <c r="E728">
        <v>0</v>
      </c>
      <c r="F728">
        <v>396869</v>
      </c>
      <c r="G728">
        <v>0</v>
      </c>
      <c r="H728">
        <v>396869</v>
      </c>
      <c r="I728">
        <v>0</v>
      </c>
      <c r="J728">
        <v>0</v>
      </c>
      <c r="K728">
        <v>396869</v>
      </c>
      <c r="L728">
        <v>0</v>
      </c>
      <c r="M728">
        <v>0</v>
      </c>
      <c r="N728">
        <v>0</v>
      </c>
      <c r="O728">
        <v>0</v>
      </c>
      <c r="R728">
        <v>0</v>
      </c>
      <c r="S728">
        <v>0</v>
      </c>
      <c r="T728">
        <v>0</v>
      </c>
      <c r="U728">
        <v>377026</v>
      </c>
      <c r="V728">
        <v>103</v>
      </c>
      <c r="W728">
        <v>9</v>
      </c>
    </row>
    <row r="729" spans="1:23" x14ac:dyDescent="0.25">
      <c r="A729" t="s">
        <v>1950</v>
      </c>
      <c r="B729" t="s">
        <v>1951</v>
      </c>
      <c r="C729">
        <v>687</v>
      </c>
      <c r="D729">
        <v>5178160</v>
      </c>
      <c r="E729">
        <v>16962284886</v>
      </c>
      <c r="F729">
        <v>3207</v>
      </c>
      <c r="G729">
        <v>3313</v>
      </c>
      <c r="H729">
        <v>3271</v>
      </c>
      <c r="I729">
        <v>64</v>
      </c>
      <c r="J729">
        <v>2</v>
      </c>
      <c r="K729">
        <v>3276</v>
      </c>
      <c r="L729">
        <v>69</v>
      </c>
      <c r="M729">
        <v>2.15</v>
      </c>
      <c r="N729">
        <v>3200</v>
      </c>
      <c r="O729">
        <v>3344</v>
      </c>
      <c r="P729" t="s">
        <v>1952</v>
      </c>
      <c r="Q729" t="s">
        <v>2649</v>
      </c>
      <c r="R729">
        <v>1</v>
      </c>
      <c r="S729">
        <v>1364</v>
      </c>
      <c r="T729">
        <v>3250</v>
      </c>
      <c r="U729">
        <v>3279</v>
      </c>
      <c r="V729">
        <v>1281</v>
      </c>
      <c r="W729">
        <v>1</v>
      </c>
    </row>
    <row r="730" spans="1:23" x14ac:dyDescent="0.25">
      <c r="A730" t="s">
        <v>1953</v>
      </c>
      <c r="B730" t="s">
        <v>1954</v>
      </c>
      <c r="C730">
        <v>0</v>
      </c>
      <c r="D730">
        <v>0</v>
      </c>
      <c r="E730">
        <v>0</v>
      </c>
      <c r="F730">
        <v>200</v>
      </c>
      <c r="G730">
        <v>0</v>
      </c>
      <c r="H730">
        <v>200</v>
      </c>
      <c r="I730">
        <v>0</v>
      </c>
      <c r="J730">
        <v>0</v>
      </c>
      <c r="K730">
        <v>200</v>
      </c>
      <c r="L730">
        <v>0</v>
      </c>
      <c r="M730">
        <v>0</v>
      </c>
      <c r="N730">
        <v>0</v>
      </c>
      <c r="O730">
        <v>0</v>
      </c>
      <c r="R730">
        <v>1</v>
      </c>
      <c r="S730">
        <v>50</v>
      </c>
      <c r="T730">
        <v>45</v>
      </c>
      <c r="U730">
        <v>750</v>
      </c>
      <c r="V730">
        <v>100</v>
      </c>
      <c r="W730">
        <v>1</v>
      </c>
    </row>
    <row r="731" spans="1:23" x14ac:dyDescent="0.25">
      <c r="A731" t="s">
        <v>1955</v>
      </c>
      <c r="B731" t="s">
        <v>1956</v>
      </c>
      <c r="C731">
        <v>0</v>
      </c>
      <c r="D731">
        <v>0</v>
      </c>
      <c r="E731">
        <v>0</v>
      </c>
      <c r="F731">
        <v>1</v>
      </c>
      <c r="G731">
        <v>0</v>
      </c>
      <c r="H731">
        <v>1</v>
      </c>
      <c r="I731">
        <v>0</v>
      </c>
      <c r="J731">
        <v>0</v>
      </c>
      <c r="K731">
        <v>1</v>
      </c>
      <c r="L731">
        <v>0</v>
      </c>
      <c r="M731">
        <v>0</v>
      </c>
      <c r="N731">
        <v>0</v>
      </c>
      <c r="O731">
        <v>0</v>
      </c>
      <c r="R731">
        <v>4</v>
      </c>
      <c r="S731">
        <v>400</v>
      </c>
      <c r="T731">
        <v>2</v>
      </c>
      <c r="U731">
        <v>0</v>
      </c>
      <c r="V731">
        <v>0</v>
      </c>
      <c r="W731">
        <v>0</v>
      </c>
    </row>
    <row r="732" spans="1:23" x14ac:dyDescent="0.25">
      <c r="A732" t="s">
        <v>1957</v>
      </c>
      <c r="B732" t="s">
        <v>1958</v>
      </c>
      <c r="C732">
        <v>0</v>
      </c>
      <c r="D732">
        <v>0</v>
      </c>
      <c r="E732">
        <v>0</v>
      </c>
      <c r="F732">
        <v>9711</v>
      </c>
      <c r="G732">
        <v>0</v>
      </c>
      <c r="H732">
        <v>10236</v>
      </c>
      <c r="I732">
        <v>525</v>
      </c>
      <c r="J732">
        <v>5.41</v>
      </c>
      <c r="K732">
        <v>9711</v>
      </c>
      <c r="L732">
        <v>0</v>
      </c>
      <c r="M732">
        <v>0</v>
      </c>
      <c r="N732">
        <v>0</v>
      </c>
      <c r="O732">
        <v>0</v>
      </c>
      <c r="P732" t="s">
        <v>1959</v>
      </c>
      <c r="Q732" t="s">
        <v>2731</v>
      </c>
      <c r="R732">
        <v>1</v>
      </c>
      <c r="S732">
        <v>2000</v>
      </c>
      <c r="T732">
        <v>6930</v>
      </c>
      <c r="U732">
        <v>10450</v>
      </c>
      <c r="V732">
        <v>1000</v>
      </c>
      <c r="W732">
        <v>1</v>
      </c>
    </row>
    <row r="733" spans="1:23" x14ac:dyDescent="0.25">
      <c r="A733" t="s">
        <v>1960</v>
      </c>
      <c r="B733" t="s">
        <v>1961</v>
      </c>
      <c r="C733">
        <v>1318</v>
      </c>
      <c r="D733">
        <v>3685889</v>
      </c>
      <c r="E733">
        <v>104637409480</v>
      </c>
      <c r="F733">
        <v>27079</v>
      </c>
      <c r="G733">
        <v>28432</v>
      </c>
      <c r="H733">
        <v>28420</v>
      </c>
      <c r="I733">
        <v>1341</v>
      </c>
      <c r="J733">
        <v>4.95</v>
      </c>
      <c r="K733">
        <v>28389</v>
      </c>
      <c r="L733">
        <v>1310</v>
      </c>
      <c r="M733">
        <v>4.84</v>
      </c>
      <c r="N733">
        <v>28000</v>
      </c>
      <c r="O733">
        <v>28432</v>
      </c>
      <c r="P733" t="s">
        <v>1962</v>
      </c>
      <c r="Q733" t="s">
        <v>3162</v>
      </c>
      <c r="R733">
        <v>1</v>
      </c>
      <c r="S733">
        <v>700</v>
      </c>
      <c r="T733">
        <v>28419</v>
      </c>
      <c r="U733">
        <v>28420</v>
      </c>
      <c r="V733">
        <v>34985</v>
      </c>
      <c r="W733">
        <v>5</v>
      </c>
    </row>
    <row r="734" spans="1:23" x14ac:dyDescent="0.25">
      <c r="A734" t="s">
        <v>1963</v>
      </c>
      <c r="B734" t="s">
        <v>1964</v>
      </c>
      <c r="C734">
        <v>0</v>
      </c>
      <c r="D734">
        <v>0</v>
      </c>
      <c r="E734">
        <v>0</v>
      </c>
      <c r="F734">
        <v>15040</v>
      </c>
      <c r="G734">
        <v>0</v>
      </c>
      <c r="H734">
        <v>15040</v>
      </c>
      <c r="I734">
        <v>0</v>
      </c>
      <c r="J734">
        <v>0</v>
      </c>
      <c r="K734">
        <v>15040</v>
      </c>
      <c r="L734">
        <v>0</v>
      </c>
      <c r="M734">
        <v>0</v>
      </c>
      <c r="N734">
        <v>0</v>
      </c>
      <c r="O734">
        <v>0</v>
      </c>
      <c r="P734" t="s">
        <v>501</v>
      </c>
      <c r="Q734" t="s">
        <v>2732</v>
      </c>
      <c r="R734">
        <v>1</v>
      </c>
      <c r="S734">
        <v>995</v>
      </c>
      <c r="T734">
        <v>25001</v>
      </c>
      <c r="U734">
        <v>49999</v>
      </c>
      <c r="V734">
        <v>400</v>
      </c>
      <c r="W734">
        <v>1</v>
      </c>
    </row>
    <row r="735" spans="1:23" x14ac:dyDescent="0.25">
      <c r="A735" t="s">
        <v>2733</v>
      </c>
      <c r="B735" t="s">
        <v>2734</v>
      </c>
      <c r="C735">
        <v>628</v>
      </c>
      <c r="D735">
        <v>1527761</v>
      </c>
      <c r="E735">
        <v>23361075592</v>
      </c>
      <c r="F735">
        <v>14658</v>
      </c>
      <c r="G735">
        <v>15390</v>
      </c>
      <c r="H735">
        <v>15184</v>
      </c>
      <c r="I735">
        <v>526</v>
      </c>
      <c r="J735">
        <v>3.59</v>
      </c>
      <c r="K735">
        <v>15291</v>
      </c>
      <c r="L735">
        <v>633</v>
      </c>
      <c r="M735">
        <v>4.32</v>
      </c>
      <c r="N735">
        <v>14801</v>
      </c>
      <c r="O735">
        <v>15390</v>
      </c>
      <c r="P735" t="s">
        <v>2735</v>
      </c>
      <c r="Q735" t="s">
        <v>3163</v>
      </c>
      <c r="R735">
        <v>1</v>
      </c>
      <c r="S735">
        <v>200</v>
      </c>
      <c r="T735">
        <v>15182</v>
      </c>
      <c r="U735">
        <v>15183</v>
      </c>
      <c r="V735">
        <v>750</v>
      </c>
      <c r="W735">
        <v>1</v>
      </c>
    </row>
    <row r="736" spans="1:23" x14ac:dyDescent="0.25">
      <c r="A736" t="s">
        <v>1965</v>
      </c>
      <c r="B736" t="s">
        <v>1966</v>
      </c>
      <c r="C736">
        <v>700</v>
      </c>
      <c r="D736">
        <v>1977487</v>
      </c>
      <c r="E736">
        <v>14037085986</v>
      </c>
      <c r="F736">
        <v>7183</v>
      </c>
      <c r="G736">
        <v>7128</v>
      </c>
      <c r="H736">
        <v>7121</v>
      </c>
      <c r="I736">
        <v>-62</v>
      </c>
      <c r="J736">
        <v>-0.86</v>
      </c>
      <c r="K736">
        <v>7098</v>
      </c>
      <c r="L736">
        <v>-85</v>
      </c>
      <c r="M736">
        <v>-1.18</v>
      </c>
      <c r="N736">
        <v>7000</v>
      </c>
      <c r="O736">
        <v>7291</v>
      </c>
      <c r="P736" t="s">
        <v>1967</v>
      </c>
      <c r="Q736" t="s">
        <v>2981</v>
      </c>
      <c r="R736">
        <v>1</v>
      </c>
      <c r="S736">
        <v>4450</v>
      </c>
      <c r="T736">
        <v>7121</v>
      </c>
      <c r="U736">
        <v>7199</v>
      </c>
      <c r="V736">
        <v>130</v>
      </c>
      <c r="W736">
        <v>1</v>
      </c>
    </row>
    <row r="737" spans="1:23" x14ac:dyDescent="0.25">
      <c r="A737" t="s">
        <v>1968</v>
      </c>
      <c r="B737" t="s">
        <v>1969</v>
      </c>
      <c r="C737">
        <v>0</v>
      </c>
      <c r="D737">
        <v>0</v>
      </c>
      <c r="E737">
        <v>0</v>
      </c>
      <c r="F737">
        <v>726</v>
      </c>
      <c r="G737">
        <v>0</v>
      </c>
      <c r="H737">
        <v>780</v>
      </c>
      <c r="I737">
        <v>54</v>
      </c>
      <c r="J737">
        <v>7.44</v>
      </c>
      <c r="K737">
        <v>726</v>
      </c>
      <c r="L737">
        <v>0</v>
      </c>
      <c r="M737">
        <v>0</v>
      </c>
      <c r="N737">
        <v>0</v>
      </c>
      <c r="O737">
        <v>0</v>
      </c>
      <c r="R737">
        <v>1</v>
      </c>
      <c r="S737">
        <v>8</v>
      </c>
      <c r="T737">
        <v>256</v>
      </c>
      <c r="U737">
        <v>0</v>
      </c>
      <c r="V737">
        <v>0</v>
      </c>
      <c r="W737">
        <v>0</v>
      </c>
    </row>
    <row r="738" spans="1:23" x14ac:dyDescent="0.25">
      <c r="A738" t="s">
        <v>1970</v>
      </c>
      <c r="B738" t="s">
        <v>1971</v>
      </c>
      <c r="C738">
        <v>1</v>
      </c>
      <c r="D738">
        <v>1</v>
      </c>
      <c r="E738">
        <v>11080000</v>
      </c>
      <c r="F738">
        <v>2111</v>
      </c>
      <c r="G738">
        <v>2216</v>
      </c>
      <c r="H738">
        <v>2216</v>
      </c>
      <c r="I738">
        <v>105</v>
      </c>
      <c r="J738">
        <v>4.97</v>
      </c>
      <c r="K738">
        <v>2216</v>
      </c>
      <c r="L738">
        <v>105</v>
      </c>
      <c r="M738">
        <v>4.97</v>
      </c>
      <c r="N738">
        <v>2216</v>
      </c>
      <c r="O738">
        <v>2216</v>
      </c>
      <c r="R738">
        <v>2</v>
      </c>
      <c r="S738">
        <v>2</v>
      </c>
      <c r="T738">
        <v>2160</v>
      </c>
      <c r="U738">
        <v>0</v>
      </c>
      <c r="V738">
        <v>0</v>
      </c>
      <c r="W738">
        <v>0</v>
      </c>
    </row>
    <row r="739" spans="1:23" x14ac:dyDescent="0.25">
      <c r="A739" t="s">
        <v>1972</v>
      </c>
      <c r="B739" t="s">
        <v>1973</v>
      </c>
      <c r="C739">
        <v>340</v>
      </c>
      <c r="D739">
        <v>910643</v>
      </c>
      <c r="E739">
        <v>5863317688</v>
      </c>
      <c r="F739">
        <v>6608</v>
      </c>
      <c r="G739">
        <v>6701</v>
      </c>
      <c r="H739">
        <v>6403</v>
      </c>
      <c r="I739">
        <v>-205</v>
      </c>
      <c r="J739">
        <v>-3.1</v>
      </c>
      <c r="K739">
        <v>6439</v>
      </c>
      <c r="L739">
        <v>-169</v>
      </c>
      <c r="M739">
        <v>-2.56</v>
      </c>
      <c r="N739">
        <v>6280</v>
      </c>
      <c r="O739">
        <v>6737</v>
      </c>
      <c r="P739" t="s">
        <v>1315</v>
      </c>
      <c r="Q739" t="s">
        <v>272</v>
      </c>
      <c r="R739">
        <v>1</v>
      </c>
      <c r="S739">
        <v>170</v>
      </c>
      <c r="T739">
        <v>6404</v>
      </c>
      <c r="U739">
        <v>6420</v>
      </c>
      <c r="V739">
        <v>7224</v>
      </c>
      <c r="W739">
        <v>1</v>
      </c>
    </row>
    <row r="740" spans="1:23" x14ac:dyDescent="0.25">
      <c r="A740" t="s">
        <v>1974</v>
      </c>
      <c r="B740" t="s">
        <v>1975</v>
      </c>
      <c r="C740">
        <v>0</v>
      </c>
      <c r="D740">
        <v>0</v>
      </c>
      <c r="E740">
        <v>0</v>
      </c>
      <c r="F740">
        <v>980000</v>
      </c>
      <c r="G740">
        <v>0</v>
      </c>
      <c r="H740">
        <v>980000</v>
      </c>
      <c r="I740">
        <v>0</v>
      </c>
      <c r="J740">
        <v>0</v>
      </c>
      <c r="K740">
        <v>980000</v>
      </c>
      <c r="L740">
        <v>0</v>
      </c>
      <c r="M740">
        <v>0</v>
      </c>
      <c r="N740">
        <v>0</v>
      </c>
      <c r="O740">
        <v>0</v>
      </c>
      <c r="R740">
        <v>1</v>
      </c>
      <c r="S740">
        <v>1500</v>
      </c>
      <c r="T740">
        <v>980100</v>
      </c>
      <c r="U740">
        <v>1000000</v>
      </c>
      <c r="V740">
        <v>449</v>
      </c>
      <c r="W740">
        <v>1</v>
      </c>
    </row>
    <row r="741" spans="1:23" x14ac:dyDescent="0.25">
      <c r="A741" t="s">
        <v>1976</v>
      </c>
      <c r="B741" t="s">
        <v>1977</v>
      </c>
      <c r="C741">
        <v>0</v>
      </c>
      <c r="D741">
        <v>0</v>
      </c>
      <c r="E741">
        <v>0</v>
      </c>
      <c r="F741">
        <v>969913</v>
      </c>
      <c r="G741">
        <v>0</v>
      </c>
      <c r="H741">
        <v>969913</v>
      </c>
      <c r="I741">
        <v>0</v>
      </c>
      <c r="J741">
        <v>0</v>
      </c>
      <c r="K741">
        <v>969913</v>
      </c>
      <c r="L741">
        <v>0</v>
      </c>
      <c r="M741">
        <v>0</v>
      </c>
      <c r="N741">
        <v>0</v>
      </c>
      <c r="O741">
        <v>0</v>
      </c>
      <c r="R741">
        <v>1</v>
      </c>
      <c r="S741">
        <v>400</v>
      </c>
      <c r="T741">
        <v>960309</v>
      </c>
      <c r="U741">
        <v>969913</v>
      </c>
      <c r="V741">
        <v>400</v>
      </c>
      <c r="W741">
        <v>1</v>
      </c>
    </row>
    <row r="742" spans="1:23" x14ac:dyDescent="0.25">
      <c r="A742" t="s">
        <v>1978</v>
      </c>
      <c r="B742" t="s">
        <v>1979</v>
      </c>
      <c r="C742">
        <v>0</v>
      </c>
      <c r="D742">
        <v>0</v>
      </c>
      <c r="E742">
        <v>0</v>
      </c>
      <c r="F742">
        <v>900</v>
      </c>
      <c r="G742">
        <v>0</v>
      </c>
      <c r="H742">
        <v>929</v>
      </c>
      <c r="I742">
        <v>29</v>
      </c>
      <c r="J742">
        <v>3.22</v>
      </c>
      <c r="K742">
        <v>900</v>
      </c>
      <c r="L742">
        <v>0</v>
      </c>
      <c r="M742">
        <v>0</v>
      </c>
      <c r="N742">
        <v>0</v>
      </c>
      <c r="O742">
        <v>0</v>
      </c>
      <c r="R742">
        <v>2</v>
      </c>
      <c r="S742">
        <v>73</v>
      </c>
      <c r="T742">
        <v>600</v>
      </c>
      <c r="U742">
        <v>838</v>
      </c>
      <c r="V742">
        <v>200</v>
      </c>
      <c r="W742">
        <v>2</v>
      </c>
    </row>
    <row r="743" spans="1:23" x14ac:dyDescent="0.25">
      <c r="A743" t="s">
        <v>1980</v>
      </c>
      <c r="B743" t="s">
        <v>1981</v>
      </c>
      <c r="C743">
        <v>0</v>
      </c>
      <c r="D743">
        <v>0</v>
      </c>
      <c r="E743">
        <v>0</v>
      </c>
      <c r="F743">
        <v>724</v>
      </c>
      <c r="G743">
        <v>0</v>
      </c>
      <c r="H743">
        <v>730</v>
      </c>
      <c r="I743">
        <v>6</v>
      </c>
      <c r="J743">
        <v>0.83</v>
      </c>
      <c r="K743">
        <v>724</v>
      </c>
      <c r="L743">
        <v>0</v>
      </c>
      <c r="M743">
        <v>0</v>
      </c>
      <c r="N743">
        <v>0</v>
      </c>
      <c r="O743">
        <v>0</v>
      </c>
      <c r="R743">
        <v>1</v>
      </c>
      <c r="S743">
        <v>30</v>
      </c>
      <c r="T743">
        <v>310</v>
      </c>
      <c r="U743">
        <v>1500</v>
      </c>
      <c r="V743">
        <v>1</v>
      </c>
      <c r="W743">
        <v>1</v>
      </c>
    </row>
    <row r="744" spans="1:23" x14ac:dyDescent="0.25">
      <c r="A744" t="s">
        <v>2736</v>
      </c>
      <c r="B744" t="s">
        <v>2737</v>
      </c>
      <c r="C744">
        <v>470</v>
      </c>
      <c r="D744">
        <v>1655114</v>
      </c>
      <c r="E744">
        <v>12759330744</v>
      </c>
      <c r="F744">
        <v>8142</v>
      </c>
      <c r="G744">
        <v>8055</v>
      </c>
      <c r="H744">
        <v>7590</v>
      </c>
      <c r="I744">
        <v>-552</v>
      </c>
      <c r="J744">
        <v>-6.78</v>
      </c>
      <c r="K744">
        <v>7709</v>
      </c>
      <c r="L744">
        <v>-433</v>
      </c>
      <c r="M744">
        <v>-5.32</v>
      </c>
      <c r="N744">
        <v>7500</v>
      </c>
      <c r="O744">
        <v>8100</v>
      </c>
      <c r="P744" t="s">
        <v>2738</v>
      </c>
      <c r="Q744" t="s">
        <v>3164</v>
      </c>
      <c r="R744">
        <v>1</v>
      </c>
      <c r="S744">
        <v>13100</v>
      </c>
      <c r="T744">
        <v>7552</v>
      </c>
      <c r="U744">
        <v>7590</v>
      </c>
      <c r="V744">
        <v>271</v>
      </c>
      <c r="W744">
        <v>1</v>
      </c>
    </row>
    <row r="745" spans="1:23" x14ac:dyDescent="0.25">
      <c r="A745" t="s">
        <v>1982</v>
      </c>
      <c r="B745" t="s">
        <v>1983</v>
      </c>
      <c r="C745">
        <v>443</v>
      </c>
      <c r="D745">
        <v>1013721</v>
      </c>
      <c r="E745">
        <v>14362400761</v>
      </c>
      <c r="F745">
        <v>14272</v>
      </c>
      <c r="G745">
        <v>14460</v>
      </c>
      <c r="H745">
        <v>14270</v>
      </c>
      <c r="I745">
        <v>-2</v>
      </c>
      <c r="J745">
        <v>-0.01</v>
      </c>
      <c r="K745">
        <v>14168</v>
      </c>
      <c r="L745">
        <v>-104</v>
      </c>
      <c r="M745">
        <v>-0.73</v>
      </c>
      <c r="N745">
        <v>14000</v>
      </c>
      <c r="O745">
        <v>14460</v>
      </c>
      <c r="P745" t="s">
        <v>1984</v>
      </c>
      <c r="Q745" t="s">
        <v>3145</v>
      </c>
      <c r="R745">
        <v>1</v>
      </c>
      <c r="S745">
        <v>746</v>
      </c>
      <c r="T745">
        <v>14271</v>
      </c>
      <c r="U745">
        <v>14290</v>
      </c>
      <c r="V745">
        <v>3690</v>
      </c>
      <c r="W745">
        <v>1</v>
      </c>
    </row>
    <row r="746" spans="1:23" x14ac:dyDescent="0.25">
      <c r="A746" t="s">
        <v>1985</v>
      </c>
      <c r="B746" t="s">
        <v>1986</v>
      </c>
      <c r="C746">
        <v>0</v>
      </c>
      <c r="D746">
        <v>0</v>
      </c>
      <c r="E746">
        <v>0</v>
      </c>
      <c r="F746">
        <v>1000000</v>
      </c>
      <c r="G746">
        <v>0</v>
      </c>
      <c r="H746">
        <v>1000000</v>
      </c>
      <c r="I746">
        <v>0</v>
      </c>
      <c r="J746">
        <v>0</v>
      </c>
      <c r="K746">
        <v>1000000</v>
      </c>
      <c r="L746">
        <v>0</v>
      </c>
      <c r="M746">
        <v>0</v>
      </c>
      <c r="N746">
        <v>0</v>
      </c>
      <c r="O746">
        <v>0</v>
      </c>
      <c r="R746">
        <v>1</v>
      </c>
      <c r="S746">
        <v>2380</v>
      </c>
      <c r="T746">
        <v>1000000</v>
      </c>
      <c r="U746">
        <v>1010000</v>
      </c>
      <c r="V746">
        <v>2380</v>
      </c>
      <c r="W746">
        <v>1</v>
      </c>
    </row>
    <row r="747" spans="1:23" x14ac:dyDescent="0.25">
      <c r="A747" t="s">
        <v>1987</v>
      </c>
      <c r="B747" t="s">
        <v>1988</v>
      </c>
      <c r="C747">
        <v>34</v>
      </c>
      <c r="D747">
        <v>536</v>
      </c>
      <c r="E747">
        <v>218109572</v>
      </c>
      <c r="F747">
        <v>409911</v>
      </c>
      <c r="G747">
        <v>397010</v>
      </c>
      <c r="H747">
        <v>396689</v>
      </c>
      <c r="I747">
        <v>-13222</v>
      </c>
      <c r="J747">
        <v>-3.23</v>
      </c>
      <c r="K747">
        <v>406921</v>
      </c>
      <c r="L747">
        <v>-2990</v>
      </c>
      <c r="M747">
        <v>-0.73</v>
      </c>
      <c r="N747">
        <v>396510</v>
      </c>
      <c r="O747">
        <v>414000</v>
      </c>
      <c r="R747">
        <v>1</v>
      </c>
      <c r="S747">
        <v>24</v>
      </c>
      <c r="T747">
        <v>397001</v>
      </c>
      <c r="U747">
        <v>409998</v>
      </c>
      <c r="V747">
        <v>6</v>
      </c>
      <c r="W747">
        <v>1</v>
      </c>
    </row>
    <row r="748" spans="1:23" x14ac:dyDescent="0.25">
      <c r="A748" t="s">
        <v>1989</v>
      </c>
      <c r="B748" t="s">
        <v>1990</v>
      </c>
      <c r="C748">
        <v>279</v>
      </c>
      <c r="D748">
        <v>560754</v>
      </c>
      <c r="E748">
        <v>4507480085</v>
      </c>
      <c r="F748">
        <v>7953</v>
      </c>
      <c r="G748">
        <v>8149</v>
      </c>
      <c r="H748">
        <v>7925</v>
      </c>
      <c r="I748">
        <v>-28</v>
      </c>
      <c r="J748">
        <v>-0.35</v>
      </c>
      <c r="K748">
        <v>8038</v>
      </c>
      <c r="L748">
        <v>85</v>
      </c>
      <c r="M748">
        <v>1.07</v>
      </c>
      <c r="N748">
        <v>7915</v>
      </c>
      <c r="O748">
        <v>8149</v>
      </c>
      <c r="P748" t="s">
        <v>1991</v>
      </c>
      <c r="Q748" t="s">
        <v>3165</v>
      </c>
      <c r="R748">
        <v>1</v>
      </c>
      <c r="S748">
        <v>1255</v>
      </c>
      <c r="T748">
        <v>7928</v>
      </c>
      <c r="U748">
        <v>7940</v>
      </c>
      <c r="V748">
        <v>1400</v>
      </c>
      <c r="W748">
        <v>2</v>
      </c>
    </row>
    <row r="749" spans="1:23" x14ac:dyDescent="0.25">
      <c r="A749" t="s">
        <v>1992</v>
      </c>
      <c r="B749" t="s">
        <v>1993</v>
      </c>
      <c r="C749">
        <v>1383</v>
      </c>
      <c r="D749">
        <v>7658176</v>
      </c>
      <c r="E749">
        <v>47778932861</v>
      </c>
      <c r="F749">
        <v>5714</v>
      </c>
      <c r="G749">
        <v>6285</v>
      </c>
      <c r="H749">
        <v>6285</v>
      </c>
      <c r="I749">
        <v>571</v>
      </c>
      <c r="J749">
        <v>9.99</v>
      </c>
      <c r="K749">
        <v>6239</v>
      </c>
      <c r="L749">
        <v>525</v>
      </c>
      <c r="M749">
        <v>9.19</v>
      </c>
      <c r="N749">
        <v>6004</v>
      </c>
      <c r="O749">
        <v>6285</v>
      </c>
      <c r="P749" t="s">
        <v>1994</v>
      </c>
      <c r="Q749" t="s">
        <v>3166</v>
      </c>
      <c r="R749">
        <v>43</v>
      </c>
      <c r="S749">
        <v>463374</v>
      </c>
      <c r="T749">
        <v>6285</v>
      </c>
      <c r="U749">
        <v>0</v>
      </c>
      <c r="V749">
        <v>0</v>
      </c>
      <c r="W749">
        <v>0</v>
      </c>
    </row>
    <row r="750" spans="1:23" x14ac:dyDescent="0.25">
      <c r="A750" t="s">
        <v>1995</v>
      </c>
      <c r="B750" t="s">
        <v>1996</v>
      </c>
      <c r="C750">
        <v>44</v>
      </c>
      <c r="D750">
        <v>23728</v>
      </c>
      <c r="E750">
        <v>15502590679</v>
      </c>
      <c r="F750">
        <v>653324</v>
      </c>
      <c r="G750">
        <v>653200</v>
      </c>
      <c r="H750">
        <v>653500</v>
      </c>
      <c r="I750">
        <v>176</v>
      </c>
      <c r="J750">
        <v>0.03</v>
      </c>
      <c r="K750">
        <v>653346</v>
      </c>
      <c r="L750">
        <v>22</v>
      </c>
      <c r="M750">
        <v>0</v>
      </c>
      <c r="N750">
        <v>652800</v>
      </c>
      <c r="O750">
        <v>654000</v>
      </c>
      <c r="R750">
        <v>2</v>
      </c>
      <c r="S750">
        <v>2802</v>
      </c>
      <c r="T750">
        <v>653234</v>
      </c>
      <c r="U750">
        <v>653990</v>
      </c>
      <c r="V750">
        <v>449</v>
      </c>
      <c r="W750">
        <v>1</v>
      </c>
    </row>
    <row r="751" spans="1:23" x14ac:dyDescent="0.25">
      <c r="A751" t="s">
        <v>1997</v>
      </c>
      <c r="B751" t="s">
        <v>1998</v>
      </c>
      <c r="C751">
        <v>841</v>
      </c>
      <c r="D751">
        <v>553757</v>
      </c>
      <c r="E751">
        <v>21968784334</v>
      </c>
      <c r="F751">
        <v>39917</v>
      </c>
      <c r="G751">
        <v>41000</v>
      </c>
      <c r="H751">
        <v>40000</v>
      </c>
      <c r="I751">
        <v>83</v>
      </c>
      <c r="J751">
        <v>0.21</v>
      </c>
      <c r="K751">
        <v>39672</v>
      </c>
      <c r="L751">
        <v>-245</v>
      </c>
      <c r="M751">
        <v>-0.61</v>
      </c>
      <c r="N751">
        <v>37000</v>
      </c>
      <c r="O751">
        <v>42000</v>
      </c>
      <c r="P751" t="s">
        <v>1999</v>
      </c>
      <c r="Q751" t="s">
        <v>3167</v>
      </c>
      <c r="R751">
        <v>7</v>
      </c>
      <c r="S751">
        <v>2255</v>
      </c>
      <c r="T751">
        <v>40000</v>
      </c>
      <c r="U751">
        <v>40700</v>
      </c>
      <c r="V751">
        <v>38</v>
      </c>
      <c r="W751">
        <v>1</v>
      </c>
    </row>
    <row r="752" spans="1:23" x14ac:dyDescent="0.25">
      <c r="A752" t="s">
        <v>2739</v>
      </c>
      <c r="B752" t="s">
        <v>2740</v>
      </c>
      <c r="C752">
        <v>1</v>
      </c>
      <c r="D752">
        <v>120</v>
      </c>
      <c r="E752">
        <v>118560000</v>
      </c>
      <c r="F752">
        <v>988000</v>
      </c>
      <c r="G752">
        <v>988000</v>
      </c>
      <c r="H752">
        <v>988000</v>
      </c>
      <c r="I752">
        <v>0</v>
      </c>
      <c r="J752">
        <v>0</v>
      </c>
      <c r="K752">
        <v>988000</v>
      </c>
      <c r="L752">
        <v>0</v>
      </c>
      <c r="M752">
        <v>0</v>
      </c>
      <c r="N752">
        <v>988000</v>
      </c>
      <c r="O752">
        <v>988000</v>
      </c>
      <c r="R752">
        <v>1</v>
      </c>
      <c r="S752">
        <v>8880</v>
      </c>
      <c r="T752">
        <v>988000</v>
      </c>
      <c r="U752">
        <v>995000</v>
      </c>
      <c r="V752">
        <v>70</v>
      </c>
      <c r="W752">
        <v>1</v>
      </c>
    </row>
    <row r="753" spans="1:23" x14ac:dyDescent="0.25">
      <c r="A753" t="s">
        <v>2000</v>
      </c>
      <c r="B753" t="s">
        <v>2001</v>
      </c>
      <c r="C753">
        <v>2</v>
      </c>
      <c r="D753">
        <v>32</v>
      </c>
      <c r="E753">
        <v>2986000</v>
      </c>
      <c r="F753">
        <v>93808</v>
      </c>
      <c r="G753">
        <v>93000</v>
      </c>
      <c r="H753">
        <v>93500</v>
      </c>
      <c r="I753">
        <v>-308</v>
      </c>
      <c r="J753">
        <v>-0.33</v>
      </c>
      <c r="K753">
        <v>93312</v>
      </c>
      <c r="L753">
        <v>-496</v>
      </c>
      <c r="M753">
        <v>-0.53</v>
      </c>
      <c r="N753">
        <v>93000</v>
      </c>
      <c r="O753">
        <v>93500</v>
      </c>
      <c r="R753">
        <v>2</v>
      </c>
      <c r="S753">
        <v>66</v>
      </c>
      <c r="T753">
        <v>90703</v>
      </c>
      <c r="U753">
        <v>95490</v>
      </c>
      <c r="V753">
        <v>65</v>
      </c>
      <c r="W753">
        <v>1</v>
      </c>
    </row>
    <row r="754" spans="1:23" x14ac:dyDescent="0.25">
      <c r="A754" t="s">
        <v>2002</v>
      </c>
      <c r="B754" t="s">
        <v>2003</v>
      </c>
      <c r="C754">
        <v>39</v>
      </c>
      <c r="D754">
        <v>67561</v>
      </c>
      <c r="E754">
        <v>1657474013</v>
      </c>
      <c r="F754">
        <v>23365</v>
      </c>
      <c r="G754">
        <v>24533</v>
      </c>
      <c r="H754">
        <v>24533</v>
      </c>
      <c r="I754">
        <v>1168</v>
      </c>
      <c r="J754">
        <v>5</v>
      </c>
      <c r="K754">
        <v>24533</v>
      </c>
      <c r="L754">
        <v>1168</v>
      </c>
      <c r="M754">
        <v>5</v>
      </c>
      <c r="N754">
        <v>24533</v>
      </c>
      <c r="O754">
        <v>24533</v>
      </c>
      <c r="P754" t="s">
        <v>2004</v>
      </c>
      <c r="Q754" t="s">
        <v>3168</v>
      </c>
      <c r="R754">
        <v>11</v>
      </c>
      <c r="S754">
        <v>123625</v>
      </c>
      <c r="T754">
        <v>24533</v>
      </c>
      <c r="U754">
        <v>0</v>
      </c>
      <c r="V754">
        <v>0</v>
      </c>
      <c r="W754">
        <v>0</v>
      </c>
    </row>
    <row r="755" spans="1:23" x14ac:dyDescent="0.25">
      <c r="A755" t="s">
        <v>2005</v>
      </c>
      <c r="B755" t="s">
        <v>2006</v>
      </c>
      <c r="C755">
        <v>707</v>
      </c>
      <c r="D755">
        <v>1946376</v>
      </c>
      <c r="E755">
        <v>43180548954</v>
      </c>
      <c r="F755">
        <v>21399</v>
      </c>
      <c r="G755">
        <v>22200</v>
      </c>
      <c r="H755">
        <v>22468</v>
      </c>
      <c r="I755">
        <v>1069</v>
      </c>
      <c r="J755">
        <v>5</v>
      </c>
      <c r="K755">
        <v>22185</v>
      </c>
      <c r="L755">
        <v>786</v>
      </c>
      <c r="M755">
        <v>3.67</v>
      </c>
      <c r="N755">
        <v>21290</v>
      </c>
      <c r="O755">
        <v>22468</v>
      </c>
      <c r="P755" t="s">
        <v>2007</v>
      </c>
      <c r="Q755" t="s">
        <v>3169</v>
      </c>
      <c r="R755">
        <v>5</v>
      </c>
      <c r="S755">
        <v>51693</v>
      </c>
      <c r="T755">
        <v>22468</v>
      </c>
      <c r="U755">
        <v>35942</v>
      </c>
      <c r="V755">
        <v>300</v>
      </c>
      <c r="W755">
        <v>1</v>
      </c>
    </row>
    <row r="756" spans="1:23" x14ac:dyDescent="0.25">
      <c r="A756" t="s">
        <v>2008</v>
      </c>
      <c r="B756" t="s">
        <v>2009</v>
      </c>
      <c r="C756">
        <v>0</v>
      </c>
      <c r="D756">
        <v>0</v>
      </c>
      <c r="E756">
        <v>0</v>
      </c>
      <c r="F756">
        <v>14500</v>
      </c>
      <c r="G756">
        <v>0</v>
      </c>
      <c r="H756">
        <v>14501</v>
      </c>
      <c r="I756">
        <v>1</v>
      </c>
      <c r="J756">
        <v>0.01</v>
      </c>
      <c r="K756">
        <v>14500</v>
      </c>
      <c r="L756">
        <v>0</v>
      </c>
      <c r="M756">
        <v>0</v>
      </c>
      <c r="N756">
        <v>0</v>
      </c>
      <c r="O756">
        <v>0</v>
      </c>
      <c r="P756" t="s">
        <v>2010</v>
      </c>
      <c r="Q756" t="s">
        <v>2741</v>
      </c>
      <c r="R756">
        <v>1</v>
      </c>
      <c r="S756">
        <v>73</v>
      </c>
      <c r="T756">
        <v>13800</v>
      </c>
      <c r="U756">
        <v>14790</v>
      </c>
      <c r="V756">
        <v>1080</v>
      </c>
      <c r="W756">
        <v>2</v>
      </c>
    </row>
    <row r="757" spans="1:23" x14ac:dyDescent="0.25">
      <c r="A757" t="s">
        <v>2011</v>
      </c>
      <c r="B757" t="s">
        <v>2012</v>
      </c>
      <c r="C757">
        <v>790</v>
      </c>
      <c r="D757">
        <v>5242689</v>
      </c>
      <c r="E757">
        <v>14171007592</v>
      </c>
      <c r="F757">
        <v>2795</v>
      </c>
      <c r="G757">
        <v>2800</v>
      </c>
      <c r="H757">
        <v>2714</v>
      </c>
      <c r="I757">
        <v>-81</v>
      </c>
      <c r="J757">
        <v>-2.9</v>
      </c>
      <c r="K757">
        <v>2703</v>
      </c>
      <c r="L757">
        <v>-92</v>
      </c>
      <c r="M757">
        <v>-3.29</v>
      </c>
      <c r="N757">
        <v>2660</v>
      </c>
      <c r="O757">
        <v>2800</v>
      </c>
      <c r="P757" t="s">
        <v>2013</v>
      </c>
      <c r="Q757" t="s">
        <v>3170</v>
      </c>
      <c r="R757">
        <v>2</v>
      </c>
      <c r="S757">
        <v>57826</v>
      </c>
      <c r="T757">
        <v>2714</v>
      </c>
      <c r="U757">
        <v>2716</v>
      </c>
      <c r="V757">
        <v>3513</v>
      </c>
      <c r="W757">
        <v>2</v>
      </c>
    </row>
    <row r="758" spans="1:23" x14ac:dyDescent="0.25">
      <c r="A758" t="s">
        <v>2014</v>
      </c>
      <c r="B758" t="s">
        <v>2015</v>
      </c>
      <c r="C758">
        <v>0</v>
      </c>
      <c r="D758">
        <v>0</v>
      </c>
      <c r="E758">
        <v>0</v>
      </c>
      <c r="F758">
        <v>12321</v>
      </c>
      <c r="G758">
        <v>0</v>
      </c>
      <c r="H758">
        <v>12120</v>
      </c>
      <c r="I758">
        <v>-201</v>
      </c>
      <c r="J758">
        <v>-1.63</v>
      </c>
      <c r="K758">
        <v>12321</v>
      </c>
      <c r="L758">
        <v>0</v>
      </c>
      <c r="M758">
        <v>0</v>
      </c>
      <c r="N758">
        <v>0</v>
      </c>
      <c r="O758">
        <v>0</v>
      </c>
      <c r="R758">
        <v>1</v>
      </c>
      <c r="S758">
        <v>1</v>
      </c>
      <c r="T758">
        <v>11850</v>
      </c>
      <c r="U758">
        <v>12850</v>
      </c>
      <c r="V758">
        <v>1</v>
      </c>
      <c r="W758">
        <v>1</v>
      </c>
    </row>
    <row r="759" spans="1:23" x14ac:dyDescent="0.25">
      <c r="A759" t="s">
        <v>2016</v>
      </c>
      <c r="B759" t="s">
        <v>2017</v>
      </c>
      <c r="C759">
        <v>607</v>
      </c>
      <c r="D759">
        <v>2286018</v>
      </c>
      <c r="E759">
        <v>11785037873</v>
      </c>
      <c r="F759">
        <v>5363</v>
      </c>
      <c r="G759">
        <v>5487</v>
      </c>
      <c r="H759">
        <v>5081</v>
      </c>
      <c r="I759">
        <v>-282</v>
      </c>
      <c r="J759">
        <v>-5.26</v>
      </c>
      <c r="K759">
        <v>5155</v>
      </c>
      <c r="L759">
        <v>-208</v>
      </c>
      <c r="M759">
        <v>-3.88</v>
      </c>
      <c r="N759">
        <v>5000</v>
      </c>
      <c r="O759">
        <v>5487</v>
      </c>
      <c r="P759" t="s">
        <v>2018</v>
      </c>
      <c r="Q759" t="s">
        <v>3171</v>
      </c>
      <c r="R759">
        <v>1</v>
      </c>
      <c r="S759">
        <v>1814</v>
      </c>
      <c r="T759">
        <v>5081</v>
      </c>
      <c r="U759">
        <v>5094</v>
      </c>
      <c r="V759">
        <v>3382</v>
      </c>
      <c r="W759">
        <v>1</v>
      </c>
    </row>
    <row r="760" spans="1:23" x14ac:dyDescent="0.25">
      <c r="A760" t="s">
        <v>2019</v>
      </c>
      <c r="B760" t="s">
        <v>2020</v>
      </c>
      <c r="C760">
        <v>377</v>
      </c>
      <c r="D760">
        <v>657643</v>
      </c>
      <c r="E760">
        <v>7068612235</v>
      </c>
      <c r="F760">
        <v>10383</v>
      </c>
      <c r="G760">
        <v>10880</v>
      </c>
      <c r="H760">
        <v>10840</v>
      </c>
      <c r="I760">
        <v>457</v>
      </c>
      <c r="J760">
        <v>4.4000000000000004</v>
      </c>
      <c r="K760">
        <v>10748</v>
      </c>
      <c r="L760">
        <v>365</v>
      </c>
      <c r="M760">
        <v>3.52</v>
      </c>
      <c r="N760">
        <v>10501</v>
      </c>
      <c r="O760">
        <v>10880</v>
      </c>
      <c r="P760" t="s">
        <v>2021</v>
      </c>
      <c r="Q760" t="s">
        <v>3172</v>
      </c>
      <c r="R760">
        <v>1</v>
      </c>
      <c r="S760">
        <v>1000</v>
      </c>
      <c r="T760">
        <v>10621</v>
      </c>
      <c r="U760">
        <v>10840</v>
      </c>
      <c r="V760">
        <v>4677</v>
      </c>
      <c r="W760">
        <v>1</v>
      </c>
    </row>
    <row r="761" spans="1:23" x14ac:dyDescent="0.25">
      <c r="A761" t="s">
        <v>2022</v>
      </c>
      <c r="B761" t="s">
        <v>2023</v>
      </c>
      <c r="C761">
        <v>0</v>
      </c>
      <c r="D761">
        <v>0</v>
      </c>
      <c r="E761">
        <v>0</v>
      </c>
      <c r="F761">
        <v>140115</v>
      </c>
      <c r="G761">
        <v>0</v>
      </c>
      <c r="H761">
        <v>140115</v>
      </c>
      <c r="I761">
        <v>0</v>
      </c>
      <c r="J761">
        <v>0</v>
      </c>
      <c r="K761">
        <v>140115</v>
      </c>
      <c r="L761">
        <v>0</v>
      </c>
      <c r="M761">
        <v>0</v>
      </c>
      <c r="N761">
        <v>0</v>
      </c>
      <c r="O761">
        <v>0</v>
      </c>
      <c r="R761">
        <v>1</v>
      </c>
      <c r="S761">
        <v>7</v>
      </c>
      <c r="T761">
        <v>147120</v>
      </c>
      <c r="U761">
        <v>503500</v>
      </c>
      <c r="V761">
        <v>2</v>
      </c>
      <c r="W761">
        <v>1</v>
      </c>
    </row>
    <row r="762" spans="1:23" x14ac:dyDescent="0.25">
      <c r="A762" t="s">
        <v>2024</v>
      </c>
      <c r="B762" t="s">
        <v>2025</v>
      </c>
      <c r="C762">
        <v>13</v>
      </c>
      <c r="D762">
        <v>5969</v>
      </c>
      <c r="E762">
        <v>5494072249</v>
      </c>
      <c r="F762">
        <v>920344</v>
      </c>
      <c r="G762">
        <v>921200</v>
      </c>
      <c r="H762">
        <v>921000</v>
      </c>
      <c r="I762">
        <v>656</v>
      </c>
      <c r="J762">
        <v>7.0000000000000007E-2</v>
      </c>
      <c r="K762">
        <v>920434</v>
      </c>
      <c r="L762">
        <v>90</v>
      </c>
      <c r="M762">
        <v>0.01</v>
      </c>
      <c r="N762">
        <v>918174</v>
      </c>
      <c r="O762">
        <v>921299</v>
      </c>
      <c r="R762">
        <v>1</v>
      </c>
      <c r="S762">
        <v>2511</v>
      </c>
      <c r="T762">
        <v>921001</v>
      </c>
      <c r="U762">
        <v>921290</v>
      </c>
      <c r="V762">
        <v>365</v>
      </c>
      <c r="W762">
        <v>2</v>
      </c>
    </row>
    <row r="763" spans="1:23" x14ac:dyDescent="0.25">
      <c r="A763" t="s">
        <v>2026</v>
      </c>
      <c r="B763" t="s">
        <v>2027</v>
      </c>
      <c r="C763">
        <v>0</v>
      </c>
      <c r="D763">
        <v>0</v>
      </c>
      <c r="E763">
        <v>0</v>
      </c>
      <c r="F763">
        <v>950000</v>
      </c>
      <c r="G763">
        <v>0</v>
      </c>
      <c r="H763">
        <v>950000</v>
      </c>
      <c r="I763">
        <v>0</v>
      </c>
      <c r="J763">
        <v>0</v>
      </c>
      <c r="K763">
        <v>950000</v>
      </c>
      <c r="L763">
        <v>0</v>
      </c>
      <c r="M763">
        <v>0</v>
      </c>
      <c r="N763">
        <v>0</v>
      </c>
      <c r="O763">
        <v>0</v>
      </c>
      <c r="R763">
        <v>1</v>
      </c>
      <c r="S763">
        <v>375</v>
      </c>
      <c r="T763">
        <v>992000</v>
      </c>
      <c r="U763">
        <v>1011840</v>
      </c>
      <c r="V763">
        <v>375</v>
      </c>
      <c r="W763">
        <v>1</v>
      </c>
    </row>
    <row r="764" spans="1:23" x14ac:dyDescent="0.25">
      <c r="A764" t="s">
        <v>2028</v>
      </c>
      <c r="B764" t="s">
        <v>2029</v>
      </c>
      <c r="C764">
        <v>0</v>
      </c>
      <c r="D764">
        <v>0</v>
      </c>
      <c r="E764">
        <v>0</v>
      </c>
      <c r="F764">
        <v>753452</v>
      </c>
      <c r="G764">
        <v>0</v>
      </c>
      <c r="H764">
        <v>752200</v>
      </c>
      <c r="I764">
        <v>-1252</v>
      </c>
      <c r="J764">
        <v>-0.17</v>
      </c>
      <c r="K764">
        <v>753452</v>
      </c>
      <c r="L764">
        <v>0</v>
      </c>
      <c r="M764">
        <v>0</v>
      </c>
      <c r="N764">
        <v>0</v>
      </c>
      <c r="O764">
        <v>0</v>
      </c>
      <c r="R764">
        <v>1</v>
      </c>
      <c r="S764">
        <v>60</v>
      </c>
      <c r="T764">
        <v>751202</v>
      </c>
      <c r="U764">
        <v>789999</v>
      </c>
      <c r="V764">
        <v>50</v>
      </c>
      <c r="W764">
        <v>1</v>
      </c>
    </row>
    <row r="765" spans="1:23" x14ac:dyDescent="0.25">
      <c r="A765" t="s">
        <v>2030</v>
      </c>
      <c r="B765" t="s">
        <v>2031</v>
      </c>
      <c r="C765">
        <v>419</v>
      </c>
      <c r="D765">
        <v>1444636</v>
      </c>
      <c r="E765">
        <v>11345757611</v>
      </c>
      <c r="F765">
        <v>7908</v>
      </c>
      <c r="G765">
        <v>7989</v>
      </c>
      <c r="H765">
        <v>7810</v>
      </c>
      <c r="I765">
        <v>-98</v>
      </c>
      <c r="J765">
        <v>-1.24</v>
      </c>
      <c r="K765">
        <v>7854</v>
      </c>
      <c r="L765">
        <v>-54</v>
      </c>
      <c r="M765">
        <v>-0.68</v>
      </c>
      <c r="N765">
        <v>7750</v>
      </c>
      <c r="O765">
        <v>7989</v>
      </c>
      <c r="P765" t="s">
        <v>2032</v>
      </c>
      <c r="Q765" t="s">
        <v>3173</v>
      </c>
      <c r="R765">
        <v>2</v>
      </c>
      <c r="S765">
        <v>1470</v>
      </c>
      <c r="T765">
        <v>7791</v>
      </c>
      <c r="U765">
        <v>7810</v>
      </c>
      <c r="V765">
        <v>6400</v>
      </c>
      <c r="W765">
        <v>1</v>
      </c>
    </row>
    <row r="766" spans="1:23" x14ac:dyDescent="0.25">
      <c r="A766" t="s">
        <v>2033</v>
      </c>
      <c r="B766" t="s">
        <v>2034</v>
      </c>
      <c r="C766">
        <v>0</v>
      </c>
      <c r="D766">
        <v>0</v>
      </c>
      <c r="E766">
        <v>0</v>
      </c>
      <c r="F766">
        <v>658</v>
      </c>
      <c r="G766">
        <v>0</v>
      </c>
      <c r="H766">
        <v>670</v>
      </c>
      <c r="I766">
        <v>12</v>
      </c>
      <c r="J766">
        <v>1.82</v>
      </c>
      <c r="K766">
        <v>658</v>
      </c>
      <c r="L766">
        <v>0</v>
      </c>
      <c r="M766">
        <v>0</v>
      </c>
      <c r="N766">
        <v>0</v>
      </c>
      <c r="O766">
        <v>0</v>
      </c>
      <c r="R766">
        <v>1</v>
      </c>
      <c r="S766">
        <v>100</v>
      </c>
      <c r="T766">
        <v>151</v>
      </c>
      <c r="U766">
        <v>1200</v>
      </c>
      <c r="V766">
        <v>50</v>
      </c>
      <c r="W766">
        <v>1</v>
      </c>
    </row>
    <row r="767" spans="1:23" x14ac:dyDescent="0.25">
      <c r="A767" t="s">
        <v>2035</v>
      </c>
      <c r="B767" t="s">
        <v>2036</v>
      </c>
      <c r="C767">
        <v>18</v>
      </c>
      <c r="D767">
        <v>104225</v>
      </c>
      <c r="E767">
        <v>411897200</v>
      </c>
      <c r="F767">
        <v>3764</v>
      </c>
      <c r="G767">
        <v>3952</v>
      </c>
      <c r="H767">
        <v>3952</v>
      </c>
      <c r="I767">
        <v>188</v>
      </c>
      <c r="J767">
        <v>4.99</v>
      </c>
      <c r="K767">
        <v>3798</v>
      </c>
      <c r="L767">
        <v>34</v>
      </c>
      <c r="M767">
        <v>0.9</v>
      </c>
      <c r="N767">
        <v>3952</v>
      </c>
      <c r="O767">
        <v>3952</v>
      </c>
      <c r="P767" t="s">
        <v>2742</v>
      </c>
      <c r="Q767" t="s">
        <v>3174</v>
      </c>
      <c r="R767">
        <v>598</v>
      </c>
      <c r="S767">
        <v>15758020</v>
      </c>
      <c r="T767">
        <v>3952</v>
      </c>
      <c r="U767">
        <v>5200</v>
      </c>
      <c r="V767">
        <v>240</v>
      </c>
      <c r="W767">
        <v>1</v>
      </c>
    </row>
    <row r="768" spans="1:23" x14ac:dyDescent="0.25">
      <c r="A768" t="s">
        <v>2037</v>
      </c>
      <c r="B768" t="s">
        <v>2038</v>
      </c>
      <c r="C768">
        <v>769</v>
      </c>
      <c r="D768">
        <v>9954108</v>
      </c>
      <c r="E768">
        <v>28184801933</v>
      </c>
      <c r="F768">
        <v>2835</v>
      </c>
      <c r="G768">
        <v>2878</v>
      </c>
      <c r="H768">
        <v>2805</v>
      </c>
      <c r="I768">
        <v>-30</v>
      </c>
      <c r="J768">
        <v>-1.06</v>
      </c>
      <c r="K768">
        <v>2831</v>
      </c>
      <c r="L768">
        <v>-4</v>
      </c>
      <c r="M768">
        <v>-0.14000000000000001</v>
      </c>
      <c r="N768">
        <v>2780</v>
      </c>
      <c r="O768">
        <v>2887</v>
      </c>
      <c r="P768" t="s">
        <v>2039</v>
      </c>
      <c r="Q768" t="s">
        <v>2743</v>
      </c>
      <c r="R768">
        <v>1</v>
      </c>
      <c r="S768">
        <v>3000</v>
      </c>
      <c r="T768">
        <v>2804</v>
      </c>
      <c r="U768">
        <v>2805</v>
      </c>
      <c r="V768">
        <v>426</v>
      </c>
      <c r="W768">
        <v>1</v>
      </c>
    </row>
    <row r="769" spans="1:23" x14ac:dyDescent="0.25">
      <c r="A769" t="s">
        <v>2040</v>
      </c>
      <c r="B769" t="s">
        <v>2041</v>
      </c>
      <c r="C769">
        <v>0</v>
      </c>
      <c r="D769">
        <v>0</v>
      </c>
      <c r="E769">
        <v>0</v>
      </c>
      <c r="F769">
        <v>1000001</v>
      </c>
      <c r="G769">
        <v>0</v>
      </c>
      <c r="H769">
        <v>1000001</v>
      </c>
      <c r="I769">
        <v>0</v>
      </c>
      <c r="J769">
        <v>0</v>
      </c>
      <c r="K769">
        <v>1000001</v>
      </c>
      <c r="L769">
        <v>0</v>
      </c>
      <c r="M769">
        <v>0</v>
      </c>
      <c r="N769">
        <v>0</v>
      </c>
      <c r="O769">
        <v>0</v>
      </c>
      <c r="R769">
        <v>1</v>
      </c>
      <c r="S769">
        <v>1000</v>
      </c>
      <c r="T769">
        <v>1000001</v>
      </c>
      <c r="U769">
        <v>1010000</v>
      </c>
      <c r="V769">
        <v>500</v>
      </c>
      <c r="W769">
        <v>1</v>
      </c>
    </row>
    <row r="770" spans="1:23" x14ac:dyDescent="0.25">
      <c r="A770" t="s">
        <v>2042</v>
      </c>
      <c r="B770" t="s">
        <v>2043</v>
      </c>
      <c r="C770">
        <v>0</v>
      </c>
      <c r="D770">
        <v>0</v>
      </c>
      <c r="E770">
        <v>0</v>
      </c>
      <c r="F770">
        <v>2351</v>
      </c>
      <c r="G770">
        <v>0</v>
      </c>
      <c r="H770">
        <v>2351</v>
      </c>
      <c r="I770">
        <v>0</v>
      </c>
      <c r="J770">
        <v>0</v>
      </c>
      <c r="K770">
        <v>2351</v>
      </c>
      <c r="L770">
        <v>0</v>
      </c>
      <c r="M770">
        <v>0</v>
      </c>
      <c r="N770">
        <v>0</v>
      </c>
      <c r="O770">
        <v>0</v>
      </c>
      <c r="P770" t="s">
        <v>2044</v>
      </c>
      <c r="Q770" t="s">
        <v>2744</v>
      </c>
      <c r="R770">
        <v>13</v>
      </c>
      <c r="S770">
        <v>650000</v>
      </c>
      <c r="T770">
        <v>2355</v>
      </c>
      <c r="U770">
        <v>0</v>
      </c>
      <c r="V770">
        <v>0</v>
      </c>
      <c r="W770">
        <v>0</v>
      </c>
    </row>
    <row r="771" spans="1:23" x14ac:dyDescent="0.25">
      <c r="A771" t="s">
        <v>2045</v>
      </c>
      <c r="B771" t="s">
        <v>2046</v>
      </c>
      <c r="C771">
        <v>1752</v>
      </c>
      <c r="D771">
        <v>2813230</v>
      </c>
      <c r="E771">
        <v>42163013271</v>
      </c>
      <c r="F771">
        <v>15616</v>
      </c>
      <c r="G771">
        <v>15060</v>
      </c>
      <c r="H771">
        <v>14820</v>
      </c>
      <c r="I771">
        <v>-796</v>
      </c>
      <c r="J771">
        <v>-5.0999999999999996</v>
      </c>
      <c r="K771">
        <v>14987</v>
      </c>
      <c r="L771">
        <v>-629</v>
      </c>
      <c r="M771">
        <v>-4.03</v>
      </c>
      <c r="N771">
        <v>14600</v>
      </c>
      <c r="O771">
        <v>15600</v>
      </c>
      <c r="P771" t="s">
        <v>1423</v>
      </c>
      <c r="Q771" t="s">
        <v>3175</v>
      </c>
      <c r="R771">
        <v>1</v>
      </c>
      <c r="S771">
        <v>140</v>
      </c>
      <c r="T771">
        <v>14831</v>
      </c>
      <c r="U771">
        <v>14899</v>
      </c>
      <c r="V771">
        <v>10729</v>
      </c>
      <c r="W771">
        <v>1</v>
      </c>
    </row>
    <row r="772" spans="1:23" x14ac:dyDescent="0.25">
      <c r="A772" t="s">
        <v>2745</v>
      </c>
      <c r="B772" t="s">
        <v>2746</v>
      </c>
      <c r="C772">
        <v>178</v>
      </c>
      <c r="D772">
        <v>127827</v>
      </c>
      <c r="E772">
        <v>3630094397</v>
      </c>
      <c r="F772">
        <v>28111</v>
      </c>
      <c r="G772">
        <v>29513</v>
      </c>
      <c r="H772">
        <v>28436</v>
      </c>
      <c r="I772">
        <v>325</v>
      </c>
      <c r="J772">
        <v>1.1599999999999999</v>
      </c>
      <c r="K772">
        <v>28398</v>
      </c>
      <c r="L772">
        <v>287</v>
      </c>
      <c r="M772">
        <v>1.02</v>
      </c>
      <c r="N772">
        <v>28000</v>
      </c>
      <c r="O772">
        <v>29513</v>
      </c>
      <c r="P772" t="s">
        <v>441</v>
      </c>
      <c r="Q772" t="s">
        <v>3176</v>
      </c>
      <c r="R772">
        <v>1</v>
      </c>
      <c r="S772">
        <v>77</v>
      </c>
      <c r="T772">
        <v>28249</v>
      </c>
      <c r="U772">
        <v>28436</v>
      </c>
      <c r="V772">
        <v>1319</v>
      </c>
      <c r="W772">
        <v>2</v>
      </c>
    </row>
    <row r="773" spans="1:23" x14ac:dyDescent="0.25">
      <c r="A773" t="s">
        <v>2047</v>
      </c>
      <c r="B773" t="s">
        <v>2048</v>
      </c>
      <c r="C773">
        <v>1</v>
      </c>
      <c r="D773">
        <v>100</v>
      </c>
      <c r="E773">
        <v>9499900</v>
      </c>
      <c r="F773">
        <v>96712</v>
      </c>
      <c r="G773">
        <v>94999</v>
      </c>
      <c r="H773">
        <v>94999</v>
      </c>
      <c r="I773">
        <v>-1713</v>
      </c>
      <c r="J773">
        <v>-1.77</v>
      </c>
      <c r="K773">
        <v>94999</v>
      </c>
      <c r="L773">
        <v>-1713</v>
      </c>
      <c r="M773">
        <v>-1.77</v>
      </c>
      <c r="N773">
        <v>94999</v>
      </c>
      <c r="O773">
        <v>94999</v>
      </c>
      <c r="R773">
        <v>1</v>
      </c>
      <c r="S773">
        <v>44</v>
      </c>
      <c r="T773">
        <v>93075</v>
      </c>
      <c r="U773">
        <v>93500</v>
      </c>
      <c r="V773">
        <v>2</v>
      </c>
      <c r="W773">
        <v>1</v>
      </c>
    </row>
    <row r="774" spans="1:23" x14ac:dyDescent="0.25">
      <c r="A774" t="s">
        <v>2049</v>
      </c>
      <c r="B774" t="s">
        <v>2050</v>
      </c>
      <c r="C774">
        <v>739</v>
      </c>
      <c r="D774">
        <v>8856186</v>
      </c>
      <c r="E774">
        <v>21820137243</v>
      </c>
      <c r="F774">
        <v>2351</v>
      </c>
      <c r="G774">
        <v>2450</v>
      </c>
      <c r="H774">
        <v>2468</v>
      </c>
      <c r="I774">
        <v>117</v>
      </c>
      <c r="J774">
        <v>4.9800000000000004</v>
      </c>
      <c r="K774">
        <v>2464</v>
      </c>
      <c r="L774">
        <v>113</v>
      </c>
      <c r="M774">
        <v>4.8099999999999996</v>
      </c>
      <c r="N774">
        <v>2361</v>
      </c>
      <c r="O774">
        <v>2468</v>
      </c>
      <c r="P774" t="s">
        <v>2051</v>
      </c>
      <c r="Q774" t="s">
        <v>3177</v>
      </c>
      <c r="R774">
        <v>31</v>
      </c>
      <c r="S774">
        <v>641647</v>
      </c>
      <c r="T774">
        <v>2468</v>
      </c>
      <c r="U774">
        <v>2470</v>
      </c>
      <c r="V774">
        <v>2200</v>
      </c>
      <c r="W774">
        <v>1</v>
      </c>
    </row>
    <row r="775" spans="1:23" x14ac:dyDescent="0.25">
      <c r="A775" t="s">
        <v>2052</v>
      </c>
      <c r="B775" t="s">
        <v>2053</v>
      </c>
      <c r="C775">
        <v>41</v>
      </c>
      <c r="D775">
        <v>291846</v>
      </c>
      <c r="E775">
        <v>3666427582</v>
      </c>
      <c r="F775">
        <v>12555</v>
      </c>
      <c r="G775">
        <v>12563</v>
      </c>
      <c r="H775">
        <v>12563</v>
      </c>
      <c r="I775">
        <v>8</v>
      </c>
      <c r="J775">
        <v>0.06</v>
      </c>
      <c r="K775">
        <v>12563</v>
      </c>
      <c r="L775">
        <v>8</v>
      </c>
      <c r="M775">
        <v>0.06</v>
      </c>
      <c r="N775">
        <v>12562</v>
      </c>
      <c r="O775">
        <v>12563</v>
      </c>
      <c r="R775">
        <v>6</v>
      </c>
      <c r="S775">
        <v>572530</v>
      </c>
      <c r="T775">
        <v>12563</v>
      </c>
      <c r="U775">
        <v>12643</v>
      </c>
      <c r="V775">
        <v>6200</v>
      </c>
      <c r="W775">
        <v>1</v>
      </c>
    </row>
    <row r="776" spans="1:23" x14ac:dyDescent="0.25">
      <c r="A776" t="s">
        <v>2054</v>
      </c>
      <c r="B776" t="s">
        <v>2055</v>
      </c>
      <c r="C776">
        <v>261</v>
      </c>
      <c r="D776">
        <v>4449525</v>
      </c>
      <c r="E776">
        <v>21139693275</v>
      </c>
      <c r="F776">
        <v>4525</v>
      </c>
      <c r="G776">
        <v>4751</v>
      </c>
      <c r="H776">
        <v>4751</v>
      </c>
      <c r="I776">
        <v>226</v>
      </c>
      <c r="J776">
        <v>4.99</v>
      </c>
      <c r="K776">
        <v>4751</v>
      </c>
      <c r="L776">
        <v>226</v>
      </c>
      <c r="M776">
        <v>4.99</v>
      </c>
      <c r="N776">
        <v>4751</v>
      </c>
      <c r="O776">
        <v>4751</v>
      </c>
      <c r="P776" t="s">
        <v>2056</v>
      </c>
      <c r="Q776" t="s">
        <v>3178</v>
      </c>
      <c r="R776">
        <v>241</v>
      </c>
      <c r="S776">
        <v>4654684</v>
      </c>
      <c r="T776">
        <v>4751</v>
      </c>
      <c r="U776">
        <v>4997</v>
      </c>
      <c r="V776">
        <v>2000</v>
      </c>
      <c r="W776">
        <v>1</v>
      </c>
    </row>
    <row r="777" spans="1:23" x14ac:dyDescent="0.25">
      <c r="A777" t="s">
        <v>2057</v>
      </c>
      <c r="B777" t="s">
        <v>2058</v>
      </c>
      <c r="C777">
        <v>258</v>
      </c>
      <c r="D777">
        <v>2978441</v>
      </c>
      <c r="E777">
        <v>10434459642</v>
      </c>
      <c r="F777">
        <v>3357</v>
      </c>
      <c r="G777">
        <v>3495</v>
      </c>
      <c r="H777">
        <v>3524</v>
      </c>
      <c r="I777">
        <v>167</v>
      </c>
      <c r="J777">
        <v>4.97</v>
      </c>
      <c r="K777">
        <v>3503</v>
      </c>
      <c r="L777">
        <v>146</v>
      </c>
      <c r="M777">
        <v>4.3499999999999996</v>
      </c>
      <c r="N777">
        <v>3425</v>
      </c>
      <c r="O777">
        <v>3524</v>
      </c>
      <c r="P777" t="s">
        <v>2059</v>
      </c>
      <c r="Q777" t="s">
        <v>3179</v>
      </c>
      <c r="R777">
        <v>80</v>
      </c>
      <c r="S777">
        <v>3423626</v>
      </c>
      <c r="T777">
        <v>3524</v>
      </c>
      <c r="U777">
        <v>5110</v>
      </c>
      <c r="V777">
        <v>25000</v>
      </c>
      <c r="W777">
        <v>1</v>
      </c>
    </row>
    <row r="778" spans="1:23" x14ac:dyDescent="0.25">
      <c r="A778" t="s">
        <v>2060</v>
      </c>
      <c r="B778" t="s">
        <v>2061</v>
      </c>
      <c r="C778">
        <v>0</v>
      </c>
      <c r="D778">
        <v>0</v>
      </c>
      <c r="E778">
        <v>0</v>
      </c>
      <c r="F778">
        <v>8127</v>
      </c>
      <c r="G778">
        <v>0</v>
      </c>
      <c r="H778">
        <v>8251</v>
      </c>
      <c r="I778">
        <v>124</v>
      </c>
      <c r="J778">
        <v>1.53</v>
      </c>
      <c r="K778">
        <v>8127</v>
      </c>
      <c r="L778">
        <v>0</v>
      </c>
      <c r="M778">
        <v>0</v>
      </c>
      <c r="N778">
        <v>0</v>
      </c>
      <c r="O778">
        <v>0</v>
      </c>
      <c r="P778" t="s">
        <v>2062</v>
      </c>
      <c r="Q778" t="s">
        <v>781</v>
      </c>
      <c r="R778">
        <v>1</v>
      </c>
      <c r="S778">
        <v>400</v>
      </c>
      <c r="T778">
        <v>5117</v>
      </c>
      <c r="U778">
        <v>9000</v>
      </c>
      <c r="V778">
        <v>9000</v>
      </c>
      <c r="W778">
        <v>1</v>
      </c>
    </row>
    <row r="779" spans="1:23" x14ac:dyDescent="0.25">
      <c r="A779" t="s">
        <v>2747</v>
      </c>
      <c r="B779" t="s">
        <v>2748</v>
      </c>
      <c r="C779">
        <v>1079</v>
      </c>
      <c r="D779">
        <v>2807991</v>
      </c>
      <c r="E779">
        <v>27611461101</v>
      </c>
      <c r="F779">
        <v>9350</v>
      </c>
      <c r="G779">
        <v>9782</v>
      </c>
      <c r="H779">
        <v>9710</v>
      </c>
      <c r="I779">
        <v>360</v>
      </c>
      <c r="J779">
        <v>3.85</v>
      </c>
      <c r="K779">
        <v>9833</v>
      </c>
      <c r="L779">
        <v>483</v>
      </c>
      <c r="M779">
        <v>5.17</v>
      </c>
      <c r="N779">
        <v>9400</v>
      </c>
      <c r="O779">
        <v>10279</v>
      </c>
      <c r="P779" t="s">
        <v>2749</v>
      </c>
      <c r="Q779" t="s">
        <v>3180</v>
      </c>
      <c r="R779">
        <v>1</v>
      </c>
      <c r="S779">
        <v>5560</v>
      </c>
      <c r="T779">
        <v>9701</v>
      </c>
      <c r="U779">
        <v>9710</v>
      </c>
      <c r="V779">
        <v>12535</v>
      </c>
      <c r="W779">
        <v>1</v>
      </c>
    </row>
    <row r="780" spans="1:23" x14ac:dyDescent="0.25">
      <c r="A780" t="s">
        <v>2063</v>
      </c>
      <c r="B780" t="s">
        <v>2064</v>
      </c>
      <c r="C780">
        <v>0</v>
      </c>
      <c r="D780">
        <v>0</v>
      </c>
      <c r="E780">
        <v>0</v>
      </c>
      <c r="F780">
        <v>2853328</v>
      </c>
      <c r="G780">
        <v>0</v>
      </c>
      <c r="H780">
        <v>2853328</v>
      </c>
      <c r="I780">
        <v>0</v>
      </c>
      <c r="J780">
        <v>0</v>
      </c>
      <c r="K780">
        <v>2853328</v>
      </c>
      <c r="L780">
        <v>0</v>
      </c>
      <c r="M780">
        <v>0</v>
      </c>
      <c r="N780">
        <v>0</v>
      </c>
      <c r="O780">
        <v>0</v>
      </c>
      <c r="R780">
        <v>1</v>
      </c>
      <c r="S780">
        <v>8325</v>
      </c>
      <c r="T780">
        <v>2800738</v>
      </c>
      <c r="U780">
        <v>2856752</v>
      </c>
      <c r="V780">
        <v>8325</v>
      </c>
      <c r="W780">
        <v>1</v>
      </c>
    </row>
    <row r="781" spans="1:23" x14ac:dyDescent="0.25">
      <c r="A781" t="s">
        <v>3181</v>
      </c>
      <c r="B781" t="s">
        <v>3182</v>
      </c>
      <c r="C781">
        <v>0</v>
      </c>
      <c r="D781">
        <v>0</v>
      </c>
      <c r="E781">
        <v>0</v>
      </c>
      <c r="F781">
        <v>141941</v>
      </c>
      <c r="G781">
        <v>0</v>
      </c>
      <c r="H781">
        <v>141941</v>
      </c>
      <c r="I781">
        <v>0</v>
      </c>
      <c r="J781">
        <v>0</v>
      </c>
      <c r="K781">
        <v>141941</v>
      </c>
      <c r="L781">
        <v>0</v>
      </c>
      <c r="M781">
        <v>0</v>
      </c>
      <c r="N781">
        <v>0</v>
      </c>
      <c r="O781">
        <v>0</v>
      </c>
      <c r="R781">
        <v>1</v>
      </c>
      <c r="S781">
        <v>7</v>
      </c>
      <c r="T781">
        <v>149038</v>
      </c>
      <c r="U781">
        <v>0</v>
      </c>
      <c r="V781">
        <v>0</v>
      </c>
      <c r="W781">
        <v>0</v>
      </c>
    </row>
    <row r="782" spans="1:23" x14ac:dyDescent="0.25">
      <c r="A782" t="s">
        <v>2065</v>
      </c>
      <c r="B782" t="s">
        <v>2066</v>
      </c>
      <c r="C782">
        <v>0</v>
      </c>
      <c r="D782">
        <v>0</v>
      </c>
      <c r="E782">
        <v>0</v>
      </c>
      <c r="F782">
        <v>8007</v>
      </c>
      <c r="G782">
        <v>0</v>
      </c>
      <c r="H782">
        <v>8100</v>
      </c>
      <c r="I782">
        <v>93</v>
      </c>
      <c r="J782">
        <v>1.1599999999999999</v>
      </c>
      <c r="K782">
        <v>8007</v>
      </c>
      <c r="L782">
        <v>0</v>
      </c>
      <c r="M782">
        <v>0</v>
      </c>
      <c r="N782">
        <v>0</v>
      </c>
      <c r="O782">
        <v>0</v>
      </c>
      <c r="P782" t="s">
        <v>2067</v>
      </c>
      <c r="Q782" t="s">
        <v>2750</v>
      </c>
      <c r="R782">
        <v>1</v>
      </c>
      <c r="S782">
        <v>50000</v>
      </c>
      <c r="T782">
        <v>20</v>
      </c>
      <c r="U782">
        <v>8400</v>
      </c>
      <c r="V782">
        <v>1000</v>
      </c>
      <c r="W782">
        <v>1</v>
      </c>
    </row>
    <row r="783" spans="1:23" x14ac:dyDescent="0.25">
      <c r="A783" t="s">
        <v>2068</v>
      </c>
      <c r="B783" t="s">
        <v>2069</v>
      </c>
      <c r="C783">
        <v>829</v>
      </c>
      <c r="D783">
        <v>1719888</v>
      </c>
      <c r="E783">
        <v>23662214564</v>
      </c>
      <c r="F783">
        <v>13834</v>
      </c>
      <c r="G783">
        <v>14100</v>
      </c>
      <c r="H783">
        <v>13600</v>
      </c>
      <c r="I783">
        <v>-234</v>
      </c>
      <c r="J783">
        <v>-1.69</v>
      </c>
      <c r="K783">
        <v>13758</v>
      </c>
      <c r="L783">
        <v>-76</v>
      </c>
      <c r="M783">
        <v>-0.55000000000000004</v>
      </c>
      <c r="N783">
        <v>13500</v>
      </c>
      <c r="O783">
        <v>14100</v>
      </c>
      <c r="R783">
        <v>2</v>
      </c>
      <c r="S783">
        <v>800</v>
      </c>
      <c r="T783">
        <v>13630</v>
      </c>
      <c r="U783">
        <v>13680</v>
      </c>
      <c r="V783">
        <v>6045</v>
      </c>
      <c r="W783">
        <v>2</v>
      </c>
    </row>
    <row r="784" spans="1:23" x14ac:dyDescent="0.25">
      <c r="A784" t="s">
        <v>2070</v>
      </c>
      <c r="B784" t="s">
        <v>2071</v>
      </c>
      <c r="C784">
        <v>1602</v>
      </c>
      <c r="D784">
        <v>11900749</v>
      </c>
      <c r="E784">
        <v>48822395545</v>
      </c>
      <c r="F784">
        <v>4079</v>
      </c>
      <c r="G784">
        <v>4107</v>
      </c>
      <c r="H784">
        <v>4103</v>
      </c>
      <c r="I784">
        <v>24</v>
      </c>
      <c r="J784">
        <v>0.59</v>
      </c>
      <c r="K784">
        <v>4102</v>
      </c>
      <c r="L784">
        <v>23</v>
      </c>
      <c r="M784">
        <v>0.56000000000000005</v>
      </c>
      <c r="N784">
        <v>4080</v>
      </c>
      <c r="O784">
        <v>4110</v>
      </c>
      <c r="P784" t="s">
        <v>2072</v>
      </c>
      <c r="Q784" t="s">
        <v>3183</v>
      </c>
      <c r="R784">
        <v>7</v>
      </c>
      <c r="S784">
        <v>82290</v>
      </c>
      <c r="T784">
        <v>4100</v>
      </c>
      <c r="U784">
        <v>4103</v>
      </c>
      <c r="V784">
        <v>54707</v>
      </c>
      <c r="W784">
        <v>2</v>
      </c>
    </row>
    <row r="785" spans="1:23" x14ac:dyDescent="0.25">
      <c r="A785" t="s">
        <v>2073</v>
      </c>
      <c r="B785" t="s">
        <v>2074</v>
      </c>
      <c r="C785">
        <v>0</v>
      </c>
      <c r="D785">
        <v>0</v>
      </c>
      <c r="E785">
        <v>0</v>
      </c>
      <c r="F785">
        <v>1</v>
      </c>
      <c r="G785">
        <v>0</v>
      </c>
      <c r="H785">
        <v>1</v>
      </c>
      <c r="I785">
        <v>0</v>
      </c>
      <c r="J785">
        <v>0</v>
      </c>
      <c r="K785">
        <v>1</v>
      </c>
      <c r="L785">
        <v>0</v>
      </c>
      <c r="M785">
        <v>0</v>
      </c>
      <c r="N785">
        <v>0</v>
      </c>
      <c r="O785">
        <v>0</v>
      </c>
      <c r="R785">
        <v>4</v>
      </c>
      <c r="S785">
        <v>400</v>
      </c>
      <c r="T785">
        <v>50</v>
      </c>
      <c r="U785">
        <v>0</v>
      </c>
      <c r="V785">
        <v>0</v>
      </c>
      <c r="W785">
        <v>0</v>
      </c>
    </row>
    <row r="786" spans="1:23" x14ac:dyDescent="0.25">
      <c r="A786" t="s">
        <v>2075</v>
      </c>
      <c r="B786" t="s">
        <v>2076</v>
      </c>
      <c r="C786">
        <v>555</v>
      </c>
      <c r="D786">
        <v>11467031</v>
      </c>
      <c r="E786">
        <v>5927662497</v>
      </c>
      <c r="F786">
        <v>534</v>
      </c>
      <c r="G786">
        <v>537</v>
      </c>
      <c r="H786">
        <v>511</v>
      </c>
      <c r="I786">
        <v>-23</v>
      </c>
      <c r="J786">
        <v>-4.3099999999999996</v>
      </c>
      <c r="K786">
        <v>517</v>
      </c>
      <c r="L786">
        <v>-17</v>
      </c>
      <c r="M786">
        <v>-3.18</v>
      </c>
      <c r="N786">
        <v>504</v>
      </c>
      <c r="O786">
        <v>537</v>
      </c>
      <c r="R786">
        <v>3</v>
      </c>
      <c r="S786">
        <v>48677</v>
      </c>
      <c r="T786">
        <v>512</v>
      </c>
      <c r="U786">
        <v>515</v>
      </c>
      <c r="V786">
        <v>38871</v>
      </c>
      <c r="W786">
        <v>2</v>
      </c>
    </row>
    <row r="787" spans="1:23" x14ac:dyDescent="0.25">
      <c r="A787" t="s">
        <v>2077</v>
      </c>
      <c r="B787" t="s">
        <v>2078</v>
      </c>
      <c r="C787">
        <v>1076</v>
      </c>
      <c r="D787">
        <v>17234013</v>
      </c>
      <c r="E787">
        <v>56452250778</v>
      </c>
      <c r="F787">
        <v>3240</v>
      </c>
      <c r="G787">
        <v>3300</v>
      </c>
      <c r="H787">
        <v>3300</v>
      </c>
      <c r="I787">
        <v>60</v>
      </c>
      <c r="J787">
        <v>1.85</v>
      </c>
      <c r="K787">
        <v>3276</v>
      </c>
      <c r="L787">
        <v>36</v>
      </c>
      <c r="M787">
        <v>1.1100000000000001</v>
      </c>
      <c r="N787">
        <v>3169</v>
      </c>
      <c r="O787">
        <v>3351</v>
      </c>
      <c r="P787" t="s">
        <v>2752</v>
      </c>
      <c r="Q787" t="s">
        <v>3184</v>
      </c>
      <c r="R787">
        <v>2</v>
      </c>
      <c r="S787">
        <v>8290</v>
      </c>
      <c r="T787">
        <v>3300</v>
      </c>
      <c r="U787">
        <v>3309</v>
      </c>
      <c r="V787">
        <v>1822</v>
      </c>
      <c r="W787">
        <v>1</v>
      </c>
    </row>
    <row r="788" spans="1:23" x14ac:dyDescent="0.25">
      <c r="A788" t="s">
        <v>2079</v>
      </c>
      <c r="B788" t="s">
        <v>2080</v>
      </c>
      <c r="C788">
        <v>0</v>
      </c>
      <c r="D788">
        <v>0</v>
      </c>
      <c r="E788">
        <v>0</v>
      </c>
      <c r="F788">
        <v>970297</v>
      </c>
      <c r="G788">
        <v>0</v>
      </c>
      <c r="H788">
        <v>970297</v>
      </c>
      <c r="I788">
        <v>0</v>
      </c>
      <c r="J788">
        <v>0</v>
      </c>
      <c r="K788">
        <v>970297</v>
      </c>
      <c r="L788">
        <v>0</v>
      </c>
      <c r="M788">
        <v>0</v>
      </c>
      <c r="N788">
        <v>0</v>
      </c>
      <c r="O788">
        <v>0</v>
      </c>
      <c r="R788">
        <v>1</v>
      </c>
      <c r="S788">
        <v>7500</v>
      </c>
      <c r="T788">
        <v>912656</v>
      </c>
      <c r="U788">
        <v>921783</v>
      </c>
      <c r="V788">
        <v>7500</v>
      </c>
      <c r="W788">
        <v>1</v>
      </c>
    </row>
    <row r="789" spans="1:23" x14ac:dyDescent="0.25">
      <c r="A789" t="s">
        <v>2081</v>
      </c>
      <c r="B789" t="s">
        <v>2082</v>
      </c>
      <c r="C789">
        <v>203</v>
      </c>
      <c r="D789">
        <v>4526727</v>
      </c>
      <c r="E789">
        <v>16214736114</v>
      </c>
      <c r="F789">
        <v>3412</v>
      </c>
      <c r="G789">
        <v>3582</v>
      </c>
      <c r="H789">
        <v>3582</v>
      </c>
      <c r="I789">
        <v>170</v>
      </c>
      <c r="J789">
        <v>4.9800000000000004</v>
      </c>
      <c r="K789">
        <v>3582</v>
      </c>
      <c r="L789">
        <v>170</v>
      </c>
      <c r="M789">
        <v>4.9800000000000004</v>
      </c>
      <c r="N789">
        <v>3582</v>
      </c>
      <c r="O789">
        <v>3582</v>
      </c>
      <c r="P789" t="s">
        <v>488</v>
      </c>
      <c r="Q789" t="s">
        <v>3185</v>
      </c>
      <c r="R789">
        <v>138</v>
      </c>
      <c r="S789">
        <v>3260633</v>
      </c>
      <c r="T789">
        <v>3582</v>
      </c>
      <c r="U789">
        <v>4840</v>
      </c>
      <c r="V789">
        <v>47000</v>
      </c>
      <c r="W789">
        <v>1</v>
      </c>
    </row>
    <row r="790" spans="1:23" x14ac:dyDescent="0.25">
      <c r="A790" t="s">
        <v>2083</v>
      </c>
      <c r="B790" t="s">
        <v>2084</v>
      </c>
      <c r="C790">
        <v>301</v>
      </c>
      <c r="D790">
        <v>968963</v>
      </c>
      <c r="E790">
        <v>5879603145</v>
      </c>
      <c r="F790">
        <v>6042</v>
      </c>
      <c r="G790">
        <v>6104</v>
      </c>
      <c r="H790">
        <v>6073</v>
      </c>
      <c r="I790">
        <v>31</v>
      </c>
      <c r="J790">
        <v>0.51</v>
      </c>
      <c r="K790">
        <v>6068</v>
      </c>
      <c r="L790">
        <v>26</v>
      </c>
      <c r="M790">
        <v>0.43</v>
      </c>
      <c r="N790">
        <v>6015</v>
      </c>
      <c r="O790">
        <v>6111</v>
      </c>
      <c r="P790" t="s">
        <v>2085</v>
      </c>
      <c r="Q790" t="s">
        <v>3186</v>
      </c>
      <c r="R790">
        <v>3</v>
      </c>
      <c r="S790">
        <v>9896</v>
      </c>
      <c r="T790">
        <v>6070</v>
      </c>
      <c r="U790">
        <v>6073</v>
      </c>
      <c r="V790">
        <v>852</v>
      </c>
      <c r="W790">
        <v>1</v>
      </c>
    </row>
    <row r="791" spans="1:23" x14ac:dyDescent="0.25">
      <c r="A791" t="s">
        <v>2086</v>
      </c>
      <c r="B791" t="s">
        <v>2087</v>
      </c>
      <c r="C791">
        <v>0</v>
      </c>
      <c r="D791">
        <v>0</v>
      </c>
      <c r="E791">
        <v>0</v>
      </c>
      <c r="F791">
        <v>11745</v>
      </c>
      <c r="G791">
        <v>0</v>
      </c>
      <c r="H791">
        <v>11409</v>
      </c>
      <c r="I791">
        <v>-336</v>
      </c>
      <c r="J791">
        <v>-2.86</v>
      </c>
      <c r="K791">
        <v>11745</v>
      </c>
      <c r="L791">
        <v>0</v>
      </c>
      <c r="M791">
        <v>0</v>
      </c>
      <c r="N791">
        <v>0</v>
      </c>
      <c r="O791">
        <v>0</v>
      </c>
      <c r="P791" t="s">
        <v>1166</v>
      </c>
      <c r="Q791" t="s">
        <v>2753</v>
      </c>
      <c r="R791">
        <v>1</v>
      </c>
      <c r="S791">
        <v>100</v>
      </c>
      <c r="T791">
        <v>10000</v>
      </c>
      <c r="U791">
        <v>12500</v>
      </c>
      <c r="V791">
        <v>257</v>
      </c>
      <c r="W791">
        <v>2</v>
      </c>
    </row>
    <row r="792" spans="1:23" x14ac:dyDescent="0.25">
      <c r="A792" t="s">
        <v>2088</v>
      </c>
      <c r="B792" t="s">
        <v>2089</v>
      </c>
      <c r="C792">
        <v>549</v>
      </c>
      <c r="D792">
        <v>3648493</v>
      </c>
      <c r="E792">
        <v>23458158457</v>
      </c>
      <c r="F792">
        <v>6283</v>
      </c>
      <c r="G792">
        <v>6597</v>
      </c>
      <c r="H792">
        <v>6203</v>
      </c>
      <c r="I792">
        <v>-80</v>
      </c>
      <c r="J792">
        <v>-1.27</v>
      </c>
      <c r="K792">
        <v>6430</v>
      </c>
      <c r="L792">
        <v>147</v>
      </c>
      <c r="M792">
        <v>2.34</v>
      </c>
      <c r="N792">
        <v>6150</v>
      </c>
      <c r="O792">
        <v>6597</v>
      </c>
      <c r="P792" t="s">
        <v>579</v>
      </c>
      <c r="Q792" t="s">
        <v>667</v>
      </c>
      <c r="R792">
        <v>1</v>
      </c>
      <c r="S792">
        <v>1671</v>
      </c>
      <c r="T792">
        <v>6205</v>
      </c>
      <c r="U792">
        <v>6260</v>
      </c>
      <c r="V792">
        <v>2296</v>
      </c>
      <c r="W792">
        <v>2</v>
      </c>
    </row>
    <row r="793" spans="1:23" x14ac:dyDescent="0.25">
      <c r="A793" t="s">
        <v>2090</v>
      </c>
      <c r="B793" t="s">
        <v>2091</v>
      </c>
      <c r="C793">
        <v>0</v>
      </c>
      <c r="D793">
        <v>0</v>
      </c>
      <c r="E793">
        <v>0</v>
      </c>
      <c r="F793">
        <v>971254</v>
      </c>
      <c r="G793">
        <v>0</v>
      </c>
      <c r="H793">
        <v>971254</v>
      </c>
      <c r="I793">
        <v>0</v>
      </c>
      <c r="J793">
        <v>0</v>
      </c>
      <c r="K793">
        <v>971254</v>
      </c>
      <c r="L793">
        <v>0</v>
      </c>
      <c r="M793">
        <v>0</v>
      </c>
      <c r="N793">
        <v>0</v>
      </c>
      <c r="O793">
        <v>0</v>
      </c>
      <c r="R793">
        <v>1</v>
      </c>
      <c r="S793">
        <v>2000</v>
      </c>
      <c r="T793">
        <v>961638</v>
      </c>
      <c r="U793">
        <v>971254</v>
      </c>
      <c r="V793">
        <v>2000</v>
      </c>
      <c r="W793">
        <v>1</v>
      </c>
    </row>
    <row r="794" spans="1:23" x14ac:dyDescent="0.25">
      <c r="A794" t="s">
        <v>2092</v>
      </c>
      <c r="B794" t="s">
        <v>2093</v>
      </c>
      <c r="C794">
        <v>1</v>
      </c>
      <c r="D794">
        <v>100</v>
      </c>
      <c r="E794">
        <v>1080200</v>
      </c>
      <c r="F794">
        <v>10785</v>
      </c>
      <c r="G794">
        <v>10802</v>
      </c>
      <c r="H794">
        <v>10802</v>
      </c>
      <c r="I794">
        <v>17</v>
      </c>
      <c r="J794">
        <v>0.16</v>
      </c>
      <c r="K794">
        <v>10802</v>
      </c>
      <c r="L794">
        <v>17</v>
      </c>
      <c r="M794">
        <v>0.16</v>
      </c>
      <c r="N794">
        <v>10802</v>
      </c>
      <c r="O794">
        <v>10802</v>
      </c>
      <c r="R794">
        <v>1</v>
      </c>
      <c r="S794">
        <v>99900</v>
      </c>
      <c r="T794">
        <v>10802</v>
      </c>
      <c r="U794">
        <v>10835</v>
      </c>
      <c r="V794">
        <v>100000</v>
      </c>
      <c r="W794">
        <v>1</v>
      </c>
    </row>
    <row r="795" spans="1:23" x14ac:dyDescent="0.25">
      <c r="A795" t="s">
        <v>2094</v>
      </c>
      <c r="B795" t="s">
        <v>2095</v>
      </c>
      <c r="C795">
        <v>310</v>
      </c>
      <c r="D795">
        <v>400162</v>
      </c>
      <c r="E795">
        <v>7066345193</v>
      </c>
      <c r="F795">
        <v>17751</v>
      </c>
      <c r="G795">
        <v>17649</v>
      </c>
      <c r="H795">
        <v>17532</v>
      </c>
      <c r="I795">
        <v>-219</v>
      </c>
      <c r="J795">
        <v>-1.23</v>
      </c>
      <c r="K795">
        <v>17685</v>
      </c>
      <c r="L795">
        <v>-66</v>
      </c>
      <c r="M795">
        <v>-0.37</v>
      </c>
      <c r="N795">
        <v>17522</v>
      </c>
      <c r="O795">
        <v>17949</v>
      </c>
      <c r="P795" t="s">
        <v>2096</v>
      </c>
      <c r="Q795" t="s">
        <v>3187</v>
      </c>
      <c r="R795">
        <v>1</v>
      </c>
      <c r="S795">
        <v>127</v>
      </c>
      <c r="T795">
        <v>17533</v>
      </c>
      <c r="U795">
        <v>17535</v>
      </c>
      <c r="V795">
        <v>22810</v>
      </c>
      <c r="W795">
        <v>1</v>
      </c>
    </row>
    <row r="796" spans="1:23" x14ac:dyDescent="0.25">
      <c r="A796" t="s">
        <v>2097</v>
      </c>
      <c r="B796" t="s">
        <v>2098</v>
      </c>
      <c r="C796">
        <v>203</v>
      </c>
      <c r="D796">
        <v>1137854</v>
      </c>
      <c r="E796">
        <v>5487958169</v>
      </c>
      <c r="F796">
        <v>4871</v>
      </c>
      <c r="G796">
        <v>5090</v>
      </c>
      <c r="H796">
        <v>4700</v>
      </c>
      <c r="I796">
        <v>-171</v>
      </c>
      <c r="J796">
        <v>-3.51</v>
      </c>
      <c r="K796">
        <v>4823</v>
      </c>
      <c r="L796">
        <v>-48</v>
      </c>
      <c r="M796">
        <v>-0.99</v>
      </c>
      <c r="N796">
        <v>4700</v>
      </c>
      <c r="O796">
        <v>5090</v>
      </c>
      <c r="P796" t="s">
        <v>2099</v>
      </c>
      <c r="Q796" t="s">
        <v>3188</v>
      </c>
      <c r="R796">
        <v>3</v>
      </c>
      <c r="S796">
        <v>13300</v>
      </c>
      <c r="T796">
        <v>4702</v>
      </c>
      <c r="U796">
        <v>4790</v>
      </c>
      <c r="V796">
        <v>30272</v>
      </c>
      <c r="W796">
        <v>1</v>
      </c>
    </row>
    <row r="797" spans="1:23" x14ac:dyDescent="0.25">
      <c r="A797" t="s">
        <v>2100</v>
      </c>
      <c r="B797" t="s">
        <v>2101</v>
      </c>
      <c r="C797">
        <v>321</v>
      </c>
      <c r="D797">
        <v>278421</v>
      </c>
      <c r="E797">
        <v>16768449201</v>
      </c>
      <c r="F797">
        <v>55150</v>
      </c>
      <c r="G797">
        <v>56000</v>
      </c>
      <c r="H797">
        <v>60665</v>
      </c>
      <c r="I797">
        <v>5515</v>
      </c>
      <c r="J797">
        <v>10</v>
      </c>
      <c r="K797">
        <v>60227</v>
      </c>
      <c r="L797">
        <v>5077</v>
      </c>
      <c r="M797">
        <v>9.2100000000000009</v>
      </c>
      <c r="N797">
        <v>56000</v>
      </c>
      <c r="O797">
        <v>60665</v>
      </c>
      <c r="P797" t="s">
        <v>2102</v>
      </c>
      <c r="Q797" t="s">
        <v>3189</v>
      </c>
      <c r="R797">
        <v>53</v>
      </c>
      <c r="S797">
        <v>56864</v>
      </c>
      <c r="T797">
        <v>60665</v>
      </c>
      <c r="U797">
        <v>61504</v>
      </c>
      <c r="V797">
        <v>52</v>
      </c>
      <c r="W797">
        <v>2</v>
      </c>
    </row>
    <row r="798" spans="1:23" x14ac:dyDescent="0.25">
      <c r="A798" t="s">
        <v>2754</v>
      </c>
      <c r="B798" t="s">
        <v>2755</v>
      </c>
      <c r="C798">
        <v>316</v>
      </c>
      <c r="D798">
        <v>371099</v>
      </c>
      <c r="E798">
        <v>12052058439</v>
      </c>
      <c r="F798">
        <v>30596</v>
      </c>
      <c r="G798">
        <v>33655</v>
      </c>
      <c r="H798">
        <v>31598</v>
      </c>
      <c r="I798">
        <v>1002</v>
      </c>
      <c r="J798">
        <v>3.27</v>
      </c>
      <c r="K798">
        <v>32477</v>
      </c>
      <c r="L798">
        <v>1881</v>
      </c>
      <c r="M798">
        <v>6.15</v>
      </c>
      <c r="N798">
        <v>31002</v>
      </c>
      <c r="O798">
        <v>33655</v>
      </c>
      <c r="P798" t="s">
        <v>1629</v>
      </c>
      <c r="Q798" t="s">
        <v>3190</v>
      </c>
      <c r="R798">
        <v>1</v>
      </c>
      <c r="S798">
        <v>179</v>
      </c>
      <c r="T798">
        <v>31600</v>
      </c>
      <c r="U798">
        <v>31680</v>
      </c>
      <c r="V798">
        <v>258</v>
      </c>
      <c r="W798">
        <v>2</v>
      </c>
    </row>
    <row r="799" spans="1:23" x14ac:dyDescent="0.25">
      <c r="A799" t="s">
        <v>2103</v>
      </c>
      <c r="B799" t="s">
        <v>2104</v>
      </c>
      <c r="C799">
        <v>492</v>
      </c>
      <c r="D799">
        <v>5053970</v>
      </c>
      <c r="E799">
        <v>11098751005</v>
      </c>
      <c r="F799">
        <v>2245</v>
      </c>
      <c r="G799">
        <v>2245</v>
      </c>
      <c r="H799">
        <v>2199</v>
      </c>
      <c r="I799">
        <v>-46</v>
      </c>
      <c r="J799">
        <v>-2.0499999999999998</v>
      </c>
      <c r="K799">
        <v>2196</v>
      </c>
      <c r="L799">
        <v>-49</v>
      </c>
      <c r="M799">
        <v>-2.1800000000000002</v>
      </c>
      <c r="N799">
        <v>2155</v>
      </c>
      <c r="O799">
        <v>2250</v>
      </c>
      <c r="P799" t="s">
        <v>2105</v>
      </c>
      <c r="Q799" t="s">
        <v>2613</v>
      </c>
      <c r="R799">
        <v>1</v>
      </c>
      <c r="S799">
        <v>15000</v>
      </c>
      <c r="T799">
        <v>2176</v>
      </c>
      <c r="U799">
        <v>2199</v>
      </c>
      <c r="V799">
        <v>45000</v>
      </c>
      <c r="W799">
        <v>1</v>
      </c>
    </row>
    <row r="800" spans="1:23" x14ac:dyDescent="0.25">
      <c r="A800" t="s">
        <v>2106</v>
      </c>
      <c r="B800" t="s">
        <v>2107</v>
      </c>
      <c r="C800">
        <v>101</v>
      </c>
      <c r="D800">
        <v>1085265</v>
      </c>
      <c r="E800">
        <v>5588029485</v>
      </c>
      <c r="F800">
        <v>4904</v>
      </c>
      <c r="G800">
        <v>5149</v>
      </c>
      <c r="H800">
        <v>5149</v>
      </c>
      <c r="I800">
        <v>245</v>
      </c>
      <c r="J800">
        <v>5</v>
      </c>
      <c r="K800">
        <v>5149</v>
      </c>
      <c r="L800">
        <v>245</v>
      </c>
      <c r="M800">
        <v>5</v>
      </c>
      <c r="N800">
        <v>5149</v>
      </c>
      <c r="O800">
        <v>5149</v>
      </c>
      <c r="P800" t="s">
        <v>2108</v>
      </c>
      <c r="Q800" t="s">
        <v>3191</v>
      </c>
      <c r="R800">
        <v>352</v>
      </c>
      <c r="S800">
        <v>10537908</v>
      </c>
      <c r="T800">
        <v>5149</v>
      </c>
      <c r="U800">
        <v>5400</v>
      </c>
      <c r="V800">
        <v>14500</v>
      </c>
      <c r="W800">
        <v>2</v>
      </c>
    </row>
    <row r="801" spans="1:23" x14ac:dyDescent="0.25">
      <c r="A801" t="s">
        <v>2109</v>
      </c>
      <c r="B801" t="s">
        <v>2110</v>
      </c>
      <c r="C801">
        <v>0</v>
      </c>
      <c r="D801">
        <v>0</v>
      </c>
      <c r="E801">
        <v>0</v>
      </c>
      <c r="F801">
        <v>4075</v>
      </c>
      <c r="G801">
        <v>0</v>
      </c>
      <c r="H801">
        <v>4277</v>
      </c>
      <c r="I801">
        <v>202</v>
      </c>
      <c r="J801">
        <v>4.96</v>
      </c>
      <c r="K801">
        <v>4075</v>
      </c>
      <c r="L801">
        <v>0</v>
      </c>
      <c r="M801">
        <v>0</v>
      </c>
      <c r="N801">
        <v>0</v>
      </c>
      <c r="O801">
        <v>0</v>
      </c>
      <c r="P801" t="s">
        <v>2111</v>
      </c>
      <c r="Q801" t="s">
        <v>2112</v>
      </c>
      <c r="R801">
        <v>1</v>
      </c>
      <c r="S801">
        <v>1018</v>
      </c>
      <c r="T801">
        <v>8150</v>
      </c>
      <c r="U801">
        <v>0</v>
      </c>
      <c r="V801">
        <v>0</v>
      </c>
      <c r="W801">
        <v>0</v>
      </c>
    </row>
    <row r="802" spans="1:23" x14ac:dyDescent="0.25">
      <c r="A802" t="s">
        <v>2113</v>
      </c>
      <c r="B802" t="s">
        <v>2114</v>
      </c>
      <c r="C802">
        <v>780</v>
      </c>
      <c r="D802">
        <v>5165726</v>
      </c>
      <c r="E802">
        <v>19986932220</v>
      </c>
      <c r="F802">
        <v>3684</v>
      </c>
      <c r="G802">
        <v>3900</v>
      </c>
      <c r="H802">
        <v>3900</v>
      </c>
      <c r="I802">
        <v>216</v>
      </c>
      <c r="J802">
        <v>5.86</v>
      </c>
      <c r="K802">
        <v>3869</v>
      </c>
      <c r="L802">
        <v>185</v>
      </c>
      <c r="M802">
        <v>5.0199999999999996</v>
      </c>
      <c r="N802">
        <v>3750</v>
      </c>
      <c r="O802">
        <v>4039</v>
      </c>
      <c r="P802" t="s">
        <v>2115</v>
      </c>
      <c r="Q802" t="s">
        <v>3192</v>
      </c>
      <c r="R802">
        <v>1</v>
      </c>
      <c r="S802">
        <v>3400</v>
      </c>
      <c r="T802">
        <v>3870</v>
      </c>
      <c r="U802">
        <v>3900</v>
      </c>
      <c r="V802">
        <v>97</v>
      </c>
      <c r="W802">
        <v>1</v>
      </c>
    </row>
    <row r="803" spans="1:23" x14ac:dyDescent="0.25">
      <c r="A803" t="s">
        <v>2756</v>
      </c>
      <c r="B803" t="s">
        <v>2757</v>
      </c>
      <c r="C803">
        <v>0</v>
      </c>
      <c r="D803">
        <v>0</v>
      </c>
      <c r="E803">
        <v>0</v>
      </c>
      <c r="F803">
        <v>12746</v>
      </c>
      <c r="G803">
        <v>0</v>
      </c>
      <c r="H803">
        <v>12746</v>
      </c>
      <c r="I803">
        <v>0</v>
      </c>
      <c r="J803">
        <v>0</v>
      </c>
      <c r="K803">
        <v>12746</v>
      </c>
      <c r="L803">
        <v>0</v>
      </c>
      <c r="M803">
        <v>0</v>
      </c>
      <c r="N803">
        <v>0</v>
      </c>
      <c r="O803">
        <v>0</v>
      </c>
      <c r="P803" t="s">
        <v>1450</v>
      </c>
      <c r="Q803" t="s">
        <v>2760</v>
      </c>
      <c r="R803">
        <v>0</v>
      </c>
      <c r="S803">
        <v>0</v>
      </c>
      <c r="T803">
        <v>0</v>
      </c>
      <c r="U803">
        <v>13383</v>
      </c>
      <c r="V803">
        <v>50000</v>
      </c>
      <c r="W803">
        <v>1</v>
      </c>
    </row>
    <row r="804" spans="1:23" x14ac:dyDescent="0.25">
      <c r="A804" t="s">
        <v>2116</v>
      </c>
      <c r="B804" t="s">
        <v>2117</v>
      </c>
      <c r="C804">
        <v>0</v>
      </c>
      <c r="D804">
        <v>0</v>
      </c>
      <c r="E804">
        <v>0</v>
      </c>
      <c r="F804">
        <v>157500</v>
      </c>
      <c r="G804">
        <v>0</v>
      </c>
      <c r="H804">
        <v>157500</v>
      </c>
      <c r="I804">
        <v>0</v>
      </c>
      <c r="J804">
        <v>0</v>
      </c>
      <c r="K804">
        <v>157500</v>
      </c>
      <c r="L804">
        <v>0</v>
      </c>
      <c r="M804">
        <v>0</v>
      </c>
      <c r="N804">
        <v>0</v>
      </c>
      <c r="O804">
        <v>0</v>
      </c>
      <c r="R804">
        <v>1</v>
      </c>
      <c r="S804">
        <v>7</v>
      </c>
      <c r="T804">
        <v>165375</v>
      </c>
      <c r="U804">
        <v>214127</v>
      </c>
      <c r="V804">
        <v>38</v>
      </c>
      <c r="W804">
        <v>1</v>
      </c>
    </row>
    <row r="805" spans="1:23" x14ac:dyDescent="0.25">
      <c r="A805" t="s">
        <v>2118</v>
      </c>
      <c r="B805" t="s">
        <v>2119</v>
      </c>
      <c r="C805">
        <v>183</v>
      </c>
      <c r="D805">
        <v>328570</v>
      </c>
      <c r="E805">
        <v>11183725530</v>
      </c>
      <c r="F805">
        <v>33632</v>
      </c>
      <c r="G805">
        <v>34650</v>
      </c>
      <c r="H805">
        <v>33600</v>
      </c>
      <c r="I805">
        <v>-32</v>
      </c>
      <c r="J805">
        <v>-0.1</v>
      </c>
      <c r="K805">
        <v>34038</v>
      </c>
      <c r="L805">
        <v>406</v>
      </c>
      <c r="M805">
        <v>1.21</v>
      </c>
      <c r="N805">
        <v>33405</v>
      </c>
      <c r="O805">
        <v>34788</v>
      </c>
      <c r="P805" t="s">
        <v>2120</v>
      </c>
      <c r="Q805" t="s">
        <v>3193</v>
      </c>
      <c r="R805">
        <v>1</v>
      </c>
      <c r="S805">
        <v>2000</v>
      </c>
      <c r="T805">
        <v>33515</v>
      </c>
      <c r="U805">
        <v>33580</v>
      </c>
      <c r="V805">
        <v>972</v>
      </c>
      <c r="W805">
        <v>1</v>
      </c>
    </row>
    <row r="806" spans="1:23" x14ac:dyDescent="0.25">
      <c r="A806" t="s">
        <v>2121</v>
      </c>
      <c r="B806" t="s">
        <v>2122</v>
      </c>
      <c r="C806">
        <v>0</v>
      </c>
      <c r="D806">
        <v>0</v>
      </c>
      <c r="E806">
        <v>0</v>
      </c>
      <c r="F806">
        <v>950000</v>
      </c>
      <c r="G806">
        <v>0</v>
      </c>
      <c r="H806">
        <v>950000</v>
      </c>
      <c r="I806">
        <v>0</v>
      </c>
      <c r="J806">
        <v>0</v>
      </c>
      <c r="K806">
        <v>950000</v>
      </c>
      <c r="L806">
        <v>0</v>
      </c>
      <c r="M806">
        <v>0</v>
      </c>
      <c r="N806">
        <v>0</v>
      </c>
      <c r="O806">
        <v>0</v>
      </c>
      <c r="R806">
        <v>1</v>
      </c>
      <c r="S806">
        <v>8750</v>
      </c>
      <c r="T806">
        <v>980400</v>
      </c>
      <c r="U806">
        <v>1000000</v>
      </c>
      <c r="V806">
        <v>153</v>
      </c>
      <c r="W806">
        <v>1</v>
      </c>
    </row>
    <row r="807" spans="1:23" x14ac:dyDescent="0.25">
      <c r="A807" t="s">
        <v>2123</v>
      </c>
      <c r="B807" t="s">
        <v>2124</v>
      </c>
      <c r="C807">
        <v>866</v>
      </c>
      <c r="D807">
        <v>4549988</v>
      </c>
      <c r="E807">
        <v>20562256257</v>
      </c>
      <c r="F807">
        <v>4408</v>
      </c>
      <c r="G807">
        <v>4505</v>
      </c>
      <c r="H807">
        <v>4505</v>
      </c>
      <c r="I807">
        <v>97</v>
      </c>
      <c r="J807">
        <v>2.2000000000000002</v>
      </c>
      <c r="K807">
        <v>4519</v>
      </c>
      <c r="L807">
        <v>111</v>
      </c>
      <c r="M807">
        <v>2.52</v>
      </c>
      <c r="N807">
        <v>4480</v>
      </c>
      <c r="O807">
        <v>4574</v>
      </c>
      <c r="P807" t="s">
        <v>2125</v>
      </c>
      <c r="Q807" t="s">
        <v>3194</v>
      </c>
      <c r="R807">
        <v>1</v>
      </c>
      <c r="S807">
        <v>4721</v>
      </c>
      <c r="T807">
        <v>4505</v>
      </c>
      <c r="U807">
        <v>4509</v>
      </c>
      <c r="V807">
        <v>14000</v>
      </c>
      <c r="W807">
        <v>1</v>
      </c>
    </row>
    <row r="808" spans="1:23" x14ac:dyDescent="0.25">
      <c r="A808" t="s">
        <v>2126</v>
      </c>
      <c r="B808" t="s">
        <v>2127</v>
      </c>
      <c r="C808">
        <v>125</v>
      </c>
      <c r="D808">
        <v>2580385</v>
      </c>
      <c r="E808">
        <v>22260981395</v>
      </c>
      <c r="F808">
        <v>8217</v>
      </c>
      <c r="G808">
        <v>8627</v>
      </c>
      <c r="H808">
        <v>8627</v>
      </c>
      <c r="I808">
        <v>410</v>
      </c>
      <c r="J808">
        <v>4.99</v>
      </c>
      <c r="K808">
        <v>8627</v>
      </c>
      <c r="L808">
        <v>410</v>
      </c>
      <c r="M808">
        <v>4.99</v>
      </c>
      <c r="N808">
        <v>8627</v>
      </c>
      <c r="O808">
        <v>8627</v>
      </c>
      <c r="P808" t="s">
        <v>2128</v>
      </c>
      <c r="Q808" t="s">
        <v>3195</v>
      </c>
      <c r="R808">
        <v>140</v>
      </c>
      <c r="S808">
        <v>4588684</v>
      </c>
      <c r="T808">
        <v>8627</v>
      </c>
      <c r="U808">
        <v>0</v>
      </c>
      <c r="V808">
        <v>0</v>
      </c>
      <c r="W808">
        <v>0</v>
      </c>
    </row>
    <row r="809" spans="1:23" x14ac:dyDescent="0.25">
      <c r="A809" t="s">
        <v>2129</v>
      </c>
      <c r="B809" t="s">
        <v>2130</v>
      </c>
      <c r="C809">
        <v>370</v>
      </c>
      <c r="D809">
        <v>635433</v>
      </c>
      <c r="E809">
        <v>8105597667</v>
      </c>
      <c r="F809">
        <v>12746</v>
      </c>
      <c r="G809">
        <v>12989</v>
      </c>
      <c r="H809">
        <v>12550</v>
      </c>
      <c r="I809">
        <v>-196</v>
      </c>
      <c r="J809">
        <v>-1.54</v>
      </c>
      <c r="K809">
        <v>12754</v>
      </c>
      <c r="L809">
        <v>8</v>
      </c>
      <c r="M809">
        <v>0.06</v>
      </c>
      <c r="N809">
        <v>12550</v>
      </c>
      <c r="O809">
        <v>12989</v>
      </c>
      <c r="P809" t="s">
        <v>1450</v>
      </c>
      <c r="Q809" t="s">
        <v>3196</v>
      </c>
      <c r="R809">
        <v>1</v>
      </c>
      <c r="S809">
        <v>2246</v>
      </c>
      <c r="T809">
        <v>12550</v>
      </c>
      <c r="U809">
        <v>12610</v>
      </c>
      <c r="V809">
        <v>2560</v>
      </c>
      <c r="W809">
        <v>1</v>
      </c>
    </row>
    <row r="810" spans="1:23" x14ac:dyDescent="0.25">
      <c r="A810" t="s">
        <v>2131</v>
      </c>
      <c r="B810" t="s">
        <v>2132</v>
      </c>
      <c r="C810">
        <v>0</v>
      </c>
      <c r="D810">
        <v>0</v>
      </c>
      <c r="E810">
        <v>0</v>
      </c>
      <c r="F810">
        <v>1002005</v>
      </c>
      <c r="G810">
        <v>0</v>
      </c>
      <c r="H810">
        <v>1002005</v>
      </c>
      <c r="I810">
        <v>0</v>
      </c>
      <c r="J810">
        <v>0</v>
      </c>
      <c r="K810">
        <v>1002005</v>
      </c>
      <c r="L810">
        <v>0</v>
      </c>
      <c r="M810">
        <v>0</v>
      </c>
      <c r="N810">
        <v>0</v>
      </c>
      <c r="O810">
        <v>0</v>
      </c>
      <c r="R810">
        <v>1</v>
      </c>
      <c r="S810">
        <v>50</v>
      </c>
      <c r="T810">
        <v>1003001</v>
      </c>
      <c r="U810">
        <v>1017950</v>
      </c>
      <c r="V810">
        <v>30</v>
      </c>
      <c r="W810">
        <v>1</v>
      </c>
    </row>
    <row r="811" spans="1:23" x14ac:dyDescent="0.25">
      <c r="A811" t="s">
        <v>2133</v>
      </c>
      <c r="B811" t="s">
        <v>2134</v>
      </c>
      <c r="C811">
        <v>1047</v>
      </c>
      <c r="D811">
        <v>6255472</v>
      </c>
      <c r="E811">
        <v>40409932432</v>
      </c>
      <c r="F811">
        <v>6499</v>
      </c>
      <c r="G811">
        <v>6540</v>
      </c>
      <c r="H811">
        <v>6432</v>
      </c>
      <c r="I811">
        <v>-67</v>
      </c>
      <c r="J811">
        <v>-1.03</v>
      </c>
      <c r="K811">
        <v>6460</v>
      </c>
      <c r="L811">
        <v>-39</v>
      </c>
      <c r="M811">
        <v>-0.6</v>
      </c>
      <c r="N811">
        <v>6401</v>
      </c>
      <c r="O811">
        <v>6569</v>
      </c>
      <c r="P811" t="s">
        <v>2135</v>
      </c>
      <c r="Q811" t="s">
        <v>3197</v>
      </c>
      <c r="R811">
        <v>1</v>
      </c>
      <c r="S811">
        <v>2147</v>
      </c>
      <c r="T811">
        <v>6432</v>
      </c>
      <c r="U811">
        <v>6437</v>
      </c>
      <c r="V811">
        <v>10178</v>
      </c>
      <c r="W811">
        <v>1</v>
      </c>
    </row>
    <row r="812" spans="1:23" x14ac:dyDescent="0.25">
      <c r="A812" t="s">
        <v>2136</v>
      </c>
      <c r="B812" t="s">
        <v>2137</v>
      </c>
      <c r="C812">
        <v>572</v>
      </c>
      <c r="D812">
        <v>2766405</v>
      </c>
      <c r="E812">
        <v>18683415522</v>
      </c>
      <c r="F812">
        <v>6820</v>
      </c>
      <c r="G812">
        <v>6870</v>
      </c>
      <c r="H812">
        <v>6680</v>
      </c>
      <c r="I812">
        <v>-140</v>
      </c>
      <c r="J812">
        <v>-2.0499999999999998</v>
      </c>
      <c r="K812">
        <v>6754</v>
      </c>
      <c r="L812">
        <v>-66</v>
      </c>
      <c r="M812">
        <v>-0.97</v>
      </c>
      <c r="N812">
        <v>6600</v>
      </c>
      <c r="O812">
        <v>6958</v>
      </c>
      <c r="P812" t="s">
        <v>2138</v>
      </c>
      <c r="Q812" t="s">
        <v>3198</v>
      </c>
      <c r="R812">
        <v>1</v>
      </c>
      <c r="S812">
        <v>2500</v>
      </c>
      <c r="T812">
        <v>6641</v>
      </c>
      <c r="U812">
        <v>6680</v>
      </c>
      <c r="V812">
        <v>7000</v>
      </c>
      <c r="W812">
        <v>1</v>
      </c>
    </row>
    <row r="813" spans="1:23" x14ac:dyDescent="0.25">
      <c r="A813" t="s">
        <v>2139</v>
      </c>
      <c r="B813" t="s">
        <v>2140</v>
      </c>
      <c r="C813">
        <v>166</v>
      </c>
      <c r="D813">
        <v>106282</v>
      </c>
      <c r="E813">
        <v>1940733515</v>
      </c>
      <c r="F813">
        <v>18509</v>
      </c>
      <c r="G813">
        <v>18790</v>
      </c>
      <c r="H813">
        <v>18015</v>
      </c>
      <c r="I813">
        <v>-494</v>
      </c>
      <c r="J813">
        <v>-2.67</v>
      </c>
      <c r="K813">
        <v>18260</v>
      </c>
      <c r="L813">
        <v>-249</v>
      </c>
      <c r="M813">
        <v>-1.35</v>
      </c>
      <c r="N813">
        <v>18011</v>
      </c>
      <c r="O813">
        <v>18885</v>
      </c>
      <c r="P813" t="s">
        <v>2141</v>
      </c>
      <c r="Q813" t="s">
        <v>3199</v>
      </c>
      <c r="R813">
        <v>2</v>
      </c>
      <c r="S813">
        <v>3212</v>
      </c>
      <c r="T813">
        <v>18015</v>
      </c>
      <c r="U813">
        <v>18147</v>
      </c>
      <c r="V813">
        <v>375</v>
      </c>
      <c r="W813">
        <v>1</v>
      </c>
    </row>
    <row r="814" spans="1:23" x14ac:dyDescent="0.25">
      <c r="A814" t="s">
        <v>3200</v>
      </c>
      <c r="B814" t="s">
        <v>3201</v>
      </c>
      <c r="C814">
        <v>289</v>
      </c>
      <c r="D814">
        <v>943530</v>
      </c>
      <c r="E814">
        <v>15164761227</v>
      </c>
      <c r="F814">
        <v>13217</v>
      </c>
      <c r="G814">
        <v>16000</v>
      </c>
      <c r="H814">
        <v>16300</v>
      </c>
      <c r="I814">
        <v>3083</v>
      </c>
      <c r="J814">
        <v>23.33</v>
      </c>
      <c r="K814">
        <v>16072</v>
      </c>
      <c r="L814">
        <v>2855</v>
      </c>
      <c r="M814">
        <v>21.6</v>
      </c>
      <c r="N814">
        <v>15710</v>
      </c>
      <c r="O814">
        <v>17499</v>
      </c>
      <c r="R814">
        <v>1</v>
      </c>
      <c r="S814">
        <v>100</v>
      </c>
      <c r="T814">
        <v>16160</v>
      </c>
      <c r="U814">
        <v>16300</v>
      </c>
      <c r="V814">
        <v>7433</v>
      </c>
      <c r="W814">
        <v>1</v>
      </c>
    </row>
    <row r="815" spans="1:23" x14ac:dyDescent="0.25">
      <c r="A815" t="s">
        <v>2142</v>
      </c>
      <c r="B815" t="s">
        <v>2143</v>
      </c>
      <c r="C815">
        <v>0</v>
      </c>
      <c r="D815">
        <v>0</v>
      </c>
      <c r="E815">
        <v>0</v>
      </c>
      <c r="F815">
        <v>116</v>
      </c>
      <c r="G815">
        <v>0</v>
      </c>
      <c r="H815">
        <v>100</v>
      </c>
      <c r="I815">
        <v>-16</v>
      </c>
      <c r="J815">
        <v>-13.79</v>
      </c>
      <c r="K815">
        <v>116</v>
      </c>
      <c r="L815">
        <v>0</v>
      </c>
      <c r="M815">
        <v>0</v>
      </c>
      <c r="N815">
        <v>0</v>
      </c>
      <c r="O815">
        <v>0</v>
      </c>
      <c r="R815">
        <v>1</v>
      </c>
      <c r="S815">
        <v>31</v>
      </c>
      <c r="T815">
        <v>110</v>
      </c>
      <c r="U815">
        <v>244</v>
      </c>
      <c r="V815">
        <v>15</v>
      </c>
      <c r="W815">
        <v>1</v>
      </c>
    </row>
    <row r="816" spans="1:23" x14ac:dyDescent="0.25">
      <c r="A816" t="s">
        <v>2144</v>
      </c>
      <c r="B816" t="s">
        <v>2145</v>
      </c>
      <c r="C816">
        <v>51</v>
      </c>
      <c r="D816">
        <v>428</v>
      </c>
      <c r="E816">
        <v>172537982</v>
      </c>
      <c r="F816">
        <v>409392</v>
      </c>
      <c r="G816">
        <v>389120</v>
      </c>
      <c r="H816">
        <v>406880</v>
      </c>
      <c r="I816">
        <v>-2512</v>
      </c>
      <c r="J816">
        <v>-0.61</v>
      </c>
      <c r="K816">
        <v>403126</v>
      </c>
      <c r="L816">
        <v>-6266</v>
      </c>
      <c r="M816">
        <v>-1.53</v>
      </c>
      <c r="N816">
        <v>389120</v>
      </c>
      <c r="O816">
        <v>410000</v>
      </c>
      <c r="R816">
        <v>1</v>
      </c>
      <c r="S816">
        <v>25</v>
      </c>
      <c r="T816">
        <v>400001</v>
      </c>
      <c r="U816">
        <v>407599</v>
      </c>
      <c r="V816">
        <v>7</v>
      </c>
      <c r="W816">
        <v>1</v>
      </c>
    </row>
    <row r="817" spans="1:23" x14ac:dyDescent="0.25">
      <c r="A817" t="s">
        <v>2146</v>
      </c>
      <c r="B817" t="s">
        <v>2147</v>
      </c>
      <c r="C817">
        <v>495</v>
      </c>
      <c r="D817">
        <v>1286945</v>
      </c>
      <c r="E817">
        <v>12207541281</v>
      </c>
      <c r="F817">
        <v>9587</v>
      </c>
      <c r="G817">
        <v>9695</v>
      </c>
      <c r="H817">
        <v>9270</v>
      </c>
      <c r="I817">
        <v>-317</v>
      </c>
      <c r="J817">
        <v>-3.31</v>
      </c>
      <c r="K817">
        <v>9486</v>
      </c>
      <c r="L817">
        <v>-101</v>
      </c>
      <c r="M817">
        <v>-1.05</v>
      </c>
      <c r="N817">
        <v>9210</v>
      </c>
      <c r="O817">
        <v>9705</v>
      </c>
      <c r="P817" t="s">
        <v>2148</v>
      </c>
      <c r="Q817" t="s">
        <v>3202</v>
      </c>
      <c r="R817">
        <v>2</v>
      </c>
      <c r="S817">
        <v>1582</v>
      </c>
      <c r="T817">
        <v>9270</v>
      </c>
      <c r="U817">
        <v>9310</v>
      </c>
      <c r="V817">
        <v>13272</v>
      </c>
      <c r="W817">
        <v>3</v>
      </c>
    </row>
    <row r="818" spans="1:23" x14ac:dyDescent="0.25">
      <c r="A818" t="s">
        <v>2150</v>
      </c>
      <c r="B818" t="s">
        <v>1241</v>
      </c>
      <c r="C818">
        <v>27</v>
      </c>
      <c r="D818">
        <v>2700000</v>
      </c>
      <c r="E818">
        <v>2700000</v>
      </c>
      <c r="F818">
        <v>20330</v>
      </c>
      <c r="G818">
        <v>1</v>
      </c>
      <c r="H818">
        <v>1</v>
      </c>
      <c r="I818">
        <v>-20329</v>
      </c>
      <c r="J818">
        <v>-100</v>
      </c>
      <c r="K818">
        <v>1</v>
      </c>
      <c r="L818">
        <v>-20329</v>
      </c>
      <c r="M818">
        <v>-100</v>
      </c>
      <c r="N818">
        <v>1</v>
      </c>
      <c r="O818">
        <v>1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</row>
    <row r="819" spans="1:23" x14ac:dyDescent="0.25">
      <c r="A819" t="s">
        <v>2151</v>
      </c>
      <c r="B819" t="s">
        <v>2152</v>
      </c>
      <c r="C819">
        <v>66</v>
      </c>
      <c r="D819">
        <v>175154</v>
      </c>
      <c r="E819">
        <v>5142516653</v>
      </c>
      <c r="F819">
        <v>26692</v>
      </c>
      <c r="G819">
        <v>29360</v>
      </c>
      <c r="H819">
        <v>29360</v>
      </c>
      <c r="I819">
        <v>2668</v>
      </c>
      <c r="J819">
        <v>10</v>
      </c>
      <c r="K819">
        <v>29360</v>
      </c>
      <c r="L819">
        <v>2668</v>
      </c>
      <c r="M819">
        <v>10</v>
      </c>
      <c r="N819">
        <v>29359</v>
      </c>
      <c r="O819">
        <v>29360</v>
      </c>
      <c r="P819" t="s">
        <v>2153</v>
      </c>
      <c r="Q819" t="s">
        <v>3203</v>
      </c>
      <c r="R819">
        <v>1</v>
      </c>
      <c r="S819">
        <v>2000</v>
      </c>
      <c r="T819">
        <v>28502</v>
      </c>
      <c r="U819">
        <v>29000</v>
      </c>
      <c r="V819">
        <v>10</v>
      </c>
      <c r="W819">
        <v>1</v>
      </c>
    </row>
    <row r="820" spans="1:23" x14ac:dyDescent="0.25">
      <c r="A820" t="s">
        <v>2154</v>
      </c>
      <c r="B820" t="s">
        <v>2155</v>
      </c>
      <c r="C820">
        <v>1</v>
      </c>
      <c r="D820">
        <v>100</v>
      </c>
      <c r="E820">
        <v>700000</v>
      </c>
      <c r="F820">
        <v>9</v>
      </c>
      <c r="G820">
        <v>7</v>
      </c>
      <c r="H820">
        <v>7</v>
      </c>
      <c r="I820">
        <v>-2</v>
      </c>
      <c r="J820">
        <v>-22.22</v>
      </c>
      <c r="K820">
        <v>7</v>
      </c>
      <c r="L820">
        <v>-2</v>
      </c>
      <c r="M820">
        <v>-22.22</v>
      </c>
      <c r="N820">
        <v>7</v>
      </c>
      <c r="O820">
        <v>7</v>
      </c>
      <c r="R820">
        <v>1</v>
      </c>
      <c r="S820">
        <v>100</v>
      </c>
      <c r="T820">
        <v>5</v>
      </c>
      <c r="U820">
        <v>8</v>
      </c>
      <c r="V820">
        <v>100</v>
      </c>
      <c r="W820">
        <v>1</v>
      </c>
    </row>
    <row r="821" spans="1:23" x14ac:dyDescent="0.25">
      <c r="A821" t="s">
        <v>2156</v>
      </c>
      <c r="B821" t="s">
        <v>2157</v>
      </c>
      <c r="C821">
        <v>175</v>
      </c>
      <c r="D821">
        <v>324903</v>
      </c>
      <c r="E821">
        <v>7198550868</v>
      </c>
      <c r="F821">
        <v>21101</v>
      </c>
      <c r="G821">
        <v>22156</v>
      </c>
      <c r="H821">
        <v>22156</v>
      </c>
      <c r="I821">
        <v>1055</v>
      </c>
      <c r="J821">
        <v>5</v>
      </c>
      <c r="K821">
        <v>22156</v>
      </c>
      <c r="L821">
        <v>1055</v>
      </c>
      <c r="M821">
        <v>5</v>
      </c>
      <c r="N821">
        <v>22156</v>
      </c>
      <c r="O821">
        <v>22156</v>
      </c>
      <c r="P821" t="s">
        <v>2158</v>
      </c>
      <c r="Q821" t="s">
        <v>3204</v>
      </c>
      <c r="R821">
        <v>2</v>
      </c>
      <c r="S821">
        <v>5449</v>
      </c>
      <c r="T821">
        <v>22150</v>
      </c>
      <c r="U821">
        <v>22156</v>
      </c>
      <c r="V821">
        <v>12995</v>
      </c>
      <c r="W821">
        <v>1</v>
      </c>
    </row>
    <row r="822" spans="1:23" x14ac:dyDescent="0.25">
      <c r="A822" t="s">
        <v>2159</v>
      </c>
      <c r="B822" t="s">
        <v>2160</v>
      </c>
      <c r="C822">
        <v>115</v>
      </c>
      <c r="D822">
        <v>1065</v>
      </c>
      <c r="E822">
        <v>439215717</v>
      </c>
      <c r="F822">
        <v>415136</v>
      </c>
      <c r="G822">
        <v>414000</v>
      </c>
      <c r="H822">
        <v>419766</v>
      </c>
      <c r="I822">
        <v>4630</v>
      </c>
      <c r="J822">
        <v>1.1200000000000001</v>
      </c>
      <c r="K822">
        <v>412409</v>
      </c>
      <c r="L822">
        <v>-2727</v>
      </c>
      <c r="M822">
        <v>-0.66</v>
      </c>
      <c r="N822">
        <v>400122</v>
      </c>
      <c r="O822">
        <v>429999</v>
      </c>
      <c r="R822">
        <v>1</v>
      </c>
      <c r="S822">
        <v>59</v>
      </c>
      <c r="T822">
        <v>407019</v>
      </c>
      <c r="U822">
        <v>419766</v>
      </c>
      <c r="V822">
        <v>16</v>
      </c>
      <c r="W822">
        <v>1</v>
      </c>
    </row>
    <row r="823" spans="1:23" x14ac:dyDescent="0.25">
      <c r="A823" t="s">
        <v>2161</v>
      </c>
      <c r="B823" t="s">
        <v>299</v>
      </c>
      <c r="C823">
        <v>0</v>
      </c>
      <c r="D823">
        <v>0</v>
      </c>
      <c r="E823">
        <v>0</v>
      </c>
      <c r="F823">
        <v>736857</v>
      </c>
      <c r="G823">
        <v>0</v>
      </c>
      <c r="H823">
        <v>736857</v>
      </c>
      <c r="I823">
        <v>0</v>
      </c>
      <c r="J823">
        <v>0</v>
      </c>
      <c r="K823">
        <v>736857</v>
      </c>
      <c r="L823">
        <v>0</v>
      </c>
      <c r="M823">
        <v>0</v>
      </c>
      <c r="N823">
        <v>0</v>
      </c>
      <c r="O823">
        <v>0</v>
      </c>
      <c r="R823">
        <v>3</v>
      </c>
      <c r="S823">
        <v>6400</v>
      </c>
      <c r="T823">
        <v>795805</v>
      </c>
      <c r="U823">
        <v>0</v>
      </c>
      <c r="V823">
        <v>0</v>
      </c>
      <c r="W823">
        <v>0</v>
      </c>
    </row>
    <row r="824" spans="1:23" x14ac:dyDescent="0.25">
      <c r="A824" t="s">
        <v>2162</v>
      </c>
      <c r="B824" t="s">
        <v>2163</v>
      </c>
      <c r="C824">
        <v>144</v>
      </c>
      <c r="D824">
        <v>219951</v>
      </c>
      <c r="E824">
        <v>4556339670</v>
      </c>
      <c r="F824">
        <v>20818</v>
      </c>
      <c r="G824">
        <v>19779</v>
      </c>
      <c r="H824">
        <v>21240</v>
      </c>
      <c r="I824">
        <v>422</v>
      </c>
      <c r="J824">
        <v>2.0299999999999998</v>
      </c>
      <c r="K824">
        <v>20715</v>
      </c>
      <c r="L824">
        <v>-103</v>
      </c>
      <c r="M824">
        <v>-0.49</v>
      </c>
      <c r="N824">
        <v>19779</v>
      </c>
      <c r="O824">
        <v>21398</v>
      </c>
      <c r="P824" t="s">
        <v>2164</v>
      </c>
      <c r="Q824" t="s">
        <v>3205</v>
      </c>
      <c r="R824">
        <v>2</v>
      </c>
      <c r="S824">
        <v>59</v>
      </c>
      <c r="T824">
        <v>21001</v>
      </c>
      <c r="U824">
        <v>21220</v>
      </c>
      <c r="V824">
        <v>466</v>
      </c>
      <c r="W824">
        <v>1</v>
      </c>
    </row>
    <row r="825" spans="1:23" x14ac:dyDescent="0.25">
      <c r="A825" t="s">
        <v>2165</v>
      </c>
      <c r="B825" t="s">
        <v>2166</v>
      </c>
      <c r="C825">
        <v>0</v>
      </c>
      <c r="D825">
        <v>0</v>
      </c>
      <c r="E825">
        <v>0</v>
      </c>
      <c r="F825">
        <v>136158</v>
      </c>
      <c r="G825">
        <v>0</v>
      </c>
      <c r="H825">
        <v>136158</v>
      </c>
      <c r="I825">
        <v>0</v>
      </c>
      <c r="J825">
        <v>0</v>
      </c>
      <c r="K825">
        <v>136158</v>
      </c>
      <c r="L825">
        <v>0</v>
      </c>
      <c r="M825">
        <v>0</v>
      </c>
      <c r="N825">
        <v>0</v>
      </c>
      <c r="O825">
        <v>0</v>
      </c>
      <c r="R825">
        <v>1</v>
      </c>
      <c r="S825">
        <v>7</v>
      </c>
      <c r="T825">
        <v>142965</v>
      </c>
      <c r="U825">
        <v>0</v>
      </c>
      <c r="V825">
        <v>0</v>
      </c>
      <c r="W825">
        <v>0</v>
      </c>
    </row>
    <row r="826" spans="1:23" x14ac:dyDescent="0.25">
      <c r="A826" t="s">
        <v>2167</v>
      </c>
      <c r="B826" t="s">
        <v>2168</v>
      </c>
      <c r="C826">
        <v>0</v>
      </c>
      <c r="D826">
        <v>0</v>
      </c>
      <c r="E826">
        <v>0</v>
      </c>
      <c r="F826">
        <v>1</v>
      </c>
      <c r="G826">
        <v>0</v>
      </c>
      <c r="H826">
        <v>1</v>
      </c>
      <c r="I826">
        <v>0</v>
      </c>
      <c r="J826">
        <v>0</v>
      </c>
      <c r="K826">
        <v>1</v>
      </c>
      <c r="L826">
        <v>0</v>
      </c>
      <c r="M826">
        <v>0</v>
      </c>
      <c r="N826">
        <v>0</v>
      </c>
      <c r="O826">
        <v>0</v>
      </c>
      <c r="R826">
        <v>1</v>
      </c>
      <c r="S826">
        <v>1</v>
      </c>
      <c r="T826">
        <v>10</v>
      </c>
      <c r="U826">
        <v>0</v>
      </c>
      <c r="V826">
        <v>0</v>
      </c>
      <c r="W826">
        <v>0</v>
      </c>
    </row>
    <row r="827" spans="1:23" x14ac:dyDescent="0.25">
      <c r="A827" t="s">
        <v>2169</v>
      </c>
      <c r="B827" t="s">
        <v>2170</v>
      </c>
      <c r="C827">
        <v>528</v>
      </c>
      <c r="D827">
        <v>989364</v>
      </c>
      <c r="E827">
        <v>13294625580</v>
      </c>
      <c r="F827">
        <v>12683</v>
      </c>
      <c r="G827">
        <v>13951</v>
      </c>
      <c r="H827">
        <v>13105</v>
      </c>
      <c r="I827">
        <v>422</v>
      </c>
      <c r="J827">
        <v>3.33</v>
      </c>
      <c r="K827">
        <v>13438</v>
      </c>
      <c r="L827">
        <v>755</v>
      </c>
      <c r="M827">
        <v>5.95</v>
      </c>
      <c r="N827">
        <v>12908</v>
      </c>
      <c r="O827">
        <v>13951</v>
      </c>
      <c r="P827" t="s">
        <v>2171</v>
      </c>
      <c r="Q827" t="s">
        <v>3206</v>
      </c>
      <c r="R827">
        <v>1</v>
      </c>
      <c r="S827">
        <v>80</v>
      </c>
      <c r="T827">
        <v>13100</v>
      </c>
      <c r="U827">
        <v>13105</v>
      </c>
      <c r="V827">
        <v>620</v>
      </c>
      <c r="W827">
        <v>1</v>
      </c>
    </row>
    <row r="828" spans="1:23" x14ac:dyDescent="0.25">
      <c r="A828" t="s">
        <v>2172</v>
      </c>
      <c r="B828" t="s">
        <v>2173</v>
      </c>
      <c r="C828">
        <v>0</v>
      </c>
      <c r="D828">
        <v>0</v>
      </c>
      <c r="E828">
        <v>0</v>
      </c>
      <c r="F828">
        <v>999990</v>
      </c>
      <c r="G828">
        <v>0</v>
      </c>
      <c r="H828">
        <v>999990</v>
      </c>
      <c r="I828">
        <v>0</v>
      </c>
      <c r="J828">
        <v>0</v>
      </c>
      <c r="K828">
        <v>999990</v>
      </c>
      <c r="L828">
        <v>0</v>
      </c>
      <c r="M828">
        <v>0</v>
      </c>
      <c r="N828">
        <v>0</v>
      </c>
      <c r="O828">
        <v>0</v>
      </c>
      <c r="R828">
        <v>1</v>
      </c>
      <c r="S828">
        <v>1700</v>
      </c>
      <c r="T828">
        <v>880010</v>
      </c>
      <c r="U828">
        <v>0</v>
      </c>
      <c r="V828">
        <v>0</v>
      </c>
      <c r="W828">
        <v>0</v>
      </c>
    </row>
    <row r="829" spans="1:23" x14ac:dyDescent="0.25">
      <c r="A829" t="s">
        <v>2174</v>
      </c>
      <c r="B829" t="s">
        <v>2175</v>
      </c>
      <c r="C829">
        <v>0</v>
      </c>
      <c r="D829">
        <v>0</v>
      </c>
      <c r="E829">
        <v>0</v>
      </c>
      <c r="F829">
        <v>786887</v>
      </c>
      <c r="G829">
        <v>0</v>
      </c>
      <c r="H829">
        <v>785508</v>
      </c>
      <c r="I829">
        <v>-1379</v>
      </c>
      <c r="J829">
        <v>-0.18</v>
      </c>
      <c r="K829">
        <v>786887</v>
      </c>
      <c r="L829">
        <v>0</v>
      </c>
      <c r="M829">
        <v>0</v>
      </c>
      <c r="N829">
        <v>0</v>
      </c>
      <c r="O829">
        <v>0</v>
      </c>
      <c r="R829">
        <v>1</v>
      </c>
      <c r="S829">
        <v>1000</v>
      </c>
      <c r="T829">
        <v>800000</v>
      </c>
      <c r="U829">
        <v>865555</v>
      </c>
      <c r="V829">
        <v>730</v>
      </c>
      <c r="W829">
        <v>1</v>
      </c>
    </row>
    <row r="830" spans="1:23" x14ac:dyDescent="0.25">
      <c r="A830" t="s">
        <v>2176</v>
      </c>
      <c r="B830" t="s">
        <v>2177</v>
      </c>
      <c r="C830">
        <v>58</v>
      </c>
      <c r="D830">
        <v>890</v>
      </c>
      <c r="E830">
        <v>330857774</v>
      </c>
      <c r="F830">
        <v>384585</v>
      </c>
      <c r="G830">
        <v>365522</v>
      </c>
      <c r="H830">
        <v>374900</v>
      </c>
      <c r="I830">
        <v>-9685</v>
      </c>
      <c r="J830">
        <v>-2.52</v>
      </c>
      <c r="K830">
        <v>371750</v>
      </c>
      <c r="L830">
        <v>-12835</v>
      </c>
      <c r="M830">
        <v>-3.34</v>
      </c>
      <c r="N830">
        <v>365356</v>
      </c>
      <c r="O830">
        <v>388848</v>
      </c>
      <c r="R830">
        <v>1</v>
      </c>
      <c r="S830">
        <v>44</v>
      </c>
      <c r="T830">
        <v>365400</v>
      </c>
      <c r="U830">
        <v>374000</v>
      </c>
      <c r="V830">
        <v>5</v>
      </c>
      <c r="W830">
        <v>1</v>
      </c>
    </row>
    <row r="831" spans="1:23" x14ac:dyDescent="0.25">
      <c r="A831" t="s">
        <v>2178</v>
      </c>
      <c r="B831" t="s">
        <v>2179</v>
      </c>
      <c r="C831">
        <v>32</v>
      </c>
      <c r="D831">
        <v>399</v>
      </c>
      <c r="E831">
        <v>162545929</v>
      </c>
      <c r="F831">
        <v>407381</v>
      </c>
      <c r="G831">
        <v>388255</v>
      </c>
      <c r="H831">
        <v>405000</v>
      </c>
      <c r="I831">
        <v>-2381</v>
      </c>
      <c r="J831">
        <v>-0.57999999999999996</v>
      </c>
      <c r="K831">
        <v>407383</v>
      </c>
      <c r="L831">
        <v>2</v>
      </c>
      <c r="M831">
        <v>0</v>
      </c>
      <c r="N831">
        <v>388255</v>
      </c>
      <c r="O831">
        <v>410000</v>
      </c>
      <c r="R831">
        <v>1</v>
      </c>
      <c r="S831">
        <v>21</v>
      </c>
      <c r="T831">
        <v>405000</v>
      </c>
      <c r="U831">
        <v>410000</v>
      </c>
      <c r="V831">
        <v>17</v>
      </c>
      <c r="W831">
        <v>3</v>
      </c>
    </row>
    <row r="832" spans="1:23" x14ac:dyDescent="0.25">
      <c r="A832" t="s">
        <v>2762</v>
      </c>
      <c r="B832" t="s">
        <v>2763</v>
      </c>
      <c r="C832">
        <v>0</v>
      </c>
      <c r="D832">
        <v>0</v>
      </c>
      <c r="E832">
        <v>0</v>
      </c>
      <c r="F832">
        <v>10000</v>
      </c>
      <c r="G832">
        <v>0</v>
      </c>
      <c r="H832">
        <v>10000</v>
      </c>
      <c r="I832">
        <v>0</v>
      </c>
      <c r="J832">
        <v>0</v>
      </c>
      <c r="K832">
        <v>10000</v>
      </c>
      <c r="L832">
        <v>0</v>
      </c>
      <c r="M832">
        <v>0</v>
      </c>
      <c r="N832">
        <v>0</v>
      </c>
      <c r="O832">
        <v>0</v>
      </c>
      <c r="R832">
        <v>114</v>
      </c>
      <c r="S832">
        <v>3345474</v>
      </c>
      <c r="T832">
        <v>10000</v>
      </c>
      <c r="U832">
        <v>0</v>
      </c>
      <c r="V832">
        <v>0</v>
      </c>
      <c r="W832">
        <v>0</v>
      </c>
    </row>
    <row r="833" spans="1:23" x14ac:dyDescent="0.25">
      <c r="A833" t="s">
        <v>2180</v>
      </c>
      <c r="B833" t="s">
        <v>2181</v>
      </c>
      <c r="C833">
        <v>0</v>
      </c>
      <c r="D833">
        <v>0</v>
      </c>
      <c r="E833">
        <v>0</v>
      </c>
      <c r="F833">
        <v>1</v>
      </c>
      <c r="G833">
        <v>0</v>
      </c>
      <c r="H833">
        <v>1</v>
      </c>
      <c r="I833">
        <v>0</v>
      </c>
      <c r="J833">
        <v>0</v>
      </c>
      <c r="K833">
        <v>1</v>
      </c>
      <c r="L833">
        <v>0</v>
      </c>
      <c r="M833">
        <v>0</v>
      </c>
      <c r="N833">
        <v>0</v>
      </c>
      <c r="O833">
        <v>0</v>
      </c>
      <c r="R833">
        <v>1</v>
      </c>
      <c r="S833">
        <v>100</v>
      </c>
      <c r="T833">
        <v>19</v>
      </c>
      <c r="U833">
        <v>0</v>
      </c>
      <c r="V833">
        <v>0</v>
      </c>
      <c r="W833">
        <v>0</v>
      </c>
    </row>
    <row r="834" spans="1:23" x14ac:dyDescent="0.25">
      <c r="A834" t="s">
        <v>2182</v>
      </c>
      <c r="B834" t="s">
        <v>2183</v>
      </c>
      <c r="C834">
        <v>446</v>
      </c>
      <c r="D834">
        <v>737269</v>
      </c>
      <c r="E834">
        <v>12159742707</v>
      </c>
      <c r="F834">
        <v>16040</v>
      </c>
      <c r="G834">
        <v>16750</v>
      </c>
      <c r="H834">
        <v>16511</v>
      </c>
      <c r="I834">
        <v>471</v>
      </c>
      <c r="J834">
        <v>2.94</v>
      </c>
      <c r="K834">
        <v>16493</v>
      </c>
      <c r="L834">
        <v>453</v>
      </c>
      <c r="M834">
        <v>2.82</v>
      </c>
      <c r="N834">
        <v>16211</v>
      </c>
      <c r="O834">
        <v>16750</v>
      </c>
      <c r="P834" t="s">
        <v>2184</v>
      </c>
      <c r="Q834" t="s">
        <v>2769</v>
      </c>
      <c r="R834">
        <v>2</v>
      </c>
      <c r="S834">
        <v>2222</v>
      </c>
      <c r="T834">
        <v>16510</v>
      </c>
      <c r="U834">
        <v>16511</v>
      </c>
      <c r="V834">
        <v>268</v>
      </c>
      <c r="W834">
        <v>1</v>
      </c>
    </row>
    <row r="835" spans="1:23" x14ac:dyDescent="0.25">
      <c r="A835" t="s">
        <v>2185</v>
      </c>
      <c r="B835" t="s">
        <v>2186</v>
      </c>
      <c r="C835">
        <v>332</v>
      </c>
      <c r="D835">
        <v>735272</v>
      </c>
      <c r="E835">
        <v>10618017262</v>
      </c>
      <c r="F835">
        <v>14284</v>
      </c>
      <c r="G835">
        <v>14610</v>
      </c>
      <c r="H835">
        <v>14280</v>
      </c>
      <c r="I835">
        <v>-4</v>
      </c>
      <c r="J835">
        <v>-0.03</v>
      </c>
      <c r="K835">
        <v>14441</v>
      </c>
      <c r="L835">
        <v>157</v>
      </c>
      <c r="M835">
        <v>1.1000000000000001</v>
      </c>
      <c r="N835">
        <v>14280</v>
      </c>
      <c r="O835">
        <v>14610</v>
      </c>
      <c r="P835" t="s">
        <v>2187</v>
      </c>
      <c r="Q835" t="s">
        <v>2171</v>
      </c>
      <c r="R835">
        <v>1</v>
      </c>
      <c r="S835">
        <v>160</v>
      </c>
      <c r="T835">
        <v>14278</v>
      </c>
      <c r="U835">
        <v>14280</v>
      </c>
      <c r="V835">
        <v>15632</v>
      </c>
      <c r="W835">
        <v>1</v>
      </c>
    </row>
    <row r="836" spans="1:23" x14ac:dyDescent="0.25">
      <c r="A836" t="s">
        <v>2764</v>
      </c>
      <c r="B836" t="s">
        <v>2765</v>
      </c>
      <c r="C836">
        <v>419</v>
      </c>
      <c r="D836">
        <v>1246328</v>
      </c>
      <c r="E836">
        <v>17880885916</v>
      </c>
      <c r="F836">
        <v>13816</v>
      </c>
      <c r="G836">
        <v>14448</v>
      </c>
      <c r="H836">
        <v>14190</v>
      </c>
      <c r="I836">
        <v>374</v>
      </c>
      <c r="J836">
        <v>2.71</v>
      </c>
      <c r="K836">
        <v>14347</v>
      </c>
      <c r="L836">
        <v>531</v>
      </c>
      <c r="M836">
        <v>3.84</v>
      </c>
      <c r="N836">
        <v>13500</v>
      </c>
      <c r="O836">
        <v>14506</v>
      </c>
      <c r="P836" t="s">
        <v>2766</v>
      </c>
      <c r="Q836" t="s">
        <v>3207</v>
      </c>
      <c r="R836">
        <v>2</v>
      </c>
      <c r="S836">
        <v>2000</v>
      </c>
      <c r="T836">
        <v>13870</v>
      </c>
      <c r="U836">
        <v>14190</v>
      </c>
      <c r="V836">
        <v>1975</v>
      </c>
      <c r="W836">
        <v>3</v>
      </c>
    </row>
    <row r="837" spans="1:23" x14ac:dyDescent="0.25">
      <c r="A837" t="s">
        <v>2188</v>
      </c>
      <c r="B837" t="s">
        <v>2189</v>
      </c>
      <c r="C837">
        <v>0</v>
      </c>
      <c r="D837">
        <v>0</v>
      </c>
      <c r="E837">
        <v>0</v>
      </c>
      <c r="F837">
        <v>181</v>
      </c>
      <c r="G837">
        <v>0</v>
      </c>
      <c r="H837">
        <v>186</v>
      </c>
      <c r="I837">
        <v>5</v>
      </c>
      <c r="J837">
        <v>2.76</v>
      </c>
      <c r="K837">
        <v>181</v>
      </c>
      <c r="L837">
        <v>0</v>
      </c>
      <c r="M837">
        <v>0</v>
      </c>
      <c r="N837">
        <v>0</v>
      </c>
      <c r="O837">
        <v>0</v>
      </c>
      <c r="R837">
        <v>1</v>
      </c>
      <c r="S837">
        <v>100</v>
      </c>
      <c r="T837">
        <v>10</v>
      </c>
      <c r="U837">
        <v>265</v>
      </c>
      <c r="V837">
        <v>100</v>
      </c>
      <c r="W837">
        <v>1</v>
      </c>
    </row>
    <row r="838" spans="1:23" x14ac:dyDescent="0.25">
      <c r="A838" t="s">
        <v>2767</v>
      </c>
      <c r="B838" t="s">
        <v>2768</v>
      </c>
      <c r="C838">
        <v>0</v>
      </c>
      <c r="D838">
        <v>0</v>
      </c>
      <c r="E838">
        <v>0</v>
      </c>
      <c r="F838">
        <v>500</v>
      </c>
      <c r="G838">
        <v>0</v>
      </c>
      <c r="H838">
        <v>500</v>
      </c>
      <c r="I838">
        <v>0</v>
      </c>
      <c r="J838">
        <v>0</v>
      </c>
      <c r="K838">
        <v>500</v>
      </c>
      <c r="L838">
        <v>0</v>
      </c>
      <c r="M838">
        <v>0</v>
      </c>
      <c r="N838">
        <v>0</v>
      </c>
      <c r="O838">
        <v>0</v>
      </c>
      <c r="R838">
        <v>0</v>
      </c>
      <c r="S838">
        <v>0</v>
      </c>
      <c r="T838">
        <v>0</v>
      </c>
      <c r="U838">
        <v>800</v>
      </c>
      <c r="V838">
        <v>100</v>
      </c>
      <c r="W838">
        <v>1</v>
      </c>
    </row>
    <row r="839" spans="1:23" x14ac:dyDescent="0.25">
      <c r="A839" t="s">
        <v>2190</v>
      </c>
      <c r="B839" t="s">
        <v>2191</v>
      </c>
      <c r="C839">
        <v>1104</v>
      </c>
      <c r="D839">
        <v>12498877</v>
      </c>
      <c r="E839">
        <v>20240233744</v>
      </c>
      <c r="F839">
        <v>1646</v>
      </c>
      <c r="G839">
        <v>1650</v>
      </c>
      <c r="H839">
        <v>1615</v>
      </c>
      <c r="I839">
        <v>-31</v>
      </c>
      <c r="J839">
        <v>-1.88</v>
      </c>
      <c r="K839">
        <v>1619</v>
      </c>
      <c r="L839">
        <v>-27</v>
      </c>
      <c r="M839">
        <v>-1.64</v>
      </c>
      <c r="N839">
        <v>1600</v>
      </c>
      <c r="O839">
        <v>1655</v>
      </c>
      <c r="P839" t="s">
        <v>501</v>
      </c>
      <c r="Q839" t="s">
        <v>3208</v>
      </c>
      <c r="R839">
        <v>3</v>
      </c>
      <c r="S839">
        <v>26156</v>
      </c>
      <c r="T839">
        <v>1615</v>
      </c>
      <c r="U839">
        <v>1618</v>
      </c>
      <c r="V839">
        <v>23788</v>
      </c>
      <c r="W839">
        <v>6</v>
      </c>
    </row>
    <row r="840" spans="1:23" x14ac:dyDescent="0.25">
      <c r="A840" t="s">
        <v>2192</v>
      </c>
      <c r="B840" t="s">
        <v>2193</v>
      </c>
      <c r="C840">
        <v>0</v>
      </c>
      <c r="D840">
        <v>0</v>
      </c>
      <c r="E840">
        <v>0</v>
      </c>
      <c r="F840">
        <v>1466</v>
      </c>
      <c r="G840">
        <v>0</v>
      </c>
      <c r="H840">
        <v>1401</v>
      </c>
      <c r="I840">
        <v>-65</v>
      </c>
      <c r="J840">
        <v>-4.43</v>
      </c>
      <c r="K840">
        <v>1466</v>
      </c>
      <c r="L840">
        <v>0</v>
      </c>
      <c r="M840">
        <v>0</v>
      </c>
      <c r="N840">
        <v>0</v>
      </c>
      <c r="O840">
        <v>0</v>
      </c>
      <c r="R840">
        <v>1</v>
      </c>
      <c r="S840">
        <v>1</v>
      </c>
      <c r="T840">
        <v>1410</v>
      </c>
      <c r="U840">
        <v>1537</v>
      </c>
      <c r="V840">
        <v>1</v>
      </c>
      <c r="W840">
        <v>1</v>
      </c>
    </row>
    <row r="841" spans="1:23" x14ac:dyDescent="0.25">
      <c r="A841" t="s">
        <v>2194</v>
      </c>
      <c r="B841" t="s">
        <v>2195</v>
      </c>
      <c r="C841">
        <v>0</v>
      </c>
      <c r="D841">
        <v>0</v>
      </c>
      <c r="E841">
        <v>0</v>
      </c>
      <c r="F841">
        <v>789</v>
      </c>
      <c r="G841">
        <v>0</v>
      </c>
      <c r="H841">
        <v>789</v>
      </c>
      <c r="I841">
        <v>0</v>
      </c>
      <c r="J841">
        <v>0</v>
      </c>
      <c r="K841">
        <v>789</v>
      </c>
      <c r="L841">
        <v>0</v>
      </c>
      <c r="M841">
        <v>0</v>
      </c>
      <c r="N841">
        <v>0</v>
      </c>
      <c r="O841">
        <v>0</v>
      </c>
      <c r="R841">
        <v>1</v>
      </c>
      <c r="S841">
        <v>20</v>
      </c>
      <c r="T841">
        <v>250</v>
      </c>
      <c r="U841">
        <v>1111</v>
      </c>
      <c r="V841">
        <v>10</v>
      </c>
      <c r="W841">
        <v>1</v>
      </c>
    </row>
    <row r="842" spans="1:23" x14ac:dyDescent="0.25">
      <c r="A842" t="s">
        <v>2196</v>
      </c>
      <c r="B842" t="s">
        <v>2197</v>
      </c>
      <c r="C842">
        <v>42</v>
      </c>
      <c r="D842">
        <v>33529</v>
      </c>
      <c r="E842">
        <v>1897776077</v>
      </c>
      <c r="F842">
        <v>56307</v>
      </c>
      <c r="G842">
        <v>56160</v>
      </c>
      <c r="H842">
        <v>57000</v>
      </c>
      <c r="I842">
        <v>693</v>
      </c>
      <c r="J842">
        <v>1.23</v>
      </c>
      <c r="K842">
        <v>56362</v>
      </c>
      <c r="L842">
        <v>55</v>
      </c>
      <c r="M842">
        <v>0.1</v>
      </c>
      <c r="N842">
        <v>55750</v>
      </c>
      <c r="O842">
        <v>57302</v>
      </c>
      <c r="P842" t="s">
        <v>2198</v>
      </c>
      <c r="Q842" t="s">
        <v>662</v>
      </c>
      <c r="R842">
        <v>4</v>
      </c>
      <c r="S842">
        <v>2545</v>
      </c>
      <c r="T842">
        <v>57000</v>
      </c>
      <c r="U842">
        <v>57300</v>
      </c>
      <c r="V842">
        <v>100</v>
      </c>
      <c r="W842">
        <v>1</v>
      </c>
    </row>
    <row r="843" spans="1:23" x14ac:dyDescent="0.25">
      <c r="A843" t="s">
        <v>2199</v>
      </c>
      <c r="B843" t="s">
        <v>2200</v>
      </c>
      <c r="C843">
        <v>0</v>
      </c>
      <c r="D843">
        <v>0</v>
      </c>
      <c r="E843">
        <v>0</v>
      </c>
      <c r="F843">
        <v>500</v>
      </c>
      <c r="G843">
        <v>0</v>
      </c>
      <c r="H843">
        <v>500</v>
      </c>
      <c r="I843">
        <v>0</v>
      </c>
      <c r="J843">
        <v>0</v>
      </c>
      <c r="K843">
        <v>500</v>
      </c>
      <c r="L843">
        <v>0</v>
      </c>
      <c r="M843">
        <v>0</v>
      </c>
      <c r="N843">
        <v>0</v>
      </c>
      <c r="O843">
        <v>0</v>
      </c>
      <c r="R843">
        <v>1</v>
      </c>
      <c r="S843">
        <v>25</v>
      </c>
      <c r="T843">
        <v>400</v>
      </c>
      <c r="U843">
        <v>850</v>
      </c>
      <c r="V843">
        <v>26</v>
      </c>
      <c r="W843">
        <v>2</v>
      </c>
    </row>
    <row r="844" spans="1:23" x14ac:dyDescent="0.25">
      <c r="A844" t="s">
        <v>2201</v>
      </c>
      <c r="B844" t="s">
        <v>2202</v>
      </c>
      <c r="C844">
        <v>341</v>
      </c>
      <c r="D844">
        <v>1448237</v>
      </c>
      <c r="E844">
        <v>12520844249</v>
      </c>
      <c r="F844">
        <v>8349</v>
      </c>
      <c r="G844">
        <v>8500</v>
      </c>
      <c r="H844">
        <v>8698</v>
      </c>
      <c r="I844">
        <v>349</v>
      </c>
      <c r="J844">
        <v>4.18</v>
      </c>
      <c r="K844">
        <v>8646</v>
      </c>
      <c r="L844">
        <v>297</v>
      </c>
      <c r="M844">
        <v>3.56</v>
      </c>
      <c r="N844">
        <v>8300</v>
      </c>
      <c r="O844">
        <v>8766</v>
      </c>
      <c r="P844" t="s">
        <v>1629</v>
      </c>
      <c r="Q844" t="s">
        <v>3209</v>
      </c>
      <c r="R844">
        <v>1</v>
      </c>
      <c r="S844">
        <v>15000</v>
      </c>
      <c r="T844">
        <v>8668</v>
      </c>
      <c r="U844">
        <v>8720</v>
      </c>
      <c r="V844">
        <v>20780</v>
      </c>
      <c r="W844">
        <v>2</v>
      </c>
    </row>
    <row r="845" spans="1:23" x14ac:dyDescent="0.25">
      <c r="A845" t="s">
        <v>2203</v>
      </c>
      <c r="B845" t="s">
        <v>2204</v>
      </c>
      <c r="C845">
        <v>134</v>
      </c>
      <c r="D845">
        <v>374521</v>
      </c>
      <c r="E845">
        <v>5178068251</v>
      </c>
      <c r="F845">
        <v>13857</v>
      </c>
      <c r="G845">
        <v>13858</v>
      </c>
      <c r="H845">
        <v>13925</v>
      </c>
      <c r="I845">
        <v>68</v>
      </c>
      <c r="J845">
        <v>0.49</v>
      </c>
      <c r="K845">
        <v>13826</v>
      </c>
      <c r="L845">
        <v>-31</v>
      </c>
      <c r="M845">
        <v>-0.22</v>
      </c>
      <c r="N845">
        <v>13550</v>
      </c>
      <c r="O845">
        <v>14150</v>
      </c>
      <c r="P845" t="s">
        <v>2128</v>
      </c>
      <c r="Q845" t="s">
        <v>2970</v>
      </c>
      <c r="R845">
        <v>1</v>
      </c>
      <c r="S845">
        <v>3000</v>
      </c>
      <c r="T845">
        <v>13859</v>
      </c>
      <c r="U845">
        <v>13923</v>
      </c>
      <c r="V845">
        <v>1000</v>
      </c>
      <c r="W845">
        <v>1</v>
      </c>
    </row>
    <row r="846" spans="1:23" x14ac:dyDescent="0.25">
      <c r="A846" t="s">
        <v>2205</v>
      </c>
      <c r="B846" t="s">
        <v>2206</v>
      </c>
      <c r="C846">
        <v>88</v>
      </c>
      <c r="D846">
        <v>33827</v>
      </c>
      <c r="E846">
        <v>2687066451</v>
      </c>
      <c r="F846">
        <v>80842</v>
      </c>
      <c r="G846">
        <v>82000</v>
      </c>
      <c r="H846">
        <v>78571</v>
      </c>
      <c r="I846">
        <v>-2271</v>
      </c>
      <c r="J846">
        <v>-2.81</v>
      </c>
      <c r="K846">
        <v>79436</v>
      </c>
      <c r="L846">
        <v>-1406</v>
      </c>
      <c r="M846">
        <v>-1.74</v>
      </c>
      <c r="N846">
        <v>76501</v>
      </c>
      <c r="O846">
        <v>82000</v>
      </c>
      <c r="P846" t="s">
        <v>2207</v>
      </c>
      <c r="Q846" t="s">
        <v>3210</v>
      </c>
      <c r="R846">
        <v>2</v>
      </c>
      <c r="S846">
        <v>1500</v>
      </c>
      <c r="T846">
        <v>78581</v>
      </c>
      <c r="U846">
        <v>80990</v>
      </c>
      <c r="V846">
        <v>1122</v>
      </c>
      <c r="W846">
        <v>3</v>
      </c>
    </row>
    <row r="847" spans="1:23" x14ac:dyDescent="0.25">
      <c r="A847" t="s">
        <v>2208</v>
      </c>
      <c r="B847" t="s">
        <v>2209</v>
      </c>
      <c r="C847">
        <v>0</v>
      </c>
      <c r="D847">
        <v>0</v>
      </c>
      <c r="E847">
        <v>0</v>
      </c>
      <c r="F847">
        <v>1147</v>
      </c>
      <c r="G847">
        <v>0</v>
      </c>
      <c r="H847">
        <v>1198</v>
      </c>
      <c r="I847">
        <v>51</v>
      </c>
      <c r="J847">
        <v>4.45</v>
      </c>
      <c r="K847">
        <v>1147</v>
      </c>
      <c r="L847">
        <v>0</v>
      </c>
      <c r="M847">
        <v>0</v>
      </c>
      <c r="N847">
        <v>0</v>
      </c>
      <c r="O847">
        <v>0</v>
      </c>
      <c r="R847">
        <v>1</v>
      </c>
      <c r="S847">
        <v>6</v>
      </c>
      <c r="T847">
        <v>950</v>
      </c>
      <c r="U847">
        <v>1196</v>
      </c>
      <c r="V847">
        <v>50</v>
      </c>
      <c r="W847">
        <v>1</v>
      </c>
    </row>
    <row r="848" spans="1:23" x14ac:dyDescent="0.25">
      <c r="A848" t="s">
        <v>2770</v>
      </c>
      <c r="B848" t="s">
        <v>2771</v>
      </c>
      <c r="C848">
        <v>1748</v>
      </c>
      <c r="D848">
        <v>14000214</v>
      </c>
      <c r="E848">
        <v>37724910746</v>
      </c>
      <c r="F848">
        <v>2644</v>
      </c>
      <c r="G848">
        <v>2664</v>
      </c>
      <c r="H848">
        <v>2680</v>
      </c>
      <c r="I848">
        <v>36</v>
      </c>
      <c r="J848">
        <v>1.36</v>
      </c>
      <c r="K848">
        <v>2695</v>
      </c>
      <c r="L848">
        <v>51</v>
      </c>
      <c r="M848">
        <v>1.93</v>
      </c>
      <c r="N848">
        <v>2630</v>
      </c>
      <c r="O848">
        <v>2806</v>
      </c>
      <c r="P848" t="s">
        <v>2099</v>
      </c>
      <c r="Q848" t="s">
        <v>3211</v>
      </c>
      <c r="R848">
        <v>1</v>
      </c>
      <c r="S848">
        <v>11951</v>
      </c>
      <c r="T848">
        <v>2680</v>
      </c>
      <c r="U848">
        <v>2685</v>
      </c>
      <c r="V848">
        <v>10000</v>
      </c>
      <c r="W848">
        <v>1</v>
      </c>
    </row>
    <row r="849" spans="1:23" x14ac:dyDescent="0.25">
      <c r="A849" t="s">
        <v>2210</v>
      </c>
      <c r="B849" t="s">
        <v>2211</v>
      </c>
      <c r="C849">
        <v>0</v>
      </c>
      <c r="D849">
        <v>0</v>
      </c>
      <c r="E849">
        <v>0</v>
      </c>
      <c r="F849">
        <v>151</v>
      </c>
      <c r="G849">
        <v>0</v>
      </c>
      <c r="H849">
        <v>170</v>
      </c>
      <c r="I849">
        <v>19</v>
      </c>
      <c r="J849">
        <v>12.58</v>
      </c>
      <c r="K849">
        <v>151</v>
      </c>
      <c r="L849">
        <v>0</v>
      </c>
      <c r="M849">
        <v>0</v>
      </c>
      <c r="N849">
        <v>0</v>
      </c>
      <c r="O849">
        <v>0</v>
      </c>
      <c r="R849">
        <v>1</v>
      </c>
      <c r="S849">
        <v>100</v>
      </c>
      <c r="T849">
        <v>70</v>
      </c>
      <c r="U849">
        <v>199</v>
      </c>
      <c r="V849">
        <v>1000</v>
      </c>
      <c r="W849">
        <v>10</v>
      </c>
    </row>
    <row r="850" spans="1:23" x14ac:dyDescent="0.25">
      <c r="A850" t="s">
        <v>2212</v>
      </c>
      <c r="B850" t="s">
        <v>2213</v>
      </c>
      <c r="C850">
        <v>331</v>
      </c>
      <c r="D850">
        <v>461037</v>
      </c>
      <c r="E850">
        <v>10857980800</v>
      </c>
      <c r="F850">
        <v>23478</v>
      </c>
      <c r="G850">
        <v>23301</v>
      </c>
      <c r="H850">
        <v>23579</v>
      </c>
      <c r="I850">
        <v>101</v>
      </c>
      <c r="J850">
        <v>0.43</v>
      </c>
      <c r="K850">
        <v>23551</v>
      </c>
      <c r="L850">
        <v>73</v>
      </c>
      <c r="M850">
        <v>0.31</v>
      </c>
      <c r="N850">
        <v>23301</v>
      </c>
      <c r="O850">
        <v>23600</v>
      </c>
      <c r="P850" t="s">
        <v>2214</v>
      </c>
      <c r="Q850" t="s">
        <v>3212</v>
      </c>
      <c r="R850">
        <v>1</v>
      </c>
      <c r="S850">
        <v>430</v>
      </c>
      <c r="T850">
        <v>23562</v>
      </c>
      <c r="U850">
        <v>23579</v>
      </c>
      <c r="V850">
        <v>292</v>
      </c>
      <c r="W850">
        <v>1</v>
      </c>
    </row>
    <row r="851" spans="1:23" x14ac:dyDescent="0.25">
      <c r="A851" t="s">
        <v>2215</v>
      </c>
      <c r="B851" t="s">
        <v>2216</v>
      </c>
      <c r="C851">
        <v>0</v>
      </c>
      <c r="D851">
        <v>0</v>
      </c>
      <c r="E851">
        <v>0</v>
      </c>
      <c r="F851">
        <v>46697</v>
      </c>
      <c r="G851">
        <v>0</v>
      </c>
      <c r="H851">
        <v>46697</v>
      </c>
      <c r="I851">
        <v>0</v>
      </c>
      <c r="J851">
        <v>0</v>
      </c>
      <c r="K851">
        <v>46697</v>
      </c>
      <c r="L851">
        <v>0</v>
      </c>
      <c r="M851">
        <v>0</v>
      </c>
      <c r="N851">
        <v>0</v>
      </c>
      <c r="O851">
        <v>0</v>
      </c>
      <c r="R851">
        <v>1</v>
      </c>
      <c r="S851">
        <v>492980</v>
      </c>
      <c r="T851">
        <v>46892</v>
      </c>
      <c r="U851">
        <v>47830</v>
      </c>
      <c r="V851">
        <v>492980</v>
      </c>
      <c r="W851">
        <v>1</v>
      </c>
    </row>
    <row r="852" spans="1:23" x14ac:dyDescent="0.25">
      <c r="A852" t="s">
        <v>2217</v>
      </c>
      <c r="B852" t="s">
        <v>2218</v>
      </c>
      <c r="C852">
        <v>428</v>
      </c>
      <c r="D852">
        <v>827157</v>
      </c>
      <c r="E852">
        <v>11337011836</v>
      </c>
      <c r="F852">
        <v>13196</v>
      </c>
      <c r="G852">
        <v>13688</v>
      </c>
      <c r="H852">
        <v>13800</v>
      </c>
      <c r="I852">
        <v>604</v>
      </c>
      <c r="J852">
        <v>4.58</v>
      </c>
      <c r="K852">
        <v>13706</v>
      </c>
      <c r="L852">
        <v>510</v>
      </c>
      <c r="M852">
        <v>3.86</v>
      </c>
      <c r="N852">
        <v>13499</v>
      </c>
      <c r="O852">
        <v>13854</v>
      </c>
      <c r="P852" t="s">
        <v>2219</v>
      </c>
      <c r="Q852" t="s">
        <v>2611</v>
      </c>
      <c r="R852">
        <v>2</v>
      </c>
      <c r="S852">
        <v>1075</v>
      </c>
      <c r="T852">
        <v>13750</v>
      </c>
      <c r="U852">
        <v>13787</v>
      </c>
      <c r="V852">
        <v>1109</v>
      </c>
      <c r="W852">
        <v>1</v>
      </c>
    </row>
    <row r="853" spans="1:23" x14ac:dyDescent="0.25">
      <c r="A853" t="s">
        <v>2220</v>
      </c>
      <c r="B853" t="s">
        <v>2221</v>
      </c>
      <c r="C853">
        <v>1256</v>
      </c>
      <c r="D853">
        <v>30752915</v>
      </c>
      <c r="E853">
        <v>73793867209</v>
      </c>
      <c r="F853">
        <v>2295</v>
      </c>
      <c r="G853">
        <v>2409</v>
      </c>
      <c r="H853">
        <v>2340</v>
      </c>
      <c r="I853">
        <v>45</v>
      </c>
      <c r="J853">
        <v>1.96</v>
      </c>
      <c r="K853">
        <v>2400</v>
      </c>
      <c r="L853">
        <v>105</v>
      </c>
      <c r="M853">
        <v>4.58</v>
      </c>
      <c r="N853">
        <v>2321</v>
      </c>
      <c r="O853">
        <v>2409</v>
      </c>
      <c r="P853" t="s">
        <v>2222</v>
      </c>
      <c r="Q853" t="s">
        <v>3213</v>
      </c>
      <c r="R853">
        <v>1</v>
      </c>
      <c r="S853">
        <v>8000</v>
      </c>
      <c r="T853">
        <v>2342</v>
      </c>
      <c r="U853">
        <v>2350</v>
      </c>
      <c r="V853">
        <v>53202</v>
      </c>
      <c r="W853">
        <v>4</v>
      </c>
    </row>
    <row r="854" spans="1:23" x14ac:dyDescent="0.25">
      <c r="A854" t="s">
        <v>2223</v>
      </c>
      <c r="B854" t="s">
        <v>2224</v>
      </c>
      <c r="C854">
        <v>0</v>
      </c>
      <c r="D854">
        <v>0</v>
      </c>
      <c r="E854">
        <v>0</v>
      </c>
      <c r="F854">
        <v>3078</v>
      </c>
      <c r="G854">
        <v>0</v>
      </c>
      <c r="H854">
        <v>3170</v>
      </c>
      <c r="I854">
        <v>92</v>
      </c>
      <c r="J854">
        <v>2.99</v>
      </c>
      <c r="K854">
        <v>3078</v>
      </c>
      <c r="L854">
        <v>0</v>
      </c>
      <c r="M854">
        <v>0</v>
      </c>
      <c r="N854">
        <v>0</v>
      </c>
      <c r="O854">
        <v>0</v>
      </c>
      <c r="P854" t="s">
        <v>488</v>
      </c>
      <c r="Q854" t="s">
        <v>2772</v>
      </c>
      <c r="R854">
        <v>2</v>
      </c>
      <c r="S854">
        <v>24300</v>
      </c>
      <c r="T854">
        <v>2861</v>
      </c>
      <c r="U854">
        <v>3350</v>
      </c>
      <c r="V854">
        <v>11695</v>
      </c>
      <c r="W854">
        <v>1</v>
      </c>
    </row>
    <row r="855" spans="1:23" x14ac:dyDescent="0.25">
      <c r="A855" t="s">
        <v>2225</v>
      </c>
      <c r="B855" t="s">
        <v>2226</v>
      </c>
      <c r="C855">
        <v>445</v>
      </c>
      <c r="D855">
        <v>1286734</v>
      </c>
      <c r="E855">
        <v>10537979894</v>
      </c>
      <c r="F855">
        <v>8100</v>
      </c>
      <c r="G855">
        <v>8394</v>
      </c>
      <c r="H855">
        <v>8182</v>
      </c>
      <c r="I855">
        <v>82</v>
      </c>
      <c r="J855">
        <v>1.01</v>
      </c>
      <c r="K855">
        <v>8190</v>
      </c>
      <c r="L855">
        <v>90</v>
      </c>
      <c r="M855">
        <v>1.1100000000000001</v>
      </c>
      <c r="N855">
        <v>8005</v>
      </c>
      <c r="O855">
        <v>8399</v>
      </c>
      <c r="P855" t="s">
        <v>2227</v>
      </c>
      <c r="Q855" t="s">
        <v>3214</v>
      </c>
      <c r="R855">
        <v>2</v>
      </c>
      <c r="S855">
        <v>4725</v>
      </c>
      <c r="T855">
        <v>8117</v>
      </c>
      <c r="U855">
        <v>8181</v>
      </c>
      <c r="V855">
        <v>1588</v>
      </c>
      <c r="W855">
        <v>1</v>
      </c>
    </row>
    <row r="856" spans="1:23" x14ac:dyDescent="0.25">
      <c r="A856" t="s">
        <v>2228</v>
      </c>
      <c r="B856" t="s">
        <v>2229</v>
      </c>
      <c r="C856">
        <v>0</v>
      </c>
      <c r="D856">
        <v>0</v>
      </c>
      <c r="E856">
        <v>0</v>
      </c>
      <c r="F856">
        <v>8984</v>
      </c>
      <c r="G856">
        <v>0</v>
      </c>
      <c r="H856">
        <v>8895</v>
      </c>
      <c r="I856">
        <v>-89</v>
      </c>
      <c r="J856">
        <v>-0.99</v>
      </c>
      <c r="K856">
        <v>8984</v>
      </c>
      <c r="L856">
        <v>0</v>
      </c>
      <c r="M856">
        <v>0</v>
      </c>
      <c r="N856">
        <v>0</v>
      </c>
      <c r="O856">
        <v>0</v>
      </c>
      <c r="P856" t="s">
        <v>2230</v>
      </c>
      <c r="Q856" t="s">
        <v>369</v>
      </c>
      <c r="R856">
        <v>1</v>
      </c>
      <c r="S856">
        <v>500</v>
      </c>
      <c r="T856">
        <v>8501</v>
      </c>
      <c r="U856">
        <v>9200</v>
      </c>
      <c r="V856">
        <v>15000</v>
      </c>
      <c r="W856">
        <v>1</v>
      </c>
    </row>
    <row r="857" spans="1:23" x14ac:dyDescent="0.25">
      <c r="A857" t="s">
        <v>2231</v>
      </c>
      <c r="B857" t="s">
        <v>2232</v>
      </c>
      <c r="C857">
        <v>484</v>
      </c>
      <c r="D857">
        <v>1487822</v>
      </c>
      <c r="E857">
        <v>22948101883</v>
      </c>
      <c r="F857">
        <v>15381</v>
      </c>
      <c r="G857">
        <v>15494</v>
      </c>
      <c r="H857">
        <v>15141</v>
      </c>
      <c r="I857">
        <v>-240</v>
      </c>
      <c r="J857">
        <v>-1.56</v>
      </c>
      <c r="K857">
        <v>15424</v>
      </c>
      <c r="L857">
        <v>43</v>
      </c>
      <c r="M857">
        <v>0.28000000000000003</v>
      </c>
      <c r="N857">
        <v>15000</v>
      </c>
      <c r="O857">
        <v>15500</v>
      </c>
      <c r="P857" t="s">
        <v>2233</v>
      </c>
      <c r="Q857" t="s">
        <v>3215</v>
      </c>
      <c r="R857">
        <v>1</v>
      </c>
      <c r="S857">
        <v>996</v>
      </c>
      <c r="T857">
        <v>15141</v>
      </c>
      <c r="U857">
        <v>15199</v>
      </c>
      <c r="V857">
        <v>1000</v>
      </c>
      <c r="W857">
        <v>1</v>
      </c>
    </row>
    <row r="858" spans="1:23" x14ac:dyDescent="0.25">
      <c r="A858" t="s">
        <v>2234</v>
      </c>
      <c r="B858" t="s">
        <v>2235</v>
      </c>
      <c r="C858">
        <v>535</v>
      </c>
      <c r="D858">
        <v>3436477</v>
      </c>
      <c r="E858">
        <v>14559020124</v>
      </c>
      <c r="F858">
        <v>4088</v>
      </c>
      <c r="G858">
        <v>4140</v>
      </c>
      <c r="H858">
        <v>4180</v>
      </c>
      <c r="I858">
        <v>92</v>
      </c>
      <c r="J858">
        <v>2.25</v>
      </c>
      <c r="K858">
        <v>4237</v>
      </c>
      <c r="L858">
        <v>149</v>
      </c>
      <c r="M858">
        <v>3.64</v>
      </c>
      <c r="N858">
        <v>4100</v>
      </c>
      <c r="O858">
        <v>4292</v>
      </c>
      <c r="P858" t="s">
        <v>1522</v>
      </c>
      <c r="Q858" t="s">
        <v>3216</v>
      </c>
      <c r="R858">
        <v>2</v>
      </c>
      <c r="S858">
        <v>1500</v>
      </c>
      <c r="T858">
        <v>4171</v>
      </c>
      <c r="U858">
        <v>4190</v>
      </c>
      <c r="V858">
        <v>16628</v>
      </c>
      <c r="W858">
        <v>4</v>
      </c>
    </row>
    <row r="859" spans="1:23" x14ac:dyDescent="0.25">
      <c r="A859" t="s">
        <v>2236</v>
      </c>
      <c r="B859" t="s">
        <v>2237</v>
      </c>
      <c r="C859">
        <v>8221</v>
      </c>
      <c r="D859">
        <v>268135831</v>
      </c>
      <c r="E859">
        <v>118040998059</v>
      </c>
      <c r="F859">
        <v>437</v>
      </c>
      <c r="G859">
        <v>441</v>
      </c>
      <c r="H859">
        <v>438</v>
      </c>
      <c r="I859">
        <v>1</v>
      </c>
      <c r="J859">
        <v>0.23</v>
      </c>
      <c r="K859">
        <v>440</v>
      </c>
      <c r="L859">
        <v>3</v>
      </c>
      <c r="M859">
        <v>0.69</v>
      </c>
      <c r="N859">
        <v>437</v>
      </c>
      <c r="O859">
        <v>444</v>
      </c>
      <c r="P859" t="s">
        <v>715</v>
      </c>
      <c r="Q859" t="s">
        <v>3217</v>
      </c>
      <c r="R859">
        <v>13</v>
      </c>
      <c r="S859">
        <v>623287</v>
      </c>
      <c r="T859">
        <v>438</v>
      </c>
      <c r="U859">
        <v>439</v>
      </c>
      <c r="V859">
        <v>7227569</v>
      </c>
      <c r="W859">
        <v>101</v>
      </c>
    </row>
    <row r="860" spans="1:23" x14ac:dyDescent="0.25">
      <c r="A860" t="s">
        <v>2238</v>
      </c>
      <c r="B860" t="s">
        <v>2239</v>
      </c>
      <c r="C860">
        <v>2</v>
      </c>
      <c r="D860">
        <v>50</v>
      </c>
      <c r="E860">
        <v>19600000</v>
      </c>
      <c r="F860">
        <v>947</v>
      </c>
      <c r="G860">
        <v>700</v>
      </c>
      <c r="H860">
        <v>260</v>
      </c>
      <c r="I860">
        <v>-687</v>
      </c>
      <c r="J860">
        <v>-72.540000000000006</v>
      </c>
      <c r="K860">
        <v>392</v>
      </c>
      <c r="L860">
        <v>-555</v>
      </c>
      <c r="M860">
        <v>-58.61</v>
      </c>
      <c r="N860">
        <v>260</v>
      </c>
      <c r="O860">
        <v>700</v>
      </c>
      <c r="R860">
        <v>1</v>
      </c>
      <c r="S860">
        <v>100</v>
      </c>
      <c r="T860">
        <v>600</v>
      </c>
      <c r="U860">
        <v>1087</v>
      </c>
      <c r="V860">
        <v>100</v>
      </c>
      <c r="W860">
        <v>1</v>
      </c>
    </row>
    <row r="861" spans="1:23" x14ac:dyDescent="0.25">
      <c r="A861" t="s">
        <v>2240</v>
      </c>
      <c r="B861" t="s">
        <v>2241</v>
      </c>
      <c r="C861">
        <v>1</v>
      </c>
      <c r="D861">
        <v>2</v>
      </c>
      <c r="E861">
        <v>560000</v>
      </c>
      <c r="F861">
        <v>150</v>
      </c>
      <c r="G861">
        <v>280</v>
      </c>
      <c r="H861">
        <v>280</v>
      </c>
      <c r="I861">
        <v>130</v>
      </c>
      <c r="J861">
        <v>86.67</v>
      </c>
      <c r="K861">
        <v>280</v>
      </c>
      <c r="L861">
        <v>130</v>
      </c>
      <c r="M861">
        <v>86.67</v>
      </c>
      <c r="N861">
        <v>280</v>
      </c>
      <c r="O861">
        <v>280</v>
      </c>
      <c r="R861">
        <v>1</v>
      </c>
      <c r="S861">
        <v>50</v>
      </c>
      <c r="T861">
        <v>101</v>
      </c>
      <c r="U861">
        <v>280</v>
      </c>
      <c r="V861">
        <v>40</v>
      </c>
      <c r="W861">
        <v>1</v>
      </c>
    </row>
    <row r="862" spans="1:23" x14ac:dyDescent="0.25">
      <c r="A862" t="s">
        <v>2242</v>
      </c>
      <c r="B862" t="s">
        <v>2243</v>
      </c>
      <c r="C862">
        <v>0</v>
      </c>
      <c r="D862">
        <v>0</v>
      </c>
      <c r="E862">
        <v>0</v>
      </c>
      <c r="F862">
        <v>107440</v>
      </c>
      <c r="G862">
        <v>0</v>
      </c>
      <c r="H862">
        <v>107438</v>
      </c>
      <c r="I862">
        <v>-2</v>
      </c>
      <c r="J862">
        <v>0</v>
      </c>
      <c r="K862">
        <v>107440</v>
      </c>
      <c r="L862">
        <v>0</v>
      </c>
      <c r="M862">
        <v>0</v>
      </c>
      <c r="N862">
        <v>0</v>
      </c>
      <c r="O862">
        <v>0</v>
      </c>
      <c r="R862">
        <v>1</v>
      </c>
      <c r="S862">
        <v>1000</v>
      </c>
      <c r="T862">
        <v>107596</v>
      </c>
      <c r="U862">
        <v>109746</v>
      </c>
      <c r="V862">
        <v>193658</v>
      </c>
      <c r="W862">
        <v>1</v>
      </c>
    </row>
    <row r="863" spans="1:23" x14ac:dyDescent="0.25">
      <c r="A863" t="s">
        <v>2244</v>
      </c>
      <c r="B863" t="s">
        <v>2245</v>
      </c>
      <c r="C863">
        <v>0</v>
      </c>
      <c r="D863">
        <v>0</v>
      </c>
      <c r="E863">
        <v>0</v>
      </c>
      <c r="F863">
        <v>1000000</v>
      </c>
      <c r="G863">
        <v>0</v>
      </c>
      <c r="H863">
        <v>1000000</v>
      </c>
      <c r="I863">
        <v>0</v>
      </c>
      <c r="J863">
        <v>0</v>
      </c>
      <c r="K863">
        <v>1000000</v>
      </c>
      <c r="L863">
        <v>0</v>
      </c>
      <c r="M863">
        <v>0</v>
      </c>
      <c r="N863">
        <v>0</v>
      </c>
      <c r="O863">
        <v>0</v>
      </c>
      <c r="R863">
        <v>1</v>
      </c>
      <c r="S863">
        <v>20000</v>
      </c>
      <c r="T863">
        <v>940000</v>
      </c>
      <c r="U863">
        <v>0</v>
      </c>
      <c r="V863">
        <v>0</v>
      </c>
      <c r="W863">
        <v>0</v>
      </c>
    </row>
    <row r="864" spans="1:23" x14ac:dyDescent="0.25">
      <c r="A864" t="s">
        <v>2246</v>
      </c>
      <c r="B864" t="s">
        <v>2247</v>
      </c>
      <c r="C864">
        <v>150</v>
      </c>
      <c r="D864">
        <v>101399</v>
      </c>
      <c r="E864">
        <v>6139774383</v>
      </c>
      <c r="F864">
        <v>59593</v>
      </c>
      <c r="G864">
        <v>63000</v>
      </c>
      <c r="H864">
        <v>60037</v>
      </c>
      <c r="I864">
        <v>444</v>
      </c>
      <c r="J864">
        <v>0.75</v>
      </c>
      <c r="K864">
        <v>60551</v>
      </c>
      <c r="L864">
        <v>958</v>
      </c>
      <c r="M864">
        <v>1.61</v>
      </c>
      <c r="N864">
        <v>58000</v>
      </c>
      <c r="O864">
        <v>63000</v>
      </c>
      <c r="P864" t="s">
        <v>2248</v>
      </c>
      <c r="Q864" t="s">
        <v>3218</v>
      </c>
      <c r="R864">
        <v>1</v>
      </c>
      <c r="S864">
        <v>39</v>
      </c>
      <c r="T864">
        <v>60038</v>
      </c>
      <c r="U864">
        <v>60879</v>
      </c>
      <c r="V864">
        <v>1000</v>
      </c>
      <c r="W864">
        <v>1</v>
      </c>
    </row>
    <row r="865" spans="1:23" x14ac:dyDescent="0.25">
      <c r="A865" t="s">
        <v>2249</v>
      </c>
      <c r="B865" t="s">
        <v>2250</v>
      </c>
      <c r="C865">
        <v>262</v>
      </c>
      <c r="D865">
        <v>91120</v>
      </c>
      <c r="E865">
        <v>4781411670</v>
      </c>
      <c r="F865">
        <v>51502</v>
      </c>
      <c r="G865">
        <v>54990</v>
      </c>
      <c r="H865">
        <v>52800</v>
      </c>
      <c r="I865">
        <v>1298</v>
      </c>
      <c r="J865">
        <v>2.52</v>
      </c>
      <c r="K865">
        <v>52474</v>
      </c>
      <c r="L865">
        <v>972</v>
      </c>
      <c r="M865">
        <v>1.89</v>
      </c>
      <c r="N865">
        <v>51012</v>
      </c>
      <c r="O865">
        <v>54990</v>
      </c>
      <c r="P865" t="s">
        <v>2251</v>
      </c>
      <c r="Q865" t="s">
        <v>1180</v>
      </c>
      <c r="R865">
        <v>1</v>
      </c>
      <c r="S865">
        <v>1192</v>
      </c>
      <c r="T865">
        <v>52004</v>
      </c>
      <c r="U865">
        <v>52800</v>
      </c>
      <c r="V865">
        <v>1235</v>
      </c>
      <c r="W865">
        <v>3</v>
      </c>
    </row>
    <row r="866" spans="1:23" x14ac:dyDescent="0.25">
      <c r="A866" t="s">
        <v>2252</v>
      </c>
      <c r="B866" t="s">
        <v>2253</v>
      </c>
      <c r="C866">
        <v>102</v>
      </c>
      <c r="D866">
        <v>148535</v>
      </c>
      <c r="E866">
        <v>3119917429</v>
      </c>
      <c r="F866">
        <v>20112</v>
      </c>
      <c r="G866">
        <v>21100</v>
      </c>
      <c r="H866">
        <v>20501</v>
      </c>
      <c r="I866">
        <v>389</v>
      </c>
      <c r="J866">
        <v>1.93</v>
      </c>
      <c r="K866">
        <v>21005</v>
      </c>
      <c r="L866">
        <v>893</v>
      </c>
      <c r="M866">
        <v>4.4400000000000004</v>
      </c>
      <c r="N866">
        <v>20500</v>
      </c>
      <c r="O866">
        <v>21117</v>
      </c>
      <c r="P866" t="s">
        <v>2254</v>
      </c>
      <c r="Q866" t="s">
        <v>3219</v>
      </c>
      <c r="R866">
        <v>2</v>
      </c>
      <c r="S866">
        <v>771</v>
      </c>
      <c r="T866">
        <v>20700</v>
      </c>
      <c r="U866">
        <v>20979</v>
      </c>
      <c r="V866">
        <v>500</v>
      </c>
      <c r="W866">
        <v>1</v>
      </c>
    </row>
    <row r="867" spans="1:23" x14ac:dyDescent="0.25">
      <c r="A867" t="s">
        <v>2255</v>
      </c>
      <c r="B867" t="s">
        <v>2256</v>
      </c>
      <c r="C867">
        <v>54</v>
      </c>
      <c r="D867">
        <v>218383</v>
      </c>
      <c r="E867">
        <v>1463152128</v>
      </c>
      <c r="F867">
        <v>6384</v>
      </c>
      <c r="G867">
        <v>6689</v>
      </c>
      <c r="H867">
        <v>6703</v>
      </c>
      <c r="I867">
        <v>319</v>
      </c>
      <c r="J867">
        <v>5</v>
      </c>
      <c r="K867">
        <v>6700</v>
      </c>
      <c r="L867">
        <v>316</v>
      </c>
      <c r="M867">
        <v>4.95</v>
      </c>
      <c r="N867">
        <v>6689</v>
      </c>
      <c r="O867">
        <v>6703</v>
      </c>
      <c r="P867" t="s">
        <v>846</v>
      </c>
      <c r="Q867" t="s">
        <v>3220</v>
      </c>
      <c r="R867">
        <v>20</v>
      </c>
      <c r="S867">
        <v>73531</v>
      </c>
      <c r="T867">
        <v>6703</v>
      </c>
      <c r="U867">
        <v>0</v>
      </c>
      <c r="V867">
        <v>0</v>
      </c>
      <c r="W867">
        <v>0</v>
      </c>
    </row>
    <row r="868" spans="1:23" x14ac:dyDescent="0.25">
      <c r="A868" t="s">
        <v>2257</v>
      </c>
      <c r="B868" t="s">
        <v>2258</v>
      </c>
      <c r="C868">
        <v>869</v>
      </c>
      <c r="D868">
        <v>7292735</v>
      </c>
      <c r="E868">
        <v>25374224340</v>
      </c>
      <c r="F868">
        <v>3352</v>
      </c>
      <c r="G868">
        <v>3399</v>
      </c>
      <c r="H868">
        <v>3498</v>
      </c>
      <c r="I868">
        <v>146</v>
      </c>
      <c r="J868">
        <v>4.3600000000000003</v>
      </c>
      <c r="K868">
        <v>3479</v>
      </c>
      <c r="L868">
        <v>127</v>
      </c>
      <c r="M868">
        <v>3.79</v>
      </c>
      <c r="N868">
        <v>3301</v>
      </c>
      <c r="O868">
        <v>3519</v>
      </c>
      <c r="P868" t="s">
        <v>2259</v>
      </c>
      <c r="Q868" t="s">
        <v>3221</v>
      </c>
      <c r="R868">
        <v>2</v>
      </c>
      <c r="S868">
        <v>8022</v>
      </c>
      <c r="T868">
        <v>3464</v>
      </c>
      <c r="U868">
        <v>3498</v>
      </c>
      <c r="V868">
        <v>39155</v>
      </c>
      <c r="W868">
        <v>2</v>
      </c>
    </row>
    <row r="869" spans="1:23" x14ac:dyDescent="0.25">
      <c r="A869" t="s">
        <v>2260</v>
      </c>
      <c r="B869" t="s">
        <v>2261</v>
      </c>
      <c r="C869">
        <v>0</v>
      </c>
      <c r="D869">
        <v>0</v>
      </c>
      <c r="E869">
        <v>0</v>
      </c>
      <c r="F869">
        <v>1408</v>
      </c>
      <c r="G869">
        <v>0</v>
      </c>
      <c r="H869">
        <v>7000</v>
      </c>
      <c r="I869">
        <v>5592</v>
      </c>
      <c r="J869">
        <v>397.16</v>
      </c>
      <c r="K869">
        <v>1408</v>
      </c>
      <c r="L869">
        <v>0</v>
      </c>
      <c r="M869">
        <v>0</v>
      </c>
      <c r="N869">
        <v>0</v>
      </c>
      <c r="O869">
        <v>0</v>
      </c>
      <c r="P869" t="s">
        <v>2262</v>
      </c>
      <c r="Q869" t="s">
        <v>2263</v>
      </c>
      <c r="R869">
        <v>2</v>
      </c>
      <c r="S869">
        <v>31200</v>
      </c>
      <c r="T869">
        <v>1410</v>
      </c>
      <c r="U869">
        <v>35000</v>
      </c>
      <c r="V869">
        <v>1376</v>
      </c>
      <c r="W869">
        <v>1</v>
      </c>
    </row>
    <row r="870" spans="1:23" x14ac:dyDescent="0.25">
      <c r="A870" t="s">
        <v>2264</v>
      </c>
      <c r="B870" t="s">
        <v>2265</v>
      </c>
      <c r="C870">
        <v>0</v>
      </c>
      <c r="D870">
        <v>0</v>
      </c>
      <c r="E870">
        <v>0</v>
      </c>
      <c r="F870">
        <v>1000000</v>
      </c>
      <c r="G870">
        <v>0</v>
      </c>
      <c r="H870">
        <v>1000000</v>
      </c>
      <c r="I870">
        <v>0</v>
      </c>
      <c r="J870">
        <v>0</v>
      </c>
      <c r="K870">
        <v>1000000</v>
      </c>
      <c r="L870">
        <v>0</v>
      </c>
      <c r="M870">
        <v>0</v>
      </c>
      <c r="N870">
        <v>0</v>
      </c>
      <c r="O870">
        <v>0</v>
      </c>
      <c r="R870">
        <v>1</v>
      </c>
      <c r="S870">
        <v>5000</v>
      </c>
      <c r="T870">
        <v>970000</v>
      </c>
      <c r="U870">
        <v>0</v>
      </c>
      <c r="V870">
        <v>0</v>
      </c>
      <c r="W870">
        <v>0</v>
      </c>
    </row>
    <row r="871" spans="1:23" x14ac:dyDescent="0.25">
      <c r="A871" t="s">
        <v>2266</v>
      </c>
      <c r="B871" t="s">
        <v>2267</v>
      </c>
      <c r="C871">
        <v>0</v>
      </c>
      <c r="D871">
        <v>0</v>
      </c>
      <c r="E871">
        <v>0</v>
      </c>
      <c r="F871">
        <v>1008</v>
      </c>
      <c r="G871">
        <v>0</v>
      </c>
      <c r="H871">
        <v>450</v>
      </c>
      <c r="I871">
        <v>-558</v>
      </c>
      <c r="J871">
        <v>-55.36</v>
      </c>
      <c r="K871">
        <v>1008</v>
      </c>
      <c r="L871">
        <v>0</v>
      </c>
      <c r="M871">
        <v>0</v>
      </c>
      <c r="N871">
        <v>0</v>
      </c>
      <c r="O871">
        <v>0</v>
      </c>
      <c r="R871">
        <v>1</v>
      </c>
      <c r="S871">
        <v>1</v>
      </c>
      <c r="T871">
        <v>400</v>
      </c>
      <c r="U871">
        <v>900</v>
      </c>
      <c r="V871">
        <v>20</v>
      </c>
      <c r="W871">
        <v>1</v>
      </c>
    </row>
    <row r="872" spans="1:23" x14ac:dyDescent="0.25">
      <c r="A872" t="s">
        <v>2268</v>
      </c>
      <c r="B872" t="s">
        <v>2269</v>
      </c>
      <c r="C872">
        <v>0</v>
      </c>
      <c r="D872">
        <v>0</v>
      </c>
      <c r="E872">
        <v>0</v>
      </c>
      <c r="F872">
        <v>757</v>
      </c>
      <c r="G872">
        <v>0</v>
      </c>
      <c r="H872">
        <v>759</v>
      </c>
      <c r="I872">
        <v>2</v>
      </c>
      <c r="J872">
        <v>0.26</v>
      </c>
      <c r="K872">
        <v>757</v>
      </c>
      <c r="L872">
        <v>0</v>
      </c>
      <c r="M872">
        <v>0</v>
      </c>
      <c r="N872">
        <v>0</v>
      </c>
      <c r="O872">
        <v>0</v>
      </c>
      <c r="R872">
        <v>1</v>
      </c>
      <c r="S872">
        <v>100</v>
      </c>
      <c r="T872">
        <v>133</v>
      </c>
      <c r="U872">
        <v>999</v>
      </c>
      <c r="V872">
        <v>100</v>
      </c>
      <c r="W872">
        <v>1</v>
      </c>
    </row>
    <row r="873" spans="1:23" x14ac:dyDescent="0.25">
      <c r="A873" t="s">
        <v>2270</v>
      </c>
      <c r="B873" t="s">
        <v>2271</v>
      </c>
      <c r="C873">
        <v>0</v>
      </c>
      <c r="D873">
        <v>0</v>
      </c>
      <c r="E873">
        <v>0</v>
      </c>
      <c r="F873">
        <v>1</v>
      </c>
      <c r="G873">
        <v>0</v>
      </c>
      <c r="H873">
        <v>1</v>
      </c>
      <c r="I873">
        <v>0</v>
      </c>
      <c r="J873">
        <v>0</v>
      </c>
      <c r="K873">
        <v>1</v>
      </c>
      <c r="L873">
        <v>0</v>
      </c>
      <c r="M873">
        <v>0</v>
      </c>
      <c r="N873">
        <v>0</v>
      </c>
      <c r="O873">
        <v>0</v>
      </c>
      <c r="R873">
        <v>1</v>
      </c>
      <c r="S873">
        <v>10</v>
      </c>
      <c r="T873">
        <v>330</v>
      </c>
      <c r="U873">
        <v>0</v>
      </c>
      <c r="V873">
        <v>0</v>
      </c>
      <c r="W873">
        <v>0</v>
      </c>
    </row>
    <row r="874" spans="1:23" x14ac:dyDescent="0.25">
      <c r="A874" t="s">
        <v>2272</v>
      </c>
      <c r="B874" t="s">
        <v>2273</v>
      </c>
      <c r="C874">
        <v>0</v>
      </c>
      <c r="D874">
        <v>0</v>
      </c>
      <c r="E874">
        <v>0</v>
      </c>
      <c r="F874">
        <v>1</v>
      </c>
      <c r="G874">
        <v>0</v>
      </c>
      <c r="H874">
        <v>1</v>
      </c>
      <c r="I874">
        <v>0</v>
      </c>
      <c r="J874">
        <v>0</v>
      </c>
      <c r="K874">
        <v>1</v>
      </c>
      <c r="L874">
        <v>0</v>
      </c>
      <c r="M874">
        <v>0</v>
      </c>
      <c r="N874">
        <v>0</v>
      </c>
      <c r="O874">
        <v>0</v>
      </c>
      <c r="R874">
        <v>1</v>
      </c>
      <c r="S874">
        <v>100</v>
      </c>
      <c r="T874">
        <v>18</v>
      </c>
      <c r="U874">
        <v>0</v>
      </c>
      <c r="V874">
        <v>0</v>
      </c>
      <c r="W874">
        <v>0</v>
      </c>
    </row>
    <row r="875" spans="1:23" x14ac:dyDescent="0.25">
      <c r="A875" t="s">
        <v>2274</v>
      </c>
      <c r="B875" t="s">
        <v>2275</v>
      </c>
      <c r="C875">
        <v>501</v>
      </c>
      <c r="D875">
        <v>1061952</v>
      </c>
      <c r="E875">
        <v>20187677610</v>
      </c>
      <c r="F875">
        <v>18558</v>
      </c>
      <c r="G875">
        <v>19399</v>
      </c>
      <c r="H875">
        <v>18610</v>
      </c>
      <c r="I875">
        <v>52</v>
      </c>
      <c r="J875">
        <v>0.28000000000000003</v>
      </c>
      <c r="K875">
        <v>19010</v>
      </c>
      <c r="L875">
        <v>452</v>
      </c>
      <c r="M875">
        <v>2.44</v>
      </c>
      <c r="N875">
        <v>18480</v>
      </c>
      <c r="O875">
        <v>19399</v>
      </c>
      <c r="P875" t="s">
        <v>2276</v>
      </c>
      <c r="Q875" t="s">
        <v>3222</v>
      </c>
      <c r="R875">
        <v>1</v>
      </c>
      <c r="S875">
        <v>100</v>
      </c>
      <c r="T875">
        <v>18611</v>
      </c>
      <c r="U875">
        <v>18666</v>
      </c>
      <c r="V875">
        <v>1802</v>
      </c>
      <c r="W875">
        <v>1</v>
      </c>
    </row>
    <row r="876" spans="1:23" x14ac:dyDescent="0.25">
      <c r="A876" t="s">
        <v>2277</v>
      </c>
      <c r="B876" t="s">
        <v>774</v>
      </c>
      <c r="C876">
        <v>3162</v>
      </c>
      <c r="D876">
        <v>22141146</v>
      </c>
      <c r="E876">
        <v>64894752859</v>
      </c>
      <c r="F876">
        <v>3031</v>
      </c>
      <c r="G876">
        <v>3000</v>
      </c>
      <c r="H876">
        <v>2909</v>
      </c>
      <c r="I876">
        <v>-122</v>
      </c>
      <c r="J876">
        <v>-4.03</v>
      </c>
      <c r="K876">
        <v>2931</v>
      </c>
      <c r="L876">
        <v>-100</v>
      </c>
      <c r="M876">
        <v>-3.3</v>
      </c>
      <c r="N876">
        <v>2870</v>
      </c>
      <c r="O876">
        <v>3020</v>
      </c>
      <c r="P876" t="s">
        <v>775</v>
      </c>
      <c r="Q876" t="s">
        <v>3223</v>
      </c>
      <c r="R876">
        <v>1</v>
      </c>
      <c r="S876">
        <v>15000</v>
      </c>
      <c r="T876">
        <v>2906</v>
      </c>
      <c r="U876">
        <v>2909</v>
      </c>
      <c r="V876">
        <v>4706</v>
      </c>
      <c r="W876">
        <v>1</v>
      </c>
    </row>
    <row r="877" spans="1:23" x14ac:dyDescent="0.25">
      <c r="A877" t="s">
        <v>2278</v>
      </c>
      <c r="B877" t="s">
        <v>2279</v>
      </c>
      <c r="C877">
        <v>353</v>
      </c>
      <c r="D877">
        <v>359931</v>
      </c>
      <c r="E877">
        <v>5811485118</v>
      </c>
      <c r="F877">
        <v>15688</v>
      </c>
      <c r="G877">
        <v>16472</v>
      </c>
      <c r="H877">
        <v>16050</v>
      </c>
      <c r="I877">
        <v>362</v>
      </c>
      <c r="J877">
        <v>2.31</v>
      </c>
      <c r="K877">
        <v>16146</v>
      </c>
      <c r="L877">
        <v>458</v>
      </c>
      <c r="M877">
        <v>2.92</v>
      </c>
      <c r="N877">
        <v>15849</v>
      </c>
      <c r="O877">
        <v>16472</v>
      </c>
      <c r="P877" t="s">
        <v>1072</v>
      </c>
      <c r="Q877" t="s">
        <v>3224</v>
      </c>
      <c r="R877">
        <v>2</v>
      </c>
      <c r="S877">
        <v>1150</v>
      </c>
      <c r="T877">
        <v>16000</v>
      </c>
      <c r="U877">
        <v>16155</v>
      </c>
      <c r="V877">
        <v>9800</v>
      </c>
      <c r="W877">
        <v>1</v>
      </c>
    </row>
    <row r="878" spans="1:23" x14ac:dyDescent="0.25">
      <c r="A878" t="s">
        <v>2280</v>
      </c>
      <c r="B878" t="s">
        <v>2281</v>
      </c>
      <c r="C878">
        <v>69</v>
      </c>
      <c r="D878">
        <v>118002</v>
      </c>
      <c r="E878">
        <v>1247281592</v>
      </c>
      <c r="F878">
        <v>10292</v>
      </c>
      <c r="G878">
        <v>10499</v>
      </c>
      <c r="H878">
        <v>10659</v>
      </c>
      <c r="I878">
        <v>367</v>
      </c>
      <c r="J878">
        <v>3.57</v>
      </c>
      <c r="K878">
        <v>10570</v>
      </c>
      <c r="L878">
        <v>278</v>
      </c>
      <c r="M878">
        <v>2.7</v>
      </c>
      <c r="N878">
        <v>10499</v>
      </c>
      <c r="O878">
        <v>10700</v>
      </c>
      <c r="R878">
        <v>1</v>
      </c>
      <c r="S878">
        <v>3000</v>
      </c>
      <c r="T878">
        <v>10602</v>
      </c>
      <c r="U878">
        <v>10694</v>
      </c>
      <c r="V878">
        <v>1000</v>
      </c>
      <c r="W878">
        <v>1</v>
      </c>
    </row>
    <row r="879" spans="1:23" x14ac:dyDescent="0.25">
      <c r="A879" t="s">
        <v>2282</v>
      </c>
      <c r="B879" t="s">
        <v>2283</v>
      </c>
      <c r="C879">
        <v>543</v>
      </c>
      <c r="D879">
        <v>2644152</v>
      </c>
      <c r="E879">
        <v>14404205808</v>
      </c>
      <c r="F879">
        <v>5350</v>
      </c>
      <c r="G879">
        <v>5490</v>
      </c>
      <c r="H879">
        <v>5450</v>
      </c>
      <c r="I879">
        <v>100</v>
      </c>
      <c r="J879">
        <v>1.87</v>
      </c>
      <c r="K879">
        <v>5448</v>
      </c>
      <c r="L879">
        <v>98</v>
      </c>
      <c r="M879">
        <v>1.83</v>
      </c>
      <c r="N879">
        <v>5391</v>
      </c>
      <c r="O879">
        <v>5500</v>
      </c>
      <c r="P879" t="s">
        <v>2284</v>
      </c>
      <c r="Q879" t="s">
        <v>3225</v>
      </c>
      <c r="R879">
        <v>1</v>
      </c>
      <c r="S879">
        <v>8298</v>
      </c>
      <c r="T879">
        <v>5437</v>
      </c>
      <c r="U879">
        <v>5450</v>
      </c>
      <c r="V879">
        <v>28904</v>
      </c>
      <c r="W879">
        <v>1</v>
      </c>
    </row>
    <row r="880" spans="1:23" x14ac:dyDescent="0.25">
      <c r="A880" t="s">
        <v>2285</v>
      </c>
      <c r="B880" t="s">
        <v>2286</v>
      </c>
      <c r="C880">
        <v>0</v>
      </c>
      <c r="D880">
        <v>0</v>
      </c>
      <c r="E880">
        <v>0</v>
      </c>
      <c r="F880">
        <v>35224</v>
      </c>
      <c r="G880">
        <v>0</v>
      </c>
      <c r="H880">
        <v>36000</v>
      </c>
      <c r="I880">
        <v>776</v>
      </c>
      <c r="J880">
        <v>2.2000000000000002</v>
      </c>
      <c r="K880">
        <v>35224</v>
      </c>
      <c r="L880">
        <v>0</v>
      </c>
      <c r="M880">
        <v>0</v>
      </c>
      <c r="N880">
        <v>0</v>
      </c>
      <c r="O880">
        <v>0</v>
      </c>
      <c r="R880">
        <v>1</v>
      </c>
      <c r="S880">
        <v>300</v>
      </c>
      <c r="T880">
        <v>35224</v>
      </c>
      <c r="U880">
        <v>36000</v>
      </c>
      <c r="V880">
        <v>723</v>
      </c>
      <c r="W880">
        <v>1</v>
      </c>
    </row>
    <row r="881" spans="1:23" x14ac:dyDescent="0.25">
      <c r="A881" t="s">
        <v>2287</v>
      </c>
      <c r="B881" t="s">
        <v>2288</v>
      </c>
      <c r="C881">
        <v>572</v>
      </c>
      <c r="D881">
        <v>382317</v>
      </c>
      <c r="E881">
        <v>27449507887</v>
      </c>
      <c r="F881">
        <v>68853</v>
      </c>
      <c r="G881">
        <v>69998</v>
      </c>
      <c r="H881">
        <v>72270</v>
      </c>
      <c r="I881">
        <v>3417</v>
      </c>
      <c r="J881">
        <v>4.96</v>
      </c>
      <c r="K881">
        <v>71798</v>
      </c>
      <c r="L881">
        <v>2945</v>
      </c>
      <c r="M881">
        <v>4.28</v>
      </c>
      <c r="N881">
        <v>69259</v>
      </c>
      <c r="O881">
        <v>72290</v>
      </c>
      <c r="P881" t="s">
        <v>2289</v>
      </c>
      <c r="Q881" t="s">
        <v>3226</v>
      </c>
      <c r="R881">
        <v>2</v>
      </c>
      <c r="S881">
        <v>2009</v>
      </c>
      <c r="T881">
        <v>72270</v>
      </c>
      <c r="U881">
        <v>72290</v>
      </c>
      <c r="V881">
        <v>79114</v>
      </c>
      <c r="W881">
        <v>10</v>
      </c>
    </row>
    <row r="882" spans="1:23" x14ac:dyDescent="0.25">
      <c r="A882" t="s">
        <v>2290</v>
      </c>
      <c r="B882" t="s">
        <v>2291</v>
      </c>
      <c r="C882">
        <v>0</v>
      </c>
      <c r="D882">
        <v>0</v>
      </c>
      <c r="E882">
        <v>0</v>
      </c>
      <c r="F882">
        <v>1009998</v>
      </c>
      <c r="G882">
        <v>0</v>
      </c>
      <c r="H882">
        <v>1009998</v>
      </c>
      <c r="I882">
        <v>0</v>
      </c>
      <c r="J882">
        <v>0</v>
      </c>
      <c r="K882">
        <v>1009998</v>
      </c>
      <c r="L882">
        <v>0</v>
      </c>
      <c r="M882">
        <v>0</v>
      </c>
      <c r="N882">
        <v>0</v>
      </c>
      <c r="O882">
        <v>0</v>
      </c>
      <c r="R882">
        <v>2</v>
      </c>
      <c r="S882">
        <v>2</v>
      </c>
      <c r="T882">
        <v>1000112</v>
      </c>
      <c r="U882">
        <v>1009997</v>
      </c>
      <c r="V882">
        <v>208</v>
      </c>
      <c r="W882">
        <v>2</v>
      </c>
    </row>
    <row r="883" spans="1:23" x14ac:dyDescent="0.25">
      <c r="A883" t="s">
        <v>2292</v>
      </c>
      <c r="B883" t="s">
        <v>2293</v>
      </c>
      <c r="C883">
        <v>0</v>
      </c>
      <c r="D883">
        <v>0</v>
      </c>
      <c r="E883">
        <v>0</v>
      </c>
      <c r="F883">
        <v>1</v>
      </c>
      <c r="G883">
        <v>0</v>
      </c>
      <c r="H883">
        <v>1</v>
      </c>
      <c r="I883">
        <v>0</v>
      </c>
      <c r="J883">
        <v>0</v>
      </c>
      <c r="K883">
        <v>1</v>
      </c>
      <c r="L883">
        <v>0</v>
      </c>
      <c r="M883">
        <v>0</v>
      </c>
      <c r="N883">
        <v>0</v>
      </c>
      <c r="O883">
        <v>0</v>
      </c>
      <c r="R883">
        <v>0</v>
      </c>
      <c r="S883">
        <v>0</v>
      </c>
      <c r="T883">
        <v>0</v>
      </c>
      <c r="U883">
        <v>488</v>
      </c>
      <c r="V883">
        <v>3000</v>
      </c>
      <c r="W883">
        <v>30</v>
      </c>
    </row>
    <row r="884" spans="1:23" x14ac:dyDescent="0.25">
      <c r="A884" t="s">
        <v>2774</v>
      </c>
      <c r="B884" t="s">
        <v>2775</v>
      </c>
      <c r="C884">
        <v>0</v>
      </c>
      <c r="D884">
        <v>0</v>
      </c>
      <c r="E884">
        <v>0</v>
      </c>
      <c r="F884">
        <v>1</v>
      </c>
      <c r="G884">
        <v>0</v>
      </c>
      <c r="H884">
        <v>1</v>
      </c>
      <c r="I884">
        <v>0</v>
      </c>
      <c r="J884">
        <v>0</v>
      </c>
      <c r="K884">
        <v>1</v>
      </c>
      <c r="L884">
        <v>0</v>
      </c>
      <c r="M884">
        <v>0</v>
      </c>
      <c r="N884">
        <v>0</v>
      </c>
      <c r="O884">
        <v>0</v>
      </c>
      <c r="R884">
        <v>1</v>
      </c>
      <c r="S884">
        <v>100</v>
      </c>
      <c r="T884">
        <v>11</v>
      </c>
      <c r="U884">
        <v>0</v>
      </c>
      <c r="V884">
        <v>0</v>
      </c>
      <c r="W884">
        <v>0</v>
      </c>
    </row>
    <row r="885" spans="1:23" x14ac:dyDescent="0.25">
      <c r="A885" t="s">
        <v>2294</v>
      </c>
      <c r="B885" t="s">
        <v>2295</v>
      </c>
      <c r="C885">
        <v>571</v>
      </c>
      <c r="D885">
        <v>3161813</v>
      </c>
      <c r="E885">
        <v>9748206644</v>
      </c>
      <c r="F885">
        <v>3177</v>
      </c>
      <c r="G885">
        <v>3199</v>
      </c>
      <c r="H885">
        <v>3035</v>
      </c>
      <c r="I885">
        <v>-142</v>
      </c>
      <c r="J885">
        <v>-4.47</v>
      </c>
      <c r="K885">
        <v>3083</v>
      </c>
      <c r="L885">
        <v>-94</v>
      </c>
      <c r="M885">
        <v>-2.96</v>
      </c>
      <c r="N885">
        <v>3019</v>
      </c>
      <c r="O885">
        <v>3200</v>
      </c>
      <c r="P885" t="s">
        <v>2296</v>
      </c>
      <c r="Q885" t="s">
        <v>3227</v>
      </c>
      <c r="R885">
        <v>2</v>
      </c>
      <c r="S885">
        <v>2075</v>
      </c>
      <c r="T885">
        <v>3035</v>
      </c>
      <c r="U885">
        <v>3040</v>
      </c>
      <c r="V885">
        <v>7326</v>
      </c>
      <c r="W885">
        <v>1</v>
      </c>
    </row>
    <row r="886" spans="1:23" x14ac:dyDescent="0.25">
      <c r="A886" t="s">
        <v>2297</v>
      </c>
      <c r="B886" t="s">
        <v>2298</v>
      </c>
      <c r="C886">
        <v>1</v>
      </c>
      <c r="D886">
        <v>1200</v>
      </c>
      <c r="E886">
        <v>1200000000</v>
      </c>
      <c r="F886">
        <v>1000000</v>
      </c>
      <c r="G886">
        <v>1000000</v>
      </c>
      <c r="H886">
        <v>1000000</v>
      </c>
      <c r="I886">
        <v>0</v>
      </c>
      <c r="J886">
        <v>0</v>
      </c>
      <c r="K886">
        <v>1000000</v>
      </c>
      <c r="L886">
        <v>0</v>
      </c>
      <c r="M886">
        <v>0</v>
      </c>
      <c r="N886">
        <v>1000000</v>
      </c>
      <c r="O886">
        <v>1000000</v>
      </c>
      <c r="R886">
        <v>1</v>
      </c>
      <c r="S886">
        <v>50</v>
      </c>
      <c r="T886">
        <v>973000</v>
      </c>
      <c r="U886">
        <v>990000</v>
      </c>
      <c r="V886">
        <v>10000</v>
      </c>
      <c r="W886">
        <v>1</v>
      </c>
    </row>
    <row r="887" spans="1:23" x14ac:dyDescent="0.25">
      <c r="A887" t="s">
        <v>2299</v>
      </c>
      <c r="B887" t="s">
        <v>2300</v>
      </c>
      <c r="C887">
        <v>0</v>
      </c>
      <c r="D887">
        <v>0</v>
      </c>
      <c r="E887">
        <v>0</v>
      </c>
      <c r="F887">
        <v>1000000</v>
      </c>
      <c r="G887">
        <v>0</v>
      </c>
      <c r="H887">
        <v>1000000</v>
      </c>
      <c r="I887">
        <v>0</v>
      </c>
      <c r="J887">
        <v>0</v>
      </c>
      <c r="K887">
        <v>1000000</v>
      </c>
      <c r="L887">
        <v>0</v>
      </c>
      <c r="M887">
        <v>0</v>
      </c>
      <c r="N887">
        <v>0</v>
      </c>
      <c r="O887">
        <v>0</v>
      </c>
      <c r="R887">
        <v>1</v>
      </c>
      <c r="S887">
        <v>2500</v>
      </c>
      <c r="T887">
        <v>995000</v>
      </c>
      <c r="U887">
        <v>1014900</v>
      </c>
      <c r="V887">
        <v>2500</v>
      </c>
      <c r="W887">
        <v>1</v>
      </c>
    </row>
    <row r="888" spans="1:23" x14ac:dyDescent="0.25">
      <c r="A888" t="s">
        <v>2301</v>
      </c>
      <c r="B888" t="s">
        <v>2302</v>
      </c>
      <c r="C888">
        <v>0</v>
      </c>
      <c r="D888">
        <v>0</v>
      </c>
      <c r="E888">
        <v>0</v>
      </c>
      <c r="F888">
        <v>87</v>
      </c>
      <c r="G888">
        <v>0</v>
      </c>
      <c r="H888">
        <v>80</v>
      </c>
      <c r="I888">
        <v>-7</v>
      </c>
      <c r="J888">
        <v>-8.0500000000000007</v>
      </c>
      <c r="K888">
        <v>87</v>
      </c>
      <c r="L888">
        <v>0</v>
      </c>
      <c r="M888">
        <v>0</v>
      </c>
      <c r="N888">
        <v>0</v>
      </c>
      <c r="O888">
        <v>0</v>
      </c>
      <c r="R888">
        <v>1</v>
      </c>
      <c r="S888">
        <v>20</v>
      </c>
      <c r="T888">
        <v>65</v>
      </c>
      <c r="U888">
        <v>94</v>
      </c>
      <c r="V888">
        <v>1</v>
      </c>
      <c r="W888">
        <v>1</v>
      </c>
    </row>
    <row r="889" spans="1:23" x14ac:dyDescent="0.25">
      <c r="A889" t="s">
        <v>2303</v>
      </c>
      <c r="B889" t="s">
        <v>2304</v>
      </c>
      <c r="C889">
        <v>89</v>
      </c>
      <c r="D889">
        <v>207147</v>
      </c>
      <c r="E889">
        <v>7999740017</v>
      </c>
      <c r="F889">
        <v>36796</v>
      </c>
      <c r="G889">
        <v>38579</v>
      </c>
      <c r="H889">
        <v>38635</v>
      </c>
      <c r="I889">
        <v>1839</v>
      </c>
      <c r="J889">
        <v>5</v>
      </c>
      <c r="K889">
        <v>38619</v>
      </c>
      <c r="L889">
        <v>1823</v>
      </c>
      <c r="M889">
        <v>4.95</v>
      </c>
      <c r="N889">
        <v>37995</v>
      </c>
      <c r="O889">
        <v>38635</v>
      </c>
      <c r="P889" t="s">
        <v>2305</v>
      </c>
      <c r="Q889" t="s">
        <v>3228</v>
      </c>
      <c r="R889">
        <v>14</v>
      </c>
      <c r="S889">
        <v>65548</v>
      </c>
      <c r="T889">
        <v>38635</v>
      </c>
      <c r="U889">
        <v>53616</v>
      </c>
      <c r="V889">
        <v>28900</v>
      </c>
      <c r="W889">
        <v>3</v>
      </c>
    </row>
    <row r="890" spans="1:23" x14ac:dyDescent="0.25">
      <c r="A890" t="s">
        <v>2306</v>
      </c>
      <c r="B890" t="s">
        <v>2307</v>
      </c>
      <c r="C890">
        <v>0</v>
      </c>
      <c r="D890">
        <v>0</v>
      </c>
      <c r="E890">
        <v>0</v>
      </c>
      <c r="F890">
        <v>934000</v>
      </c>
      <c r="G890">
        <v>0</v>
      </c>
      <c r="H890">
        <v>934000</v>
      </c>
      <c r="I890">
        <v>0</v>
      </c>
      <c r="J890">
        <v>0</v>
      </c>
      <c r="K890">
        <v>934000</v>
      </c>
      <c r="L890">
        <v>0</v>
      </c>
      <c r="M890">
        <v>0</v>
      </c>
      <c r="N890">
        <v>0</v>
      </c>
      <c r="O890">
        <v>0</v>
      </c>
      <c r="R890">
        <v>1</v>
      </c>
      <c r="S890">
        <v>700</v>
      </c>
      <c r="T890">
        <v>930000</v>
      </c>
      <c r="U890">
        <v>939000</v>
      </c>
      <c r="V890">
        <v>700</v>
      </c>
      <c r="W890">
        <v>1</v>
      </c>
    </row>
    <row r="891" spans="1:23" x14ac:dyDescent="0.25">
      <c r="A891" t="s">
        <v>2308</v>
      </c>
      <c r="B891" t="s">
        <v>2309</v>
      </c>
      <c r="C891">
        <v>234</v>
      </c>
      <c r="D891">
        <v>441130</v>
      </c>
      <c r="E891">
        <v>7905128459</v>
      </c>
      <c r="F891">
        <v>17112</v>
      </c>
      <c r="G891">
        <v>17967</v>
      </c>
      <c r="H891">
        <v>17967</v>
      </c>
      <c r="I891">
        <v>855</v>
      </c>
      <c r="J891">
        <v>5</v>
      </c>
      <c r="K891">
        <v>17920</v>
      </c>
      <c r="L891">
        <v>808</v>
      </c>
      <c r="M891">
        <v>4.72</v>
      </c>
      <c r="N891">
        <v>17500</v>
      </c>
      <c r="O891">
        <v>17967</v>
      </c>
      <c r="P891" t="s">
        <v>2310</v>
      </c>
      <c r="Q891" t="s">
        <v>3229</v>
      </c>
      <c r="R891">
        <v>38</v>
      </c>
      <c r="S891">
        <v>481197</v>
      </c>
      <c r="T891">
        <v>17967</v>
      </c>
      <c r="U891">
        <v>0</v>
      </c>
      <c r="V891">
        <v>0</v>
      </c>
      <c r="W891">
        <v>0</v>
      </c>
    </row>
    <row r="892" spans="1:23" x14ac:dyDescent="0.25">
      <c r="A892" t="s">
        <v>2311</v>
      </c>
      <c r="B892" t="s">
        <v>2312</v>
      </c>
      <c r="C892">
        <v>0</v>
      </c>
      <c r="D892">
        <v>0</v>
      </c>
      <c r="E892">
        <v>0</v>
      </c>
      <c r="F892">
        <v>625</v>
      </c>
      <c r="G892">
        <v>0</v>
      </c>
      <c r="H892">
        <v>687</v>
      </c>
      <c r="I892">
        <v>62</v>
      </c>
      <c r="J892">
        <v>9.92</v>
      </c>
      <c r="K892">
        <v>625</v>
      </c>
      <c r="L892">
        <v>0</v>
      </c>
      <c r="M892">
        <v>0</v>
      </c>
      <c r="N892">
        <v>0</v>
      </c>
      <c r="O892">
        <v>0</v>
      </c>
      <c r="R892">
        <v>5</v>
      </c>
      <c r="S892">
        <v>500</v>
      </c>
      <c r="T892">
        <v>215</v>
      </c>
      <c r="U892">
        <v>711</v>
      </c>
      <c r="V892">
        <v>500</v>
      </c>
      <c r="W892">
        <v>5</v>
      </c>
    </row>
    <row r="893" spans="1:23" x14ac:dyDescent="0.25">
      <c r="A893" t="s">
        <v>2313</v>
      </c>
      <c r="B893" t="s">
        <v>2314</v>
      </c>
      <c r="C893">
        <v>0</v>
      </c>
      <c r="D893">
        <v>0</v>
      </c>
      <c r="E893">
        <v>0</v>
      </c>
      <c r="F893">
        <v>985000</v>
      </c>
      <c r="G893">
        <v>0</v>
      </c>
      <c r="H893">
        <v>985000</v>
      </c>
      <c r="I893">
        <v>0</v>
      </c>
      <c r="J893">
        <v>0</v>
      </c>
      <c r="K893">
        <v>985000</v>
      </c>
      <c r="L893">
        <v>0</v>
      </c>
      <c r="M893">
        <v>0</v>
      </c>
      <c r="N893">
        <v>0</v>
      </c>
      <c r="O893">
        <v>0</v>
      </c>
      <c r="R893">
        <v>1</v>
      </c>
      <c r="S893">
        <v>200</v>
      </c>
      <c r="T893">
        <v>983002</v>
      </c>
      <c r="U893">
        <v>996002</v>
      </c>
      <c r="V893">
        <v>1000</v>
      </c>
      <c r="W893">
        <v>1</v>
      </c>
    </row>
    <row r="894" spans="1:23" x14ac:dyDescent="0.25">
      <c r="A894" t="s">
        <v>2315</v>
      </c>
      <c r="B894" t="s">
        <v>2316</v>
      </c>
      <c r="C894">
        <v>71</v>
      </c>
      <c r="D894">
        <v>888900</v>
      </c>
      <c r="E894">
        <v>1784444621</v>
      </c>
      <c r="F894">
        <v>2031</v>
      </c>
      <c r="G894">
        <v>2190</v>
      </c>
      <c r="H894">
        <v>1973</v>
      </c>
      <c r="I894">
        <v>-58</v>
      </c>
      <c r="J894">
        <v>-2.86</v>
      </c>
      <c r="K894">
        <v>2007</v>
      </c>
      <c r="L894">
        <v>-24</v>
      </c>
      <c r="M894">
        <v>-1.18</v>
      </c>
      <c r="N894">
        <v>1973</v>
      </c>
      <c r="O894">
        <v>2190</v>
      </c>
      <c r="R894">
        <v>1</v>
      </c>
      <c r="S894">
        <v>11920</v>
      </c>
      <c r="T894">
        <v>1979</v>
      </c>
      <c r="U894">
        <v>2000</v>
      </c>
      <c r="V894">
        <v>13</v>
      </c>
      <c r="W894">
        <v>1</v>
      </c>
    </row>
    <row r="895" spans="1:23" x14ac:dyDescent="0.25">
      <c r="A895" t="s">
        <v>2317</v>
      </c>
      <c r="B895" t="s">
        <v>2318</v>
      </c>
      <c r="C895">
        <v>1573</v>
      </c>
      <c r="D895">
        <v>14064206</v>
      </c>
      <c r="E895">
        <v>85485789233</v>
      </c>
      <c r="F895">
        <v>6070</v>
      </c>
      <c r="G895">
        <v>6050</v>
      </c>
      <c r="H895">
        <v>6030</v>
      </c>
      <c r="I895">
        <v>-40</v>
      </c>
      <c r="J895">
        <v>-0.66</v>
      </c>
      <c r="K895">
        <v>6078</v>
      </c>
      <c r="L895">
        <v>8</v>
      </c>
      <c r="M895">
        <v>0.13</v>
      </c>
      <c r="N895">
        <v>5961</v>
      </c>
      <c r="O895">
        <v>6140</v>
      </c>
      <c r="P895" t="s">
        <v>2319</v>
      </c>
      <c r="Q895" t="s">
        <v>2777</v>
      </c>
      <c r="R895">
        <v>1</v>
      </c>
      <c r="S895">
        <v>4900</v>
      </c>
      <c r="T895">
        <v>6025</v>
      </c>
      <c r="U895">
        <v>6030</v>
      </c>
      <c r="V895">
        <v>2000</v>
      </c>
      <c r="W895">
        <v>1</v>
      </c>
    </row>
    <row r="896" spans="1:23" x14ac:dyDescent="0.25">
      <c r="A896" t="s">
        <v>3230</v>
      </c>
      <c r="B896" t="s">
        <v>3231</v>
      </c>
      <c r="C896">
        <v>0</v>
      </c>
      <c r="D896">
        <v>0</v>
      </c>
      <c r="E896">
        <v>0</v>
      </c>
      <c r="F896">
        <v>139650</v>
      </c>
      <c r="G896">
        <v>0</v>
      </c>
      <c r="H896">
        <v>139650</v>
      </c>
      <c r="I896">
        <v>0</v>
      </c>
      <c r="J896">
        <v>0</v>
      </c>
      <c r="K896">
        <v>139650</v>
      </c>
      <c r="L896">
        <v>0</v>
      </c>
      <c r="M896">
        <v>0</v>
      </c>
      <c r="N896">
        <v>0</v>
      </c>
      <c r="O896">
        <v>0</v>
      </c>
      <c r="R896">
        <v>1</v>
      </c>
      <c r="S896">
        <v>7</v>
      </c>
      <c r="T896">
        <v>146632</v>
      </c>
      <c r="U896">
        <v>0</v>
      </c>
      <c r="V896">
        <v>0</v>
      </c>
      <c r="W896">
        <v>0</v>
      </c>
    </row>
    <row r="897" spans="1:23" x14ac:dyDescent="0.25">
      <c r="A897" t="s">
        <v>2778</v>
      </c>
      <c r="B897" t="s">
        <v>2779</v>
      </c>
      <c r="C897">
        <v>12</v>
      </c>
      <c r="D897">
        <v>400000</v>
      </c>
      <c r="E897">
        <v>1840000000</v>
      </c>
      <c r="F897">
        <v>2522</v>
      </c>
      <c r="G897">
        <v>4600</v>
      </c>
      <c r="H897">
        <v>4600</v>
      </c>
      <c r="I897">
        <v>2078</v>
      </c>
      <c r="J897">
        <v>82.39</v>
      </c>
      <c r="K897">
        <v>4600</v>
      </c>
      <c r="L897">
        <v>2078</v>
      </c>
      <c r="M897">
        <v>82.39</v>
      </c>
      <c r="N897">
        <v>4600</v>
      </c>
      <c r="O897">
        <v>4600</v>
      </c>
      <c r="R897">
        <v>2</v>
      </c>
      <c r="S897">
        <v>20850</v>
      </c>
      <c r="T897">
        <v>4600</v>
      </c>
      <c r="U897">
        <v>4700</v>
      </c>
      <c r="V897">
        <v>50000</v>
      </c>
      <c r="W897">
        <v>1</v>
      </c>
    </row>
    <row r="898" spans="1:23" x14ac:dyDescent="0.25">
      <c r="A898" t="s">
        <v>2320</v>
      </c>
      <c r="B898" t="s">
        <v>2321</v>
      </c>
      <c r="C898">
        <v>0</v>
      </c>
      <c r="D898">
        <v>0</v>
      </c>
      <c r="E898">
        <v>0</v>
      </c>
      <c r="F898">
        <v>1000000</v>
      </c>
      <c r="G898">
        <v>0</v>
      </c>
      <c r="H898">
        <v>1000000</v>
      </c>
      <c r="I898">
        <v>0</v>
      </c>
      <c r="J898">
        <v>0</v>
      </c>
      <c r="K898">
        <v>1000000</v>
      </c>
      <c r="L898">
        <v>0</v>
      </c>
      <c r="M898">
        <v>0</v>
      </c>
      <c r="N898">
        <v>0</v>
      </c>
      <c r="O898">
        <v>0</v>
      </c>
      <c r="R898">
        <v>1</v>
      </c>
      <c r="S898">
        <v>1000</v>
      </c>
      <c r="T898">
        <v>1000001</v>
      </c>
      <c r="U898">
        <v>0</v>
      </c>
      <c r="V898">
        <v>0</v>
      </c>
      <c r="W898">
        <v>0</v>
      </c>
    </row>
    <row r="899" spans="1:23" x14ac:dyDescent="0.25">
      <c r="A899" t="s">
        <v>2322</v>
      </c>
      <c r="B899" t="s">
        <v>2323</v>
      </c>
      <c r="C899">
        <v>404</v>
      </c>
      <c r="D899">
        <v>1996352</v>
      </c>
      <c r="E899">
        <v>17357440353</v>
      </c>
      <c r="F899">
        <v>8304</v>
      </c>
      <c r="G899">
        <v>8599</v>
      </c>
      <c r="H899">
        <v>8600</v>
      </c>
      <c r="I899">
        <v>296</v>
      </c>
      <c r="J899">
        <v>3.56</v>
      </c>
      <c r="K899">
        <v>8695</v>
      </c>
      <c r="L899">
        <v>391</v>
      </c>
      <c r="M899">
        <v>4.71</v>
      </c>
      <c r="N899">
        <v>8503</v>
      </c>
      <c r="O899">
        <v>8719</v>
      </c>
      <c r="P899" t="s">
        <v>2324</v>
      </c>
      <c r="Q899" t="s">
        <v>3232</v>
      </c>
      <c r="R899">
        <v>1</v>
      </c>
      <c r="S899">
        <v>15000</v>
      </c>
      <c r="T899">
        <v>8601</v>
      </c>
      <c r="U899">
        <v>8696</v>
      </c>
      <c r="V899">
        <v>4400</v>
      </c>
      <c r="W899">
        <v>1</v>
      </c>
    </row>
    <row r="900" spans="1:23" x14ac:dyDescent="0.25">
      <c r="A900" t="s">
        <v>2325</v>
      </c>
      <c r="B900" t="s">
        <v>2326</v>
      </c>
      <c r="C900">
        <v>302</v>
      </c>
      <c r="D900">
        <v>2941</v>
      </c>
      <c r="E900">
        <v>1247043261</v>
      </c>
      <c r="F900">
        <v>443181</v>
      </c>
      <c r="G900">
        <v>460000</v>
      </c>
      <c r="H900">
        <v>421500</v>
      </c>
      <c r="I900">
        <v>-21681</v>
      </c>
      <c r="J900">
        <v>-4.8899999999999997</v>
      </c>
      <c r="K900">
        <v>424020</v>
      </c>
      <c r="L900">
        <v>-19161</v>
      </c>
      <c r="M900">
        <v>-4.32</v>
      </c>
      <c r="N900">
        <v>421022</v>
      </c>
      <c r="O900">
        <v>460000</v>
      </c>
      <c r="R900">
        <v>0</v>
      </c>
      <c r="S900">
        <v>0</v>
      </c>
      <c r="T900">
        <v>0</v>
      </c>
      <c r="U900">
        <v>421022</v>
      </c>
      <c r="V900">
        <v>16</v>
      </c>
      <c r="W900">
        <v>5</v>
      </c>
    </row>
    <row r="901" spans="1:23" x14ac:dyDescent="0.25">
      <c r="A901" t="s">
        <v>2327</v>
      </c>
      <c r="B901" t="s">
        <v>2328</v>
      </c>
      <c r="C901">
        <v>146</v>
      </c>
      <c r="D901">
        <v>136942</v>
      </c>
      <c r="E901">
        <v>3545701479</v>
      </c>
      <c r="F901">
        <v>25007</v>
      </c>
      <c r="G901">
        <v>24202</v>
      </c>
      <c r="H901">
        <v>26690</v>
      </c>
      <c r="I901">
        <v>1683</v>
      </c>
      <c r="J901">
        <v>6.73</v>
      </c>
      <c r="K901">
        <v>25892</v>
      </c>
      <c r="L901">
        <v>885</v>
      </c>
      <c r="M901">
        <v>3.54</v>
      </c>
      <c r="N901">
        <v>24197</v>
      </c>
      <c r="O901">
        <v>26998</v>
      </c>
      <c r="P901" t="s">
        <v>2329</v>
      </c>
      <c r="Q901" t="s">
        <v>3233</v>
      </c>
      <c r="R901">
        <v>1</v>
      </c>
      <c r="S901">
        <v>300</v>
      </c>
      <c r="T901">
        <v>25908</v>
      </c>
      <c r="U901">
        <v>26689</v>
      </c>
      <c r="V901">
        <v>4350</v>
      </c>
      <c r="W901">
        <v>1</v>
      </c>
    </row>
    <row r="902" spans="1:23" x14ac:dyDescent="0.25">
      <c r="A902" t="s">
        <v>2330</v>
      </c>
      <c r="B902" t="s">
        <v>2331</v>
      </c>
      <c r="C902">
        <v>3</v>
      </c>
      <c r="D902">
        <v>338</v>
      </c>
      <c r="E902">
        <v>11457298</v>
      </c>
      <c r="F902">
        <v>33857</v>
      </c>
      <c r="G902">
        <v>33474</v>
      </c>
      <c r="H902">
        <v>34000</v>
      </c>
      <c r="I902">
        <v>143</v>
      </c>
      <c r="J902">
        <v>0.42</v>
      </c>
      <c r="K902">
        <v>33897</v>
      </c>
      <c r="L902">
        <v>40</v>
      </c>
      <c r="M902">
        <v>0.12</v>
      </c>
      <c r="N902">
        <v>33474</v>
      </c>
      <c r="O902">
        <v>34000</v>
      </c>
      <c r="R902">
        <v>1</v>
      </c>
      <c r="S902">
        <v>1224</v>
      </c>
      <c r="T902">
        <v>33241</v>
      </c>
      <c r="U902">
        <v>34000</v>
      </c>
      <c r="V902">
        <v>227</v>
      </c>
      <c r="W902">
        <v>1</v>
      </c>
    </row>
    <row r="903" spans="1:23" x14ac:dyDescent="0.25">
      <c r="A903" t="s">
        <v>2332</v>
      </c>
      <c r="B903" t="s">
        <v>2333</v>
      </c>
      <c r="C903">
        <v>839</v>
      </c>
      <c r="D903">
        <v>926903</v>
      </c>
      <c r="E903">
        <v>22133437012</v>
      </c>
      <c r="F903">
        <v>24070</v>
      </c>
      <c r="G903">
        <v>24900</v>
      </c>
      <c r="H903">
        <v>23698</v>
      </c>
      <c r="I903">
        <v>-372</v>
      </c>
      <c r="J903">
        <v>-1.55</v>
      </c>
      <c r="K903">
        <v>23879</v>
      </c>
      <c r="L903">
        <v>-191</v>
      </c>
      <c r="M903">
        <v>-0.79</v>
      </c>
      <c r="N903">
        <v>23200</v>
      </c>
      <c r="O903">
        <v>24900</v>
      </c>
      <c r="P903" t="s">
        <v>2334</v>
      </c>
      <c r="Q903" t="s">
        <v>3234</v>
      </c>
      <c r="R903">
        <v>1</v>
      </c>
      <c r="S903">
        <v>197</v>
      </c>
      <c r="T903">
        <v>23510</v>
      </c>
      <c r="U903">
        <v>23697</v>
      </c>
      <c r="V903">
        <v>2360</v>
      </c>
      <c r="W903">
        <v>1</v>
      </c>
    </row>
    <row r="904" spans="1:23" x14ac:dyDescent="0.25">
      <c r="A904" t="s">
        <v>2335</v>
      </c>
      <c r="B904" t="s">
        <v>2336</v>
      </c>
      <c r="C904">
        <v>253</v>
      </c>
      <c r="D904">
        <v>198124</v>
      </c>
      <c r="E904">
        <v>10160391304</v>
      </c>
      <c r="F904">
        <v>51343</v>
      </c>
      <c r="G904">
        <v>52199</v>
      </c>
      <c r="H904">
        <v>50200</v>
      </c>
      <c r="I904">
        <v>-1143</v>
      </c>
      <c r="J904">
        <v>-2.23</v>
      </c>
      <c r="K904">
        <v>51283</v>
      </c>
      <c r="L904">
        <v>-60</v>
      </c>
      <c r="M904">
        <v>-0.12</v>
      </c>
      <c r="N904">
        <v>49900</v>
      </c>
      <c r="O904">
        <v>52799</v>
      </c>
      <c r="P904" t="s">
        <v>2337</v>
      </c>
      <c r="Q904" t="s">
        <v>3235</v>
      </c>
      <c r="R904">
        <v>2</v>
      </c>
      <c r="S904">
        <v>1726</v>
      </c>
      <c r="T904">
        <v>50200</v>
      </c>
      <c r="U904">
        <v>51000</v>
      </c>
      <c r="V904">
        <v>4193</v>
      </c>
      <c r="W904">
        <v>2</v>
      </c>
    </row>
    <row r="905" spans="1:23" x14ac:dyDescent="0.25">
      <c r="A905" t="s">
        <v>2338</v>
      </c>
      <c r="B905" t="s">
        <v>2339</v>
      </c>
      <c r="C905">
        <v>0</v>
      </c>
      <c r="D905">
        <v>0</v>
      </c>
      <c r="E905">
        <v>0</v>
      </c>
      <c r="F905">
        <v>5172</v>
      </c>
      <c r="G905">
        <v>0</v>
      </c>
      <c r="H905">
        <v>5220</v>
      </c>
      <c r="I905">
        <v>48</v>
      </c>
      <c r="J905">
        <v>0.93</v>
      </c>
      <c r="K905">
        <v>5172</v>
      </c>
      <c r="L905">
        <v>0</v>
      </c>
      <c r="M905">
        <v>0</v>
      </c>
      <c r="N905">
        <v>0</v>
      </c>
      <c r="O905">
        <v>0</v>
      </c>
      <c r="P905" t="s">
        <v>2340</v>
      </c>
      <c r="Q905" t="s">
        <v>2780</v>
      </c>
      <c r="R905">
        <v>1</v>
      </c>
      <c r="S905">
        <v>6899</v>
      </c>
      <c r="T905">
        <v>5050</v>
      </c>
      <c r="U905">
        <v>5399</v>
      </c>
      <c r="V905">
        <v>5500</v>
      </c>
      <c r="W905">
        <v>1</v>
      </c>
    </row>
    <row r="906" spans="1:23" x14ac:dyDescent="0.25">
      <c r="A906" t="s">
        <v>2341</v>
      </c>
      <c r="B906" t="s">
        <v>2342</v>
      </c>
      <c r="C906">
        <v>246</v>
      </c>
      <c r="D906">
        <v>348668</v>
      </c>
      <c r="E906">
        <v>4114302424</v>
      </c>
      <c r="F906">
        <v>12024</v>
      </c>
      <c r="G906">
        <v>12000</v>
      </c>
      <c r="H906">
        <v>11720</v>
      </c>
      <c r="I906">
        <v>-304</v>
      </c>
      <c r="J906">
        <v>-2.5299999999999998</v>
      </c>
      <c r="K906">
        <v>11800</v>
      </c>
      <c r="L906">
        <v>-224</v>
      </c>
      <c r="M906">
        <v>-1.86</v>
      </c>
      <c r="N906">
        <v>11616</v>
      </c>
      <c r="O906">
        <v>12150</v>
      </c>
      <c r="P906" t="s">
        <v>2343</v>
      </c>
      <c r="Q906" t="s">
        <v>3236</v>
      </c>
      <c r="R906">
        <v>1</v>
      </c>
      <c r="S906">
        <v>45</v>
      </c>
      <c r="T906">
        <v>11720</v>
      </c>
      <c r="U906">
        <v>11813</v>
      </c>
      <c r="V906">
        <v>429</v>
      </c>
      <c r="W906">
        <v>2</v>
      </c>
    </row>
    <row r="907" spans="1:23" x14ac:dyDescent="0.25">
      <c r="A907" t="s">
        <v>2344</v>
      </c>
      <c r="B907" t="s">
        <v>2345</v>
      </c>
      <c r="C907">
        <v>0</v>
      </c>
      <c r="D907">
        <v>0</v>
      </c>
      <c r="E907">
        <v>0</v>
      </c>
      <c r="F907">
        <v>928000</v>
      </c>
      <c r="G907">
        <v>0</v>
      </c>
      <c r="H907">
        <v>928000</v>
      </c>
      <c r="I907">
        <v>0</v>
      </c>
      <c r="J907">
        <v>0</v>
      </c>
      <c r="K907">
        <v>928000</v>
      </c>
      <c r="L907">
        <v>0</v>
      </c>
      <c r="M907">
        <v>0</v>
      </c>
      <c r="N907">
        <v>0</v>
      </c>
      <c r="O907">
        <v>0</v>
      </c>
      <c r="R907">
        <v>2</v>
      </c>
      <c r="S907">
        <v>7125</v>
      </c>
      <c r="T907">
        <v>928000</v>
      </c>
      <c r="U907">
        <v>0</v>
      </c>
      <c r="V907">
        <v>0</v>
      </c>
      <c r="W907">
        <v>0</v>
      </c>
    </row>
    <row r="908" spans="1:23" x14ac:dyDescent="0.25">
      <c r="A908" t="s">
        <v>2346</v>
      </c>
      <c r="B908" t="s">
        <v>2347</v>
      </c>
      <c r="C908">
        <v>947</v>
      </c>
      <c r="D908">
        <v>1904062</v>
      </c>
      <c r="E908">
        <v>15453300068</v>
      </c>
      <c r="F908">
        <v>7931</v>
      </c>
      <c r="G908">
        <v>8280</v>
      </c>
      <c r="H908">
        <v>8100</v>
      </c>
      <c r="I908">
        <v>169</v>
      </c>
      <c r="J908">
        <v>2.13</v>
      </c>
      <c r="K908">
        <v>8116</v>
      </c>
      <c r="L908">
        <v>185</v>
      </c>
      <c r="M908">
        <v>2.33</v>
      </c>
      <c r="N908">
        <v>7931</v>
      </c>
      <c r="O908">
        <v>8280</v>
      </c>
      <c r="P908" t="s">
        <v>2348</v>
      </c>
      <c r="Q908" t="s">
        <v>3237</v>
      </c>
      <c r="R908">
        <v>1</v>
      </c>
      <c r="S908">
        <v>614</v>
      </c>
      <c r="T908">
        <v>8096</v>
      </c>
      <c r="U908">
        <v>8100</v>
      </c>
      <c r="V908">
        <v>20690</v>
      </c>
      <c r="W908">
        <v>3</v>
      </c>
    </row>
    <row r="909" spans="1:23" x14ac:dyDescent="0.25">
      <c r="A909" t="s">
        <v>2349</v>
      </c>
      <c r="B909" t="s">
        <v>2350</v>
      </c>
      <c r="C909">
        <v>659</v>
      </c>
      <c r="D909">
        <v>4320085</v>
      </c>
      <c r="E909">
        <v>41284329352</v>
      </c>
      <c r="F909">
        <v>9202</v>
      </c>
      <c r="G909">
        <v>9319</v>
      </c>
      <c r="H909">
        <v>9662</v>
      </c>
      <c r="I909">
        <v>460</v>
      </c>
      <c r="J909">
        <v>5</v>
      </c>
      <c r="K909">
        <v>9556</v>
      </c>
      <c r="L909">
        <v>354</v>
      </c>
      <c r="M909">
        <v>3.85</v>
      </c>
      <c r="N909">
        <v>9319</v>
      </c>
      <c r="O909">
        <v>9662</v>
      </c>
      <c r="P909" t="s">
        <v>2351</v>
      </c>
      <c r="Q909" t="s">
        <v>3238</v>
      </c>
      <c r="R909">
        <v>91</v>
      </c>
      <c r="S909">
        <v>762787</v>
      </c>
      <c r="T909">
        <v>9662</v>
      </c>
      <c r="U909">
        <v>9683</v>
      </c>
      <c r="V909">
        <v>700</v>
      </c>
      <c r="W909">
        <v>2</v>
      </c>
    </row>
    <row r="910" spans="1:23" x14ac:dyDescent="0.25">
      <c r="A910" t="s">
        <v>2352</v>
      </c>
      <c r="B910" t="s">
        <v>2353</v>
      </c>
      <c r="C910">
        <v>0</v>
      </c>
      <c r="D910">
        <v>0</v>
      </c>
      <c r="E910">
        <v>0</v>
      </c>
      <c r="F910">
        <v>2763</v>
      </c>
      <c r="G910">
        <v>0</v>
      </c>
      <c r="H910">
        <v>2799</v>
      </c>
      <c r="I910">
        <v>36</v>
      </c>
      <c r="J910">
        <v>1.3</v>
      </c>
      <c r="K910">
        <v>2763</v>
      </c>
      <c r="L910">
        <v>0</v>
      </c>
      <c r="M910">
        <v>0</v>
      </c>
      <c r="N910">
        <v>0</v>
      </c>
      <c r="O910">
        <v>0</v>
      </c>
      <c r="P910" t="s">
        <v>2354</v>
      </c>
      <c r="Q910" t="s">
        <v>2781</v>
      </c>
      <c r="R910">
        <v>1</v>
      </c>
      <c r="S910">
        <v>10000</v>
      </c>
      <c r="T910">
        <v>2555</v>
      </c>
      <c r="U910">
        <v>2800</v>
      </c>
      <c r="V910">
        <v>415</v>
      </c>
      <c r="W910">
        <v>1</v>
      </c>
    </row>
    <row r="911" spans="1:23" x14ac:dyDescent="0.25">
      <c r="A911" t="s">
        <v>2782</v>
      </c>
      <c r="B911" t="s">
        <v>2783</v>
      </c>
      <c r="C911">
        <v>0</v>
      </c>
      <c r="D911">
        <v>0</v>
      </c>
      <c r="E911">
        <v>0</v>
      </c>
      <c r="F911">
        <v>1</v>
      </c>
      <c r="G911">
        <v>0</v>
      </c>
      <c r="H911">
        <v>1</v>
      </c>
      <c r="I911">
        <v>0</v>
      </c>
      <c r="J911">
        <v>0</v>
      </c>
      <c r="K911">
        <v>1</v>
      </c>
      <c r="L911">
        <v>0</v>
      </c>
      <c r="M911">
        <v>0</v>
      </c>
      <c r="N911">
        <v>0</v>
      </c>
      <c r="O911">
        <v>0</v>
      </c>
      <c r="R911">
        <v>2</v>
      </c>
      <c r="S911">
        <v>20000</v>
      </c>
      <c r="T911">
        <v>1</v>
      </c>
      <c r="U911">
        <v>0</v>
      </c>
      <c r="V911">
        <v>0</v>
      </c>
      <c r="W911">
        <v>0</v>
      </c>
    </row>
    <row r="912" spans="1:23" x14ac:dyDescent="0.25">
      <c r="A912" t="s">
        <v>2355</v>
      </c>
      <c r="B912" t="s">
        <v>2356</v>
      </c>
      <c r="C912">
        <v>99</v>
      </c>
      <c r="D912">
        <v>170220</v>
      </c>
      <c r="E912">
        <v>3548576340</v>
      </c>
      <c r="F912">
        <v>19855</v>
      </c>
      <c r="G912">
        <v>20847</v>
      </c>
      <c r="H912">
        <v>20847</v>
      </c>
      <c r="I912">
        <v>992</v>
      </c>
      <c r="J912">
        <v>5</v>
      </c>
      <c r="K912">
        <v>20847</v>
      </c>
      <c r="L912">
        <v>992</v>
      </c>
      <c r="M912">
        <v>5</v>
      </c>
      <c r="N912">
        <v>20847</v>
      </c>
      <c r="O912">
        <v>20847</v>
      </c>
      <c r="P912" t="s">
        <v>2357</v>
      </c>
      <c r="Q912" t="s">
        <v>3239</v>
      </c>
      <c r="R912">
        <v>181</v>
      </c>
      <c r="S912">
        <v>3220148</v>
      </c>
      <c r="T912">
        <v>20847</v>
      </c>
      <c r="U912">
        <v>0</v>
      </c>
      <c r="V912">
        <v>0</v>
      </c>
      <c r="W912">
        <v>0</v>
      </c>
    </row>
    <row r="913" spans="1:23" x14ac:dyDescent="0.25">
      <c r="A913" t="s">
        <v>2358</v>
      </c>
      <c r="B913" t="s">
        <v>2359</v>
      </c>
      <c r="C913">
        <v>0</v>
      </c>
      <c r="D913">
        <v>0</v>
      </c>
      <c r="E913">
        <v>0</v>
      </c>
      <c r="F913">
        <v>1</v>
      </c>
      <c r="G913">
        <v>0</v>
      </c>
      <c r="H913">
        <v>1</v>
      </c>
      <c r="I913">
        <v>0</v>
      </c>
      <c r="J913">
        <v>0</v>
      </c>
      <c r="K913">
        <v>1</v>
      </c>
      <c r="L913">
        <v>0</v>
      </c>
      <c r="M913">
        <v>0</v>
      </c>
      <c r="N913">
        <v>0</v>
      </c>
      <c r="O913">
        <v>0</v>
      </c>
      <c r="R913">
        <v>1</v>
      </c>
      <c r="S913">
        <v>1</v>
      </c>
      <c r="T913">
        <v>1</v>
      </c>
      <c r="U913">
        <v>0</v>
      </c>
      <c r="V913">
        <v>0</v>
      </c>
      <c r="W913">
        <v>0</v>
      </c>
    </row>
    <row r="914" spans="1:23" x14ac:dyDescent="0.25">
      <c r="A914" t="s">
        <v>2360</v>
      </c>
      <c r="B914" t="s">
        <v>2361</v>
      </c>
      <c r="C914">
        <v>4</v>
      </c>
      <c r="D914">
        <v>2043</v>
      </c>
      <c r="E914">
        <v>59788195</v>
      </c>
      <c r="F914">
        <v>28769</v>
      </c>
      <c r="G914">
        <v>29265</v>
      </c>
      <c r="H914">
        <v>29264</v>
      </c>
      <c r="I914">
        <v>495</v>
      </c>
      <c r="J914">
        <v>1.72</v>
      </c>
      <c r="K914">
        <v>29265</v>
      </c>
      <c r="L914">
        <v>496</v>
      </c>
      <c r="M914">
        <v>1.72</v>
      </c>
      <c r="N914">
        <v>29264</v>
      </c>
      <c r="O914">
        <v>29265</v>
      </c>
      <c r="R914">
        <v>1</v>
      </c>
      <c r="S914">
        <v>682</v>
      </c>
      <c r="T914">
        <v>29320</v>
      </c>
      <c r="U914">
        <v>29571</v>
      </c>
      <c r="V914">
        <v>3420</v>
      </c>
      <c r="W914">
        <v>1</v>
      </c>
    </row>
    <row r="915" spans="1:23" x14ac:dyDescent="0.25">
      <c r="A915" t="s">
        <v>2362</v>
      </c>
      <c r="B915" t="s">
        <v>2363</v>
      </c>
      <c r="C915">
        <v>637</v>
      </c>
      <c r="D915">
        <v>1934482</v>
      </c>
      <c r="E915">
        <v>23382170697</v>
      </c>
      <c r="F915">
        <v>12035</v>
      </c>
      <c r="G915">
        <v>12100</v>
      </c>
      <c r="H915">
        <v>12068</v>
      </c>
      <c r="I915">
        <v>33</v>
      </c>
      <c r="J915">
        <v>0.27</v>
      </c>
      <c r="K915">
        <v>12087</v>
      </c>
      <c r="L915">
        <v>52</v>
      </c>
      <c r="M915">
        <v>0.43</v>
      </c>
      <c r="N915">
        <v>12000</v>
      </c>
      <c r="O915">
        <v>12221</v>
      </c>
      <c r="P915" t="s">
        <v>2364</v>
      </c>
      <c r="Q915" t="s">
        <v>3240</v>
      </c>
      <c r="R915">
        <v>1</v>
      </c>
      <c r="S915">
        <v>1000</v>
      </c>
      <c r="T915">
        <v>12062</v>
      </c>
      <c r="U915">
        <v>12068</v>
      </c>
      <c r="V915">
        <v>1</v>
      </c>
      <c r="W915">
        <v>1</v>
      </c>
    </row>
    <row r="916" spans="1:23" x14ac:dyDescent="0.25">
      <c r="A916" t="s">
        <v>2365</v>
      </c>
      <c r="B916" t="s">
        <v>2366</v>
      </c>
      <c r="C916">
        <v>1519</v>
      </c>
      <c r="D916">
        <v>7732688</v>
      </c>
      <c r="E916">
        <v>85629514314</v>
      </c>
      <c r="F916">
        <v>10099</v>
      </c>
      <c r="G916">
        <v>10603</v>
      </c>
      <c r="H916">
        <v>10970</v>
      </c>
      <c r="I916">
        <v>871</v>
      </c>
      <c r="J916">
        <v>8.6199999999999992</v>
      </c>
      <c r="K916">
        <v>11074</v>
      </c>
      <c r="L916">
        <v>975</v>
      </c>
      <c r="M916">
        <v>9.65</v>
      </c>
      <c r="N916">
        <v>10603</v>
      </c>
      <c r="O916">
        <v>11133</v>
      </c>
      <c r="P916" t="s">
        <v>2367</v>
      </c>
      <c r="Q916" t="s">
        <v>2924</v>
      </c>
      <c r="R916">
        <v>2</v>
      </c>
      <c r="S916">
        <v>10724</v>
      </c>
      <c r="T916">
        <v>11000</v>
      </c>
      <c r="U916">
        <v>11070</v>
      </c>
      <c r="V916">
        <v>1500</v>
      </c>
      <c r="W916">
        <v>2</v>
      </c>
    </row>
    <row r="917" spans="1:23" x14ac:dyDescent="0.25">
      <c r="A917" t="s">
        <v>2368</v>
      </c>
      <c r="B917" t="s">
        <v>2369</v>
      </c>
      <c r="C917">
        <v>292</v>
      </c>
      <c r="D917">
        <v>1722320</v>
      </c>
      <c r="E917">
        <v>44567928880</v>
      </c>
      <c r="F917">
        <v>25882</v>
      </c>
      <c r="G917">
        <v>25900</v>
      </c>
      <c r="H917">
        <v>25887</v>
      </c>
      <c r="I917">
        <v>5</v>
      </c>
      <c r="J917">
        <v>0.02</v>
      </c>
      <c r="K917">
        <v>25877</v>
      </c>
      <c r="L917">
        <v>-5</v>
      </c>
      <c r="M917">
        <v>-0.02</v>
      </c>
      <c r="N917">
        <v>25861</v>
      </c>
      <c r="O917">
        <v>25900</v>
      </c>
      <c r="R917">
        <v>1</v>
      </c>
      <c r="S917">
        <v>47000</v>
      </c>
      <c r="T917">
        <v>25885</v>
      </c>
      <c r="U917">
        <v>25887</v>
      </c>
      <c r="V917">
        <v>57080</v>
      </c>
      <c r="W917">
        <v>5</v>
      </c>
    </row>
    <row r="918" spans="1:23" x14ac:dyDescent="0.25">
      <c r="A918" t="s">
        <v>2370</v>
      </c>
      <c r="B918" t="s">
        <v>2371</v>
      </c>
      <c r="C918">
        <v>0</v>
      </c>
      <c r="D918">
        <v>0</v>
      </c>
      <c r="E918">
        <v>0</v>
      </c>
      <c r="F918">
        <v>10</v>
      </c>
      <c r="G918">
        <v>0</v>
      </c>
      <c r="H918">
        <v>10</v>
      </c>
      <c r="I918">
        <v>0</v>
      </c>
      <c r="J918">
        <v>0</v>
      </c>
      <c r="K918">
        <v>10</v>
      </c>
      <c r="L918">
        <v>0</v>
      </c>
      <c r="M918">
        <v>0</v>
      </c>
      <c r="N918">
        <v>0</v>
      </c>
      <c r="O918">
        <v>0</v>
      </c>
      <c r="R918">
        <v>5</v>
      </c>
      <c r="S918">
        <v>500</v>
      </c>
      <c r="T918">
        <v>3</v>
      </c>
      <c r="U918">
        <v>12</v>
      </c>
      <c r="V918">
        <v>110</v>
      </c>
      <c r="W918">
        <v>2</v>
      </c>
    </row>
    <row r="919" spans="1:23" x14ac:dyDescent="0.25">
      <c r="A919" t="s">
        <v>2372</v>
      </c>
      <c r="B919" t="s">
        <v>2373</v>
      </c>
      <c r="C919">
        <v>348</v>
      </c>
      <c r="D919">
        <v>2436489</v>
      </c>
      <c r="E919">
        <v>27856378737</v>
      </c>
      <c r="F919">
        <v>10394</v>
      </c>
      <c r="G919">
        <v>11433</v>
      </c>
      <c r="H919">
        <v>11433</v>
      </c>
      <c r="I919">
        <v>1039</v>
      </c>
      <c r="J919">
        <v>10</v>
      </c>
      <c r="K919">
        <v>11433</v>
      </c>
      <c r="L919">
        <v>1039</v>
      </c>
      <c r="M919">
        <v>10</v>
      </c>
      <c r="N919">
        <v>11433</v>
      </c>
      <c r="O919">
        <v>11433</v>
      </c>
      <c r="P919" t="s">
        <v>2374</v>
      </c>
      <c r="Q919" t="s">
        <v>3241</v>
      </c>
      <c r="R919">
        <v>284</v>
      </c>
      <c r="S919">
        <v>2320049</v>
      </c>
      <c r="T919">
        <v>11433</v>
      </c>
      <c r="U919">
        <v>0</v>
      </c>
      <c r="V919">
        <v>0</v>
      </c>
      <c r="W919">
        <v>0</v>
      </c>
    </row>
    <row r="920" spans="1:23" x14ac:dyDescent="0.25">
      <c r="A920" t="s">
        <v>2375</v>
      </c>
      <c r="B920" t="s">
        <v>1247</v>
      </c>
      <c r="C920">
        <v>0</v>
      </c>
      <c r="D920">
        <v>0</v>
      </c>
      <c r="E920">
        <v>0</v>
      </c>
      <c r="F920">
        <v>1000000</v>
      </c>
      <c r="G920">
        <v>0</v>
      </c>
      <c r="H920">
        <v>1000000</v>
      </c>
      <c r="I920">
        <v>0</v>
      </c>
      <c r="J920">
        <v>0</v>
      </c>
      <c r="K920">
        <v>1000000</v>
      </c>
      <c r="L920">
        <v>0</v>
      </c>
      <c r="M920">
        <v>0</v>
      </c>
      <c r="N920">
        <v>0</v>
      </c>
      <c r="O920">
        <v>0</v>
      </c>
      <c r="R920">
        <v>1</v>
      </c>
      <c r="S920">
        <v>3000</v>
      </c>
      <c r="T920">
        <v>1000000</v>
      </c>
      <c r="U920">
        <v>0</v>
      </c>
      <c r="V920">
        <v>0</v>
      </c>
      <c r="W920">
        <v>0</v>
      </c>
    </row>
    <row r="921" spans="1:23" x14ac:dyDescent="0.25">
      <c r="A921" t="s">
        <v>2376</v>
      </c>
      <c r="B921" t="s">
        <v>2377</v>
      </c>
      <c r="C921">
        <v>31</v>
      </c>
      <c r="D921">
        <v>48402</v>
      </c>
      <c r="E921">
        <v>1513000925</v>
      </c>
      <c r="F921">
        <v>29777</v>
      </c>
      <c r="G921">
        <v>30450</v>
      </c>
      <c r="H921">
        <v>31265</v>
      </c>
      <c r="I921">
        <v>1488</v>
      </c>
      <c r="J921">
        <v>5</v>
      </c>
      <c r="K921">
        <v>30674</v>
      </c>
      <c r="L921">
        <v>897</v>
      </c>
      <c r="M921">
        <v>3.01</v>
      </c>
      <c r="N921">
        <v>30450</v>
      </c>
      <c r="O921">
        <v>31265</v>
      </c>
      <c r="P921" t="s">
        <v>2378</v>
      </c>
      <c r="Q921" t="s">
        <v>3242</v>
      </c>
      <c r="R921">
        <v>1</v>
      </c>
      <c r="S921">
        <v>10000</v>
      </c>
      <c r="T921">
        <v>31265</v>
      </c>
      <c r="U921">
        <v>0</v>
      </c>
      <c r="V921">
        <v>0</v>
      </c>
      <c r="W921">
        <v>0</v>
      </c>
    </row>
    <row r="922" spans="1:23" x14ac:dyDescent="0.25">
      <c r="A922" t="s">
        <v>2379</v>
      </c>
      <c r="B922" t="s">
        <v>2380</v>
      </c>
      <c r="C922">
        <v>1632</v>
      </c>
      <c r="D922">
        <v>35185309</v>
      </c>
      <c r="E922">
        <v>314666876211</v>
      </c>
      <c r="F922">
        <v>8520</v>
      </c>
      <c r="G922">
        <v>8946</v>
      </c>
      <c r="H922">
        <v>8946</v>
      </c>
      <c r="I922">
        <v>426</v>
      </c>
      <c r="J922">
        <v>5</v>
      </c>
      <c r="K922">
        <v>8943</v>
      </c>
      <c r="L922">
        <v>423</v>
      </c>
      <c r="M922">
        <v>4.96</v>
      </c>
      <c r="N922">
        <v>8800</v>
      </c>
      <c r="O922">
        <v>8946</v>
      </c>
      <c r="P922" t="s">
        <v>1234</v>
      </c>
      <c r="Q922" t="s">
        <v>3243</v>
      </c>
      <c r="R922">
        <v>154</v>
      </c>
      <c r="S922">
        <v>5459790</v>
      </c>
      <c r="T922">
        <v>8946</v>
      </c>
      <c r="U922">
        <v>13000</v>
      </c>
      <c r="V922">
        <v>12849</v>
      </c>
      <c r="W922">
        <v>2</v>
      </c>
    </row>
    <row r="923" spans="1:23" x14ac:dyDescent="0.25">
      <c r="A923" t="s">
        <v>2381</v>
      </c>
      <c r="B923" t="s">
        <v>2382</v>
      </c>
      <c r="C923">
        <v>475</v>
      </c>
      <c r="D923">
        <v>1309037</v>
      </c>
      <c r="E923">
        <v>22360668352</v>
      </c>
      <c r="F923">
        <v>16420</v>
      </c>
      <c r="G923">
        <v>16998</v>
      </c>
      <c r="H923">
        <v>17241</v>
      </c>
      <c r="I923">
        <v>821</v>
      </c>
      <c r="J923">
        <v>5</v>
      </c>
      <c r="K923">
        <v>17082</v>
      </c>
      <c r="L923">
        <v>662</v>
      </c>
      <c r="M923">
        <v>4.03</v>
      </c>
      <c r="N923">
        <v>16455</v>
      </c>
      <c r="O923">
        <v>17241</v>
      </c>
      <c r="P923" t="s">
        <v>2383</v>
      </c>
      <c r="Q923" t="s">
        <v>3244</v>
      </c>
      <c r="R923">
        <v>20</v>
      </c>
      <c r="S923">
        <v>101563</v>
      </c>
      <c r="T923">
        <v>17241</v>
      </c>
      <c r="U923">
        <v>18800</v>
      </c>
      <c r="V923">
        <v>60</v>
      </c>
      <c r="W923">
        <v>1</v>
      </c>
    </row>
    <row r="924" spans="1:23" x14ac:dyDescent="0.25">
      <c r="A924" t="s">
        <v>2384</v>
      </c>
      <c r="B924" t="s">
        <v>2385</v>
      </c>
      <c r="C924">
        <v>489</v>
      </c>
      <c r="D924">
        <v>1771884</v>
      </c>
      <c r="E924">
        <v>15539006933</v>
      </c>
      <c r="F924">
        <v>8405</v>
      </c>
      <c r="G924">
        <v>8800</v>
      </c>
      <c r="H924">
        <v>8825</v>
      </c>
      <c r="I924">
        <v>420</v>
      </c>
      <c r="J924">
        <v>5</v>
      </c>
      <c r="K924">
        <v>8770</v>
      </c>
      <c r="L924">
        <v>365</v>
      </c>
      <c r="M924">
        <v>4.34</v>
      </c>
      <c r="N924">
        <v>8611</v>
      </c>
      <c r="O924">
        <v>8825</v>
      </c>
      <c r="P924" t="s">
        <v>2784</v>
      </c>
      <c r="Q924" t="s">
        <v>3245</v>
      </c>
      <c r="R924">
        <v>12</v>
      </c>
      <c r="S924">
        <v>62076</v>
      </c>
      <c r="T924">
        <v>8825</v>
      </c>
      <c r="U924">
        <v>8881</v>
      </c>
      <c r="V924">
        <v>3120</v>
      </c>
      <c r="W924">
        <v>5</v>
      </c>
    </row>
    <row r="925" spans="1:23" x14ac:dyDescent="0.25">
      <c r="A925" t="s">
        <v>2386</v>
      </c>
      <c r="B925" t="s">
        <v>2387</v>
      </c>
      <c r="C925">
        <v>7</v>
      </c>
      <c r="D925">
        <v>10528</v>
      </c>
      <c r="E925">
        <v>8048133017</v>
      </c>
      <c r="F925">
        <v>761387</v>
      </c>
      <c r="G925">
        <v>761889</v>
      </c>
      <c r="H925">
        <v>763900</v>
      </c>
      <c r="I925">
        <v>2513</v>
      </c>
      <c r="J925">
        <v>0.33</v>
      </c>
      <c r="K925">
        <v>764450</v>
      </c>
      <c r="L925">
        <v>3063</v>
      </c>
      <c r="M925">
        <v>0.4</v>
      </c>
      <c r="N925">
        <v>761889</v>
      </c>
      <c r="O925">
        <v>764497</v>
      </c>
      <c r="R925">
        <v>1</v>
      </c>
      <c r="S925">
        <v>3500</v>
      </c>
      <c r="T925">
        <v>762002</v>
      </c>
      <c r="U925">
        <v>764000</v>
      </c>
      <c r="V925">
        <v>10200</v>
      </c>
      <c r="W925">
        <v>2</v>
      </c>
    </row>
    <row r="926" spans="1:23" x14ac:dyDescent="0.25">
      <c r="A926" t="s">
        <v>2388</v>
      </c>
      <c r="B926" t="s">
        <v>2389</v>
      </c>
      <c r="C926">
        <v>350</v>
      </c>
      <c r="D926">
        <v>1422660</v>
      </c>
      <c r="E926">
        <v>7782504266</v>
      </c>
      <c r="F926">
        <v>5297</v>
      </c>
      <c r="G926">
        <v>5544</v>
      </c>
      <c r="H926">
        <v>5360</v>
      </c>
      <c r="I926">
        <v>63</v>
      </c>
      <c r="J926">
        <v>1.19</v>
      </c>
      <c r="K926">
        <v>5470</v>
      </c>
      <c r="L926">
        <v>173</v>
      </c>
      <c r="M926">
        <v>3.27</v>
      </c>
      <c r="N926">
        <v>5313</v>
      </c>
      <c r="O926">
        <v>5559</v>
      </c>
      <c r="P926" t="s">
        <v>685</v>
      </c>
      <c r="Q926" t="s">
        <v>3246</v>
      </c>
      <c r="R926">
        <v>1</v>
      </c>
      <c r="S926">
        <v>9302</v>
      </c>
      <c r="T926">
        <v>5350</v>
      </c>
      <c r="U926">
        <v>5360</v>
      </c>
      <c r="V926">
        <v>29</v>
      </c>
      <c r="W926">
        <v>1</v>
      </c>
    </row>
    <row r="927" spans="1:23" x14ac:dyDescent="0.25">
      <c r="A927" t="s">
        <v>2390</v>
      </c>
      <c r="B927" t="s">
        <v>2391</v>
      </c>
      <c r="C927">
        <v>0</v>
      </c>
      <c r="D927">
        <v>0</v>
      </c>
      <c r="E927">
        <v>0</v>
      </c>
      <c r="F927">
        <v>1</v>
      </c>
      <c r="G927">
        <v>0</v>
      </c>
      <c r="H927">
        <v>1</v>
      </c>
      <c r="I927">
        <v>0</v>
      </c>
      <c r="J927">
        <v>0</v>
      </c>
      <c r="K927">
        <v>1</v>
      </c>
      <c r="L927">
        <v>0</v>
      </c>
      <c r="M927">
        <v>0</v>
      </c>
      <c r="N927">
        <v>0</v>
      </c>
      <c r="O927">
        <v>0</v>
      </c>
      <c r="R927">
        <v>2</v>
      </c>
      <c r="S927">
        <v>200</v>
      </c>
      <c r="T927">
        <v>21</v>
      </c>
      <c r="U927">
        <v>0</v>
      </c>
      <c r="V927">
        <v>0</v>
      </c>
      <c r="W927">
        <v>0</v>
      </c>
    </row>
    <row r="928" spans="1:23" x14ac:dyDescent="0.25">
      <c r="A928" t="s">
        <v>2392</v>
      </c>
      <c r="B928" t="s">
        <v>2393</v>
      </c>
      <c r="C928">
        <v>0</v>
      </c>
      <c r="D928">
        <v>0</v>
      </c>
      <c r="E928">
        <v>0</v>
      </c>
      <c r="F928">
        <v>1</v>
      </c>
      <c r="G928">
        <v>0</v>
      </c>
      <c r="H928">
        <v>1</v>
      </c>
      <c r="I928">
        <v>0</v>
      </c>
      <c r="J928">
        <v>0</v>
      </c>
      <c r="K928">
        <v>1</v>
      </c>
      <c r="L928">
        <v>0</v>
      </c>
      <c r="M928">
        <v>0</v>
      </c>
      <c r="N928">
        <v>0</v>
      </c>
      <c r="O928">
        <v>0</v>
      </c>
      <c r="R928">
        <v>0</v>
      </c>
      <c r="S928">
        <v>0</v>
      </c>
      <c r="T928">
        <v>0</v>
      </c>
      <c r="U928">
        <v>1088</v>
      </c>
      <c r="V928">
        <v>2000</v>
      </c>
      <c r="W928">
        <v>20</v>
      </c>
    </row>
    <row r="929" spans="1:23" x14ac:dyDescent="0.25">
      <c r="A929" t="s">
        <v>2394</v>
      </c>
      <c r="B929" t="s">
        <v>2395</v>
      </c>
      <c r="C929">
        <v>536</v>
      </c>
      <c r="D929">
        <v>1254588</v>
      </c>
      <c r="E929">
        <v>24561385957</v>
      </c>
      <c r="F929">
        <v>20253</v>
      </c>
      <c r="G929">
        <v>20050</v>
      </c>
      <c r="H929">
        <v>19401</v>
      </c>
      <c r="I929">
        <v>-852</v>
      </c>
      <c r="J929">
        <v>-4.21</v>
      </c>
      <c r="K929">
        <v>19577</v>
      </c>
      <c r="L929">
        <v>-676</v>
      </c>
      <c r="M929">
        <v>-3.34</v>
      </c>
      <c r="N929">
        <v>19241</v>
      </c>
      <c r="O929">
        <v>20980</v>
      </c>
      <c r="P929" t="s">
        <v>1301</v>
      </c>
      <c r="Q929" t="s">
        <v>3247</v>
      </c>
      <c r="R929">
        <v>1</v>
      </c>
      <c r="S929">
        <v>10000</v>
      </c>
      <c r="T929">
        <v>19354</v>
      </c>
      <c r="U929">
        <v>19400</v>
      </c>
      <c r="V929">
        <v>1534</v>
      </c>
      <c r="W929">
        <v>1</v>
      </c>
    </row>
    <row r="930" spans="1:23" x14ac:dyDescent="0.25">
      <c r="A930" t="s">
        <v>2396</v>
      </c>
      <c r="B930" t="s">
        <v>2397</v>
      </c>
      <c r="C930">
        <v>40</v>
      </c>
      <c r="D930">
        <v>183970</v>
      </c>
      <c r="E930">
        <v>3263627800</v>
      </c>
      <c r="F930">
        <v>16896</v>
      </c>
      <c r="G930">
        <v>17740</v>
      </c>
      <c r="H930">
        <v>17740</v>
      </c>
      <c r="I930">
        <v>844</v>
      </c>
      <c r="J930">
        <v>5</v>
      </c>
      <c r="K930">
        <v>17414</v>
      </c>
      <c r="L930">
        <v>518</v>
      </c>
      <c r="M930">
        <v>3.07</v>
      </c>
      <c r="N930">
        <v>17740</v>
      </c>
      <c r="O930">
        <v>17740</v>
      </c>
      <c r="P930" t="s">
        <v>1487</v>
      </c>
      <c r="Q930" t="s">
        <v>2813</v>
      </c>
      <c r="R930">
        <v>127</v>
      </c>
      <c r="S930">
        <v>1137027</v>
      </c>
      <c r="T930">
        <v>17740</v>
      </c>
      <c r="U930">
        <v>0</v>
      </c>
      <c r="V930">
        <v>0</v>
      </c>
      <c r="W930">
        <v>0</v>
      </c>
    </row>
    <row r="931" spans="1:23" x14ac:dyDescent="0.25">
      <c r="A931" t="s">
        <v>2398</v>
      </c>
      <c r="B931" t="s">
        <v>2399</v>
      </c>
      <c r="C931">
        <v>0</v>
      </c>
      <c r="D931">
        <v>0</v>
      </c>
      <c r="E931">
        <v>0</v>
      </c>
      <c r="F931">
        <v>995000</v>
      </c>
      <c r="G931">
        <v>0</v>
      </c>
      <c r="H931">
        <v>995000</v>
      </c>
      <c r="I931">
        <v>0</v>
      </c>
      <c r="J931">
        <v>0</v>
      </c>
      <c r="K931">
        <v>995000</v>
      </c>
      <c r="L931">
        <v>0</v>
      </c>
      <c r="M931">
        <v>0</v>
      </c>
      <c r="N931">
        <v>0</v>
      </c>
      <c r="O931">
        <v>0</v>
      </c>
      <c r="R931">
        <v>1</v>
      </c>
      <c r="S931">
        <v>9000</v>
      </c>
      <c r="T931">
        <v>990000</v>
      </c>
      <c r="U931">
        <v>1000000</v>
      </c>
      <c r="V931">
        <v>9000</v>
      </c>
      <c r="W931">
        <v>1</v>
      </c>
    </row>
    <row r="932" spans="1:23" x14ac:dyDescent="0.25">
      <c r="A932" t="s">
        <v>2400</v>
      </c>
      <c r="B932" t="s">
        <v>2401</v>
      </c>
      <c r="C932">
        <v>1824</v>
      </c>
      <c r="D932">
        <v>18893273</v>
      </c>
      <c r="E932">
        <v>55000849193</v>
      </c>
      <c r="F932">
        <v>2856</v>
      </c>
      <c r="G932">
        <v>2940</v>
      </c>
      <c r="H932">
        <v>2822</v>
      </c>
      <c r="I932">
        <v>-34</v>
      </c>
      <c r="J932">
        <v>-1.19</v>
      </c>
      <c r="K932">
        <v>2911</v>
      </c>
      <c r="L932">
        <v>55</v>
      </c>
      <c r="M932">
        <v>1.93</v>
      </c>
      <c r="N932">
        <v>2801</v>
      </c>
      <c r="O932">
        <v>2969</v>
      </c>
      <c r="P932" t="s">
        <v>2351</v>
      </c>
      <c r="Q932" t="s">
        <v>3248</v>
      </c>
      <c r="R932">
        <v>6</v>
      </c>
      <c r="S932">
        <v>52177</v>
      </c>
      <c r="T932">
        <v>2822</v>
      </c>
      <c r="U932">
        <v>2823</v>
      </c>
      <c r="V932">
        <v>79252</v>
      </c>
      <c r="W932">
        <v>2</v>
      </c>
    </row>
    <row r="933" spans="1:23" x14ac:dyDescent="0.25">
      <c r="A933" t="s">
        <v>2402</v>
      </c>
      <c r="B933" t="s">
        <v>2403</v>
      </c>
      <c r="C933">
        <v>7</v>
      </c>
      <c r="D933">
        <v>424</v>
      </c>
      <c r="E933">
        <v>13149796</v>
      </c>
      <c r="F933">
        <v>30982</v>
      </c>
      <c r="G933">
        <v>31092</v>
      </c>
      <c r="H933">
        <v>31000</v>
      </c>
      <c r="I933">
        <v>18</v>
      </c>
      <c r="J933">
        <v>0.06</v>
      </c>
      <c r="K933">
        <v>31014</v>
      </c>
      <c r="L933">
        <v>32</v>
      </c>
      <c r="M933">
        <v>0.1</v>
      </c>
      <c r="N933">
        <v>31000</v>
      </c>
      <c r="O933">
        <v>31092</v>
      </c>
      <c r="R933">
        <v>1</v>
      </c>
      <c r="S933">
        <v>49</v>
      </c>
      <c r="T933">
        <v>31000</v>
      </c>
      <c r="U933">
        <v>31090</v>
      </c>
      <c r="V933">
        <v>640</v>
      </c>
      <c r="W933">
        <v>3</v>
      </c>
    </row>
    <row r="934" spans="1:23" x14ac:dyDescent="0.25">
      <c r="A934" t="s">
        <v>2404</v>
      </c>
      <c r="B934" t="s">
        <v>2405</v>
      </c>
      <c r="C934">
        <v>0</v>
      </c>
      <c r="D934">
        <v>0</v>
      </c>
      <c r="E934">
        <v>0</v>
      </c>
      <c r="F934">
        <v>199</v>
      </c>
      <c r="G934">
        <v>0</v>
      </c>
      <c r="H934">
        <v>199</v>
      </c>
      <c r="I934">
        <v>0</v>
      </c>
      <c r="J934">
        <v>0</v>
      </c>
      <c r="K934">
        <v>199</v>
      </c>
      <c r="L934">
        <v>0</v>
      </c>
      <c r="M934">
        <v>0</v>
      </c>
      <c r="N934">
        <v>0</v>
      </c>
      <c r="O934">
        <v>0</v>
      </c>
      <c r="R934">
        <v>6</v>
      </c>
      <c r="S934">
        <v>530</v>
      </c>
      <c r="T934">
        <v>100</v>
      </c>
      <c r="U934">
        <v>270</v>
      </c>
      <c r="V934">
        <v>90</v>
      </c>
      <c r="W934">
        <v>1</v>
      </c>
    </row>
    <row r="935" spans="1:23" x14ac:dyDescent="0.25">
      <c r="A935" t="s">
        <v>2406</v>
      </c>
      <c r="B935" t="s">
        <v>2407</v>
      </c>
      <c r="C935">
        <v>105</v>
      </c>
      <c r="D935">
        <v>20975</v>
      </c>
      <c r="E935">
        <v>1350870483</v>
      </c>
      <c r="F935">
        <v>66114</v>
      </c>
      <c r="G935">
        <v>67999</v>
      </c>
      <c r="H935">
        <v>64000</v>
      </c>
      <c r="I935">
        <v>-2114</v>
      </c>
      <c r="J935">
        <v>-3.2</v>
      </c>
      <c r="K935">
        <v>64459</v>
      </c>
      <c r="L935">
        <v>-1655</v>
      </c>
      <c r="M935">
        <v>-2.5</v>
      </c>
      <c r="N935">
        <v>63000</v>
      </c>
      <c r="O935">
        <v>67999</v>
      </c>
      <c r="P935" t="s">
        <v>2408</v>
      </c>
      <c r="Q935" t="s">
        <v>3249</v>
      </c>
      <c r="R935">
        <v>2</v>
      </c>
      <c r="S935">
        <v>163</v>
      </c>
      <c r="T935">
        <v>63000</v>
      </c>
      <c r="U935">
        <v>65992</v>
      </c>
      <c r="V935">
        <v>16</v>
      </c>
      <c r="W935">
        <v>1</v>
      </c>
    </row>
    <row r="936" spans="1:23" x14ac:dyDescent="0.25">
      <c r="A936" t="s">
        <v>2409</v>
      </c>
      <c r="B936" t="s">
        <v>2410</v>
      </c>
      <c r="C936">
        <v>99</v>
      </c>
      <c r="D936">
        <v>106279</v>
      </c>
      <c r="E936">
        <v>1792635585</v>
      </c>
      <c r="F936">
        <v>16900</v>
      </c>
      <c r="G936">
        <v>16480</v>
      </c>
      <c r="H936">
        <v>16890</v>
      </c>
      <c r="I936">
        <v>-10</v>
      </c>
      <c r="J936">
        <v>-0.06</v>
      </c>
      <c r="K936">
        <v>16867</v>
      </c>
      <c r="L936">
        <v>-33</v>
      </c>
      <c r="M936">
        <v>-0.2</v>
      </c>
      <c r="N936">
        <v>16480</v>
      </c>
      <c r="O936">
        <v>17087</v>
      </c>
      <c r="P936" t="s">
        <v>2411</v>
      </c>
      <c r="Q936" t="s">
        <v>3250</v>
      </c>
      <c r="R936">
        <v>3</v>
      </c>
      <c r="S936">
        <v>271</v>
      </c>
      <c r="T936">
        <v>16762</v>
      </c>
      <c r="U936">
        <v>16890</v>
      </c>
      <c r="V936">
        <v>344</v>
      </c>
      <c r="W936">
        <v>2</v>
      </c>
    </row>
    <row r="937" spans="1:23" x14ac:dyDescent="0.25">
      <c r="A937" t="s">
        <v>2785</v>
      </c>
      <c r="B937" t="s">
        <v>2786</v>
      </c>
      <c r="C937">
        <v>0</v>
      </c>
      <c r="D937">
        <v>0</v>
      </c>
      <c r="E937">
        <v>0</v>
      </c>
      <c r="F937">
        <v>2301</v>
      </c>
      <c r="G937">
        <v>0</v>
      </c>
      <c r="H937">
        <v>2301</v>
      </c>
      <c r="I937">
        <v>0</v>
      </c>
      <c r="J937">
        <v>0</v>
      </c>
      <c r="K937">
        <v>2301</v>
      </c>
      <c r="L937">
        <v>0</v>
      </c>
      <c r="M937">
        <v>0</v>
      </c>
      <c r="N937">
        <v>0</v>
      </c>
      <c r="O937">
        <v>0</v>
      </c>
      <c r="R937">
        <v>3</v>
      </c>
      <c r="S937">
        <v>110000</v>
      </c>
      <c r="T937">
        <v>2301</v>
      </c>
      <c r="U937">
        <v>6000</v>
      </c>
      <c r="V937">
        <v>1000000</v>
      </c>
      <c r="W937">
        <v>20</v>
      </c>
    </row>
    <row r="938" spans="1:23" x14ac:dyDescent="0.25">
      <c r="A938" t="s">
        <v>2412</v>
      </c>
      <c r="B938" t="s">
        <v>2413</v>
      </c>
      <c r="C938">
        <v>243</v>
      </c>
      <c r="D938">
        <v>597517</v>
      </c>
      <c r="E938">
        <v>7844003553</v>
      </c>
      <c r="F938">
        <v>13093</v>
      </c>
      <c r="G938">
        <v>13400</v>
      </c>
      <c r="H938">
        <v>13111</v>
      </c>
      <c r="I938">
        <v>18</v>
      </c>
      <c r="J938">
        <v>0.14000000000000001</v>
      </c>
      <c r="K938">
        <v>13120</v>
      </c>
      <c r="L938">
        <v>27</v>
      </c>
      <c r="M938">
        <v>0.21</v>
      </c>
      <c r="N938">
        <v>13103</v>
      </c>
      <c r="O938">
        <v>13400</v>
      </c>
      <c r="P938" t="s">
        <v>2414</v>
      </c>
      <c r="Q938" t="s">
        <v>3251</v>
      </c>
      <c r="R938">
        <v>1</v>
      </c>
      <c r="S938">
        <v>3763</v>
      </c>
      <c r="T938">
        <v>13111</v>
      </c>
      <c r="U938">
        <v>13114</v>
      </c>
      <c r="V938">
        <v>12771</v>
      </c>
      <c r="W938">
        <v>1</v>
      </c>
    </row>
    <row r="939" spans="1:23" x14ac:dyDescent="0.25">
      <c r="A939" t="s">
        <v>2415</v>
      </c>
      <c r="B939" t="s">
        <v>2416</v>
      </c>
      <c r="C939">
        <v>0</v>
      </c>
      <c r="D939">
        <v>0</v>
      </c>
      <c r="E939">
        <v>0</v>
      </c>
      <c r="F939">
        <v>922000</v>
      </c>
      <c r="G939">
        <v>0</v>
      </c>
      <c r="H939">
        <v>922000</v>
      </c>
      <c r="I939">
        <v>0</v>
      </c>
      <c r="J939">
        <v>0</v>
      </c>
      <c r="K939">
        <v>922000</v>
      </c>
      <c r="L939">
        <v>0</v>
      </c>
      <c r="M939">
        <v>0</v>
      </c>
      <c r="N939">
        <v>0</v>
      </c>
      <c r="O939">
        <v>0</v>
      </c>
      <c r="R939">
        <v>1</v>
      </c>
      <c r="S939">
        <v>1400</v>
      </c>
      <c r="T939">
        <v>922000</v>
      </c>
      <c r="U939">
        <v>931000</v>
      </c>
      <c r="V939">
        <v>1400</v>
      </c>
      <c r="W939">
        <v>1</v>
      </c>
    </row>
    <row r="940" spans="1:23" x14ac:dyDescent="0.25">
      <c r="A940" t="s">
        <v>2417</v>
      </c>
      <c r="B940" t="s">
        <v>2418</v>
      </c>
      <c r="C940">
        <v>294</v>
      </c>
      <c r="D940">
        <v>1114456</v>
      </c>
      <c r="E940">
        <v>6031360365</v>
      </c>
      <c r="F940">
        <v>5360</v>
      </c>
      <c r="G940">
        <v>5393</v>
      </c>
      <c r="H940">
        <v>5380</v>
      </c>
      <c r="I940">
        <v>20</v>
      </c>
      <c r="J940">
        <v>0.37</v>
      </c>
      <c r="K940">
        <v>5412</v>
      </c>
      <c r="L940">
        <v>52</v>
      </c>
      <c r="M940">
        <v>0.97</v>
      </c>
      <c r="N940">
        <v>5361</v>
      </c>
      <c r="O940">
        <v>5437</v>
      </c>
      <c r="P940" t="s">
        <v>2419</v>
      </c>
      <c r="Q940" t="s">
        <v>3252</v>
      </c>
      <c r="R940">
        <v>1</v>
      </c>
      <c r="S940">
        <v>3100</v>
      </c>
      <c r="T940">
        <v>5380</v>
      </c>
      <c r="U940">
        <v>5387</v>
      </c>
      <c r="V940">
        <v>16300</v>
      </c>
      <c r="W940">
        <v>3</v>
      </c>
    </row>
    <row r="941" spans="1:23" x14ac:dyDescent="0.25">
      <c r="A941" t="s">
        <v>2420</v>
      </c>
      <c r="B941" t="s">
        <v>2421</v>
      </c>
      <c r="C941">
        <v>3</v>
      </c>
      <c r="D941">
        <v>24494</v>
      </c>
      <c r="E941">
        <v>22835683560</v>
      </c>
      <c r="F941">
        <v>932060</v>
      </c>
      <c r="G941">
        <v>932060</v>
      </c>
      <c r="H941">
        <v>932302</v>
      </c>
      <c r="I941">
        <v>242</v>
      </c>
      <c r="J941">
        <v>0.03</v>
      </c>
      <c r="K941">
        <v>932297</v>
      </c>
      <c r="L941">
        <v>237</v>
      </c>
      <c r="M941">
        <v>0.03</v>
      </c>
      <c r="N941">
        <v>932060</v>
      </c>
      <c r="O941">
        <v>932302</v>
      </c>
      <c r="R941">
        <v>1</v>
      </c>
      <c r="S941">
        <v>7220</v>
      </c>
      <c r="T941">
        <v>932310</v>
      </c>
      <c r="U941">
        <v>933000</v>
      </c>
      <c r="V941">
        <v>2946</v>
      </c>
      <c r="W941">
        <v>1</v>
      </c>
    </row>
    <row r="942" spans="1:23" x14ac:dyDescent="0.25">
      <c r="A942" t="s">
        <v>2422</v>
      </c>
      <c r="B942" t="s">
        <v>628</v>
      </c>
      <c r="C942">
        <v>1</v>
      </c>
      <c r="D942">
        <v>10000</v>
      </c>
      <c r="E942">
        <v>10000</v>
      </c>
      <c r="F942">
        <v>39921</v>
      </c>
      <c r="G942">
        <v>1</v>
      </c>
      <c r="H942">
        <v>1</v>
      </c>
      <c r="I942">
        <v>-39920</v>
      </c>
      <c r="J942">
        <v>-100</v>
      </c>
      <c r="K942">
        <v>1</v>
      </c>
      <c r="L942">
        <v>-39920</v>
      </c>
      <c r="M942">
        <v>-100</v>
      </c>
      <c r="N942">
        <v>1</v>
      </c>
      <c r="O942">
        <v>1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</row>
    <row r="943" spans="1:23" x14ac:dyDescent="0.25">
      <c r="A943" t="s">
        <v>2423</v>
      </c>
      <c r="B943" t="s">
        <v>2424</v>
      </c>
      <c r="C943">
        <v>22</v>
      </c>
      <c r="D943">
        <v>50071</v>
      </c>
      <c r="E943">
        <v>1966521035</v>
      </c>
      <c r="F943">
        <v>39121</v>
      </c>
      <c r="G943">
        <v>39112</v>
      </c>
      <c r="H943">
        <v>39605</v>
      </c>
      <c r="I943">
        <v>484</v>
      </c>
      <c r="J943">
        <v>1.24</v>
      </c>
      <c r="K943">
        <v>39275</v>
      </c>
      <c r="L943">
        <v>154</v>
      </c>
      <c r="M943">
        <v>0.39</v>
      </c>
      <c r="N943">
        <v>39112</v>
      </c>
      <c r="O943">
        <v>39810</v>
      </c>
      <c r="R943">
        <v>1</v>
      </c>
      <c r="S943">
        <v>150</v>
      </c>
      <c r="T943">
        <v>39563</v>
      </c>
      <c r="U943">
        <v>39605</v>
      </c>
      <c r="V943">
        <v>82059</v>
      </c>
      <c r="W943">
        <v>1</v>
      </c>
    </row>
    <row r="944" spans="1:23" x14ac:dyDescent="0.25">
      <c r="A944" t="s">
        <v>2425</v>
      </c>
      <c r="B944" t="s">
        <v>2426</v>
      </c>
      <c r="C944">
        <v>574</v>
      </c>
      <c r="D944">
        <v>1510354</v>
      </c>
      <c r="E944">
        <v>9364259431</v>
      </c>
      <c r="F944">
        <v>6027</v>
      </c>
      <c r="G944">
        <v>6032</v>
      </c>
      <c r="H944">
        <v>6161</v>
      </c>
      <c r="I944">
        <v>134</v>
      </c>
      <c r="J944">
        <v>2.2200000000000002</v>
      </c>
      <c r="K944">
        <v>6200</v>
      </c>
      <c r="L944">
        <v>173</v>
      </c>
      <c r="M944">
        <v>2.87</v>
      </c>
      <c r="N944">
        <v>6032</v>
      </c>
      <c r="O944">
        <v>6290</v>
      </c>
      <c r="P944" t="s">
        <v>2427</v>
      </c>
      <c r="Q944" t="s">
        <v>3253</v>
      </c>
      <c r="R944">
        <v>1</v>
      </c>
      <c r="S944">
        <v>200</v>
      </c>
      <c r="T944">
        <v>6170</v>
      </c>
      <c r="U944">
        <v>6179</v>
      </c>
      <c r="V944">
        <v>4000</v>
      </c>
      <c r="W944">
        <v>1</v>
      </c>
    </row>
    <row r="945" spans="1:23" x14ac:dyDescent="0.25">
      <c r="A945" t="s">
        <v>3254</v>
      </c>
      <c r="B945" t="s">
        <v>3255</v>
      </c>
      <c r="C945">
        <v>1836</v>
      </c>
      <c r="D945">
        <v>38554335</v>
      </c>
      <c r="E945">
        <v>104220164782</v>
      </c>
      <c r="F945">
        <v>2543</v>
      </c>
      <c r="G945">
        <v>2702</v>
      </c>
      <c r="H945">
        <v>2691</v>
      </c>
      <c r="I945">
        <v>148</v>
      </c>
      <c r="J945">
        <v>5.82</v>
      </c>
      <c r="K945">
        <v>2703</v>
      </c>
      <c r="L945">
        <v>160</v>
      </c>
      <c r="M945">
        <v>6.29</v>
      </c>
      <c r="N945">
        <v>2621</v>
      </c>
      <c r="O945">
        <v>2764</v>
      </c>
      <c r="P945" t="s">
        <v>3256</v>
      </c>
      <c r="Q945" t="s">
        <v>3257</v>
      </c>
      <c r="R945">
        <v>3</v>
      </c>
      <c r="S945">
        <v>68660</v>
      </c>
      <c r="T945">
        <v>2691</v>
      </c>
      <c r="U945">
        <v>2699</v>
      </c>
      <c r="V945">
        <v>20000</v>
      </c>
      <c r="W945">
        <v>1</v>
      </c>
    </row>
    <row r="946" spans="1:23" x14ac:dyDescent="0.25">
      <c r="A946" t="s">
        <v>2428</v>
      </c>
      <c r="B946" t="s">
        <v>2429</v>
      </c>
      <c r="C946">
        <v>0</v>
      </c>
      <c r="D946">
        <v>0</v>
      </c>
      <c r="E946">
        <v>0</v>
      </c>
      <c r="F946">
        <v>115</v>
      </c>
      <c r="G946">
        <v>0</v>
      </c>
      <c r="H946">
        <v>115</v>
      </c>
      <c r="I946">
        <v>0</v>
      </c>
      <c r="J946">
        <v>0</v>
      </c>
      <c r="K946">
        <v>115</v>
      </c>
      <c r="L946">
        <v>0</v>
      </c>
      <c r="M946">
        <v>0</v>
      </c>
      <c r="N946">
        <v>0</v>
      </c>
      <c r="O946">
        <v>0</v>
      </c>
      <c r="R946">
        <v>1</v>
      </c>
      <c r="S946">
        <v>100</v>
      </c>
      <c r="T946">
        <v>40</v>
      </c>
      <c r="U946">
        <v>0</v>
      </c>
      <c r="V946">
        <v>0</v>
      </c>
      <c r="W946">
        <v>0</v>
      </c>
    </row>
    <row r="947" spans="1:23" x14ac:dyDescent="0.25">
      <c r="A947" t="s">
        <v>2430</v>
      </c>
      <c r="B947" t="s">
        <v>2431</v>
      </c>
      <c r="C947">
        <v>0</v>
      </c>
      <c r="D947">
        <v>0</v>
      </c>
      <c r="E947">
        <v>0</v>
      </c>
      <c r="F947">
        <v>1</v>
      </c>
      <c r="G947">
        <v>0</v>
      </c>
      <c r="H947">
        <v>1</v>
      </c>
      <c r="I947">
        <v>0</v>
      </c>
      <c r="J947">
        <v>0</v>
      </c>
      <c r="K947">
        <v>1</v>
      </c>
      <c r="L947">
        <v>0</v>
      </c>
      <c r="M947">
        <v>0</v>
      </c>
      <c r="N947">
        <v>0</v>
      </c>
      <c r="O947">
        <v>0</v>
      </c>
      <c r="R947">
        <v>1</v>
      </c>
      <c r="S947">
        <v>100</v>
      </c>
      <c r="T947">
        <v>10</v>
      </c>
      <c r="U947">
        <v>0</v>
      </c>
      <c r="V947">
        <v>0</v>
      </c>
      <c r="W947">
        <v>0</v>
      </c>
    </row>
    <row r="948" spans="1:23" x14ac:dyDescent="0.25">
      <c r="A948" t="s">
        <v>2432</v>
      </c>
      <c r="B948" t="s">
        <v>2433</v>
      </c>
      <c r="C948">
        <v>0</v>
      </c>
      <c r="D948">
        <v>0</v>
      </c>
      <c r="E948">
        <v>0</v>
      </c>
      <c r="F948">
        <v>344031</v>
      </c>
      <c r="G948">
        <v>0</v>
      </c>
      <c r="H948">
        <v>344031</v>
      </c>
      <c r="I948">
        <v>0</v>
      </c>
      <c r="J948">
        <v>0</v>
      </c>
      <c r="K948">
        <v>344031</v>
      </c>
      <c r="L948">
        <v>0</v>
      </c>
      <c r="M948">
        <v>0</v>
      </c>
      <c r="N948">
        <v>0</v>
      </c>
      <c r="O948">
        <v>0</v>
      </c>
      <c r="R948">
        <v>0</v>
      </c>
      <c r="S948">
        <v>0</v>
      </c>
      <c r="T948">
        <v>0</v>
      </c>
      <c r="U948">
        <v>326830</v>
      </c>
      <c r="V948">
        <v>84</v>
      </c>
      <c r="W948">
        <v>6</v>
      </c>
    </row>
    <row r="949" spans="1:23" x14ac:dyDescent="0.25">
      <c r="A949" t="s">
        <v>2434</v>
      </c>
      <c r="B949" t="s">
        <v>2435</v>
      </c>
      <c r="C949">
        <v>203</v>
      </c>
      <c r="D949">
        <v>226953</v>
      </c>
      <c r="E949">
        <v>4828615514</v>
      </c>
      <c r="F949">
        <v>20340</v>
      </c>
      <c r="G949">
        <v>21357</v>
      </c>
      <c r="H949">
        <v>21354</v>
      </c>
      <c r="I949">
        <v>1014</v>
      </c>
      <c r="J949">
        <v>4.99</v>
      </c>
      <c r="K949">
        <v>21276</v>
      </c>
      <c r="L949">
        <v>936</v>
      </c>
      <c r="M949">
        <v>4.5999999999999996</v>
      </c>
      <c r="N949">
        <v>20620</v>
      </c>
      <c r="O949">
        <v>21357</v>
      </c>
      <c r="P949" t="s">
        <v>2436</v>
      </c>
      <c r="Q949" t="s">
        <v>3258</v>
      </c>
      <c r="R949">
        <v>1</v>
      </c>
      <c r="S949">
        <v>3000</v>
      </c>
      <c r="T949">
        <v>21345</v>
      </c>
      <c r="U949">
        <v>21350</v>
      </c>
      <c r="V949">
        <v>3442</v>
      </c>
      <c r="W949">
        <v>1</v>
      </c>
    </row>
    <row r="950" spans="1:23" x14ac:dyDescent="0.25">
      <c r="A950" t="s">
        <v>2437</v>
      </c>
      <c r="B950" t="s">
        <v>2438</v>
      </c>
      <c r="C950">
        <v>0</v>
      </c>
      <c r="D950">
        <v>0</v>
      </c>
      <c r="E950">
        <v>0</v>
      </c>
      <c r="F950">
        <v>100</v>
      </c>
      <c r="G950">
        <v>0</v>
      </c>
      <c r="H950">
        <v>120</v>
      </c>
      <c r="I950">
        <v>20</v>
      </c>
      <c r="J950">
        <v>20</v>
      </c>
      <c r="K950">
        <v>100</v>
      </c>
      <c r="L950">
        <v>0</v>
      </c>
      <c r="M950">
        <v>0</v>
      </c>
      <c r="N950">
        <v>0</v>
      </c>
      <c r="O950">
        <v>0</v>
      </c>
      <c r="R950">
        <v>1</v>
      </c>
      <c r="S950">
        <v>100</v>
      </c>
      <c r="T950">
        <v>10</v>
      </c>
      <c r="U950">
        <v>140</v>
      </c>
      <c r="V950">
        <v>150</v>
      </c>
      <c r="W950">
        <v>2</v>
      </c>
    </row>
    <row r="951" spans="1:23" x14ac:dyDescent="0.25">
      <c r="A951" t="s">
        <v>2439</v>
      </c>
      <c r="B951" t="s">
        <v>2440</v>
      </c>
      <c r="C951">
        <v>0</v>
      </c>
      <c r="D951">
        <v>0</v>
      </c>
      <c r="E951">
        <v>0</v>
      </c>
      <c r="F951">
        <v>27</v>
      </c>
      <c r="G951">
        <v>0</v>
      </c>
      <c r="H951">
        <v>27</v>
      </c>
      <c r="I951">
        <v>0</v>
      </c>
      <c r="J951">
        <v>0</v>
      </c>
      <c r="K951">
        <v>27</v>
      </c>
      <c r="L951">
        <v>0</v>
      </c>
      <c r="M951">
        <v>0</v>
      </c>
      <c r="N951">
        <v>0</v>
      </c>
      <c r="O951">
        <v>0</v>
      </c>
      <c r="R951">
        <v>1</v>
      </c>
      <c r="S951">
        <v>100</v>
      </c>
      <c r="T951">
        <v>20</v>
      </c>
      <c r="U951">
        <v>28</v>
      </c>
      <c r="V951">
        <v>100</v>
      </c>
      <c r="W951">
        <v>1</v>
      </c>
    </row>
    <row r="952" spans="1:23" x14ac:dyDescent="0.25">
      <c r="A952" t="s">
        <v>2441</v>
      </c>
      <c r="B952" t="s">
        <v>2442</v>
      </c>
      <c r="C952">
        <v>0</v>
      </c>
      <c r="D952">
        <v>0</v>
      </c>
      <c r="E952">
        <v>0</v>
      </c>
      <c r="F952">
        <v>1010000</v>
      </c>
      <c r="G952">
        <v>0</v>
      </c>
      <c r="H952">
        <v>1010000</v>
      </c>
      <c r="I952">
        <v>0</v>
      </c>
      <c r="J952">
        <v>0</v>
      </c>
      <c r="K952">
        <v>1010000</v>
      </c>
      <c r="L952">
        <v>0</v>
      </c>
      <c r="M952">
        <v>0</v>
      </c>
      <c r="N952">
        <v>0</v>
      </c>
      <c r="O952">
        <v>0</v>
      </c>
      <c r="R952">
        <v>1</v>
      </c>
      <c r="S952">
        <v>1000</v>
      </c>
      <c r="T952">
        <v>1000001</v>
      </c>
      <c r="U952">
        <v>1010000</v>
      </c>
      <c r="V952">
        <v>1000</v>
      </c>
      <c r="W952">
        <v>1</v>
      </c>
    </row>
    <row r="953" spans="1:23" x14ac:dyDescent="0.25">
      <c r="A953" t="s">
        <v>2443</v>
      </c>
      <c r="B953" t="s">
        <v>2444</v>
      </c>
      <c r="C953">
        <v>392</v>
      </c>
      <c r="D953">
        <v>247131</v>
      </c>
      <c r="E953">
        <v>6362649245</v>
      </c>
      <c r="F953">
        <v>26729</v>
      </c>
      <c r="G953">
        <v>25402</v>
      </c>
      <c r="H953">
        <v>25838</v>
      </c>
      <c r="I953">
        <v>-891</v>
      </c>
      <c r="J953">
        <v>-3.33</v>
      </c>
      <c r="K953">
        <v>25746</v>
      </c>
      <c r="L953">
        <v>-983</v>
      </c>
      <c r="M953">
        <v>-3.68</v>
      </c>
      <c r="N953">
        <v>25402</v>
      </c>
      <c r="O953">
        <v>26437</v>
      </c>
      <c r="P953" t="s">
        <v>864</v>
      </c>
      <c r="Q953" t="s">
        <v>3259</v>
      </c>
      <c r="R953">
        <v>1</v>
      </c>
      <c r="S953">
        <v>772</v>
      </c>
      <c r="T953">
        <v>25800</v>
      </c>
      <c r="U953">
        <v>25838</v>
      </c>
      <c r="V953">
        <v>354</v>
      </c>
      <c r="W953">
        <v>1</v>
      </c>
    </row>
    <row r="954" spans="1:23" x14ac:dyDescent="0.25">
      <c r="A954" t="s">
        <v>2445</v>
      </c>
      <c r="B954" t="s">
        <v>2446</v>
      </c>
      <c r="C954">
        <v>0</v>
      </c>
      <c r="D954">
        <v>0</v>
      </c>
      <c r="E954">
        <v>0</v>
      </c>
      <c r="F954">
        <v>70</v>
      </c>
      <c r="G954">
        <v>0</v>
      </c>
      <c r="H954">
        <v>70</v>
      </c>
      <c r="I954">
        <v>0</v>
      </c>
      <c r="J954">
        <v>0</v>
      </c>
      <c r="K954">
        <v>70</v>
      </c>
      <c r="L954">
        <v>0</v>
      </c>
      <c r="M954">
        <v>0</v>
      </c>
      <c r="N954">
        <v>0</v>
      </c>
      <c r="O954">
        <v>0</v>
      </c>
      <c r="R954">
        <v>1</v>
      </c>
      <c r="S954">
        <v>100</v>
      </c>
      <c r="T954">
        <v>3</v>
      </c>
      <c r="U954">
        <v>0</v>
      </c>
      <c r="V954">
        <v>0</v>
      </c>
      <c r="W954">
        <v>0</v>
      </c>
    </row>
    <row r="955" spans="1:23" x14ac:dyDescent="0.25">
      <c r="A955" t="s">
        <v>2447</v>
      </c>
      <c r="B955" t="s">
        <v>2448</v>
      </c>
      <c r="C955">
        <v>0</v>
      </c>
      <c r="D955">
        <v>0</v>
      </c>
      <c r="E955">
        <v>0</v>
      </c>
      <c r="F955">
        <v>1</v>
      </c>
      <c r="G955">
        <v>0</v>
      </c>
      <c r="H955">
        <v>1</v>
      </c>
      <c r="I955">
        <v>0</v>
      </c>
      <c r="J955">
        <v>0</v>
      </c>
      <c r="K955">
        <v>1</v>
      </c>
      <c r="L955">
        <v>0</v>
      </c>
      <c r="M955">
        <v>0</v>
      </c>
      <c r="N955">
        <v>0</v>
      </c>
      <c r="O955">
        <v>0</v>
      </c>
      <c r="R955">
        <v>1</v>
      </c>
      <c r="S955">
        <v>100</v>
      </c>
      <c r="T955">
        <v>5</v>
      </c>
      <c r="U955">
        <v>0</v>
      </c>
      <c r="V955">
        <v>0</v>
      </c>
      <c r="W955">
        <v>0</v>
      </c>
    </row>
    <row r="956" spans="1:23" x14ac:dyDescent="0.25">
      <c r="A956" t="s">
        <v>2449</v>
      </c>
      <c r="B956" t="s">
        <v>2450</v>
      </c>
      <c r="C956">
        <v>0</v>
      </c>
      <c r="D956">
        <v>0</v>
      </c>
      <c r="E956">
        <v>0</v>
      </c>
      <c r="F956">
        <v>1000000</v>
      </c>
      <c r="G956">
        <v>0</v>
      </c>
      <c r="H956">
        <v>1000000</v>
      </c>
      <c r="I956">
        <v>0</v>
      </c>
      <c r="J956">
        <v>0</v>
      </c>
      <c r="K956">
        <v>1000000</v>
      </c>
      <c r="L956">
        <v>0</v>
      </c>
      <c r="M956">
        <v>0</v>
      </c>
      <c r="N956">
        <v>0</v>
      </c>
      <c r="O956">
        <v>0</v>
      </c>
      <c r="R956">
        <v>1</v>
      </c>
      <c r="S956">
        <v>1000</v>
      </c>
      <c r="T956">
        <v>1000010</v>
      </c>
      <c r="U956">
        <v>1020000</v>
      </c>
      <c r="V956">
        <v>10</v>
      </c>
      <c r="W956">
        <v>1</v>
      </c>
    </row>
    <row r="957" spans="1:23" x14ac:dyDescent="0.25">
      <c r="A957" t="s">
        <v>2451</v>
      </c>
      <c r="B957" t="s">
        <v>2452</v>
      </c>
      <c r="C957">
        <v>387</v>
      </c>
      <c r="D957">
        <v>432090</v>
      </c>
      <c r="E957">
        <v>12667432165</v>
      </c>
      <c r="F957">
        <v>27921</v>
      </c>
      <c r="G957">
        <v>29317</v>
      </c>
      <c r="H957">
        <v>29317</v>
      </c>
      <c r="I957">
        <v>1396</v>
      </c>
      <c r="J957">
        <v>5</v>
      </c>
      <c r="K957">
        <v>29317</v>
      </c>
      <c r="L957">
        <v>1396</v>
      </c>
      <c r="M957">
        <v>5</v>
      </c>
      <c r="N957">
        <v>29250</v>
      </c>
      <c r="O957">
        <v>29317</v>
      </c>
      <c r="P957" t="s">
        <v>1166</v>
      </c>
      <c r="Q957" t="s">
        <v>3260</v>
      </c>
      <c r="R957">
        <v>1</v>
      </c>
      <c r="S957">
        <v>1000</v>
      </c>
      <c r="T957">
        <v>29301</v>
      </c>
      <c r="U957">
        <v>29317</v>
      </c>
      <c r="V957">
        <v>28</v>
      </c>
      <c r="W957">
        <v>1</v>
      </c>
    </row>
    <row r="958" spans="1:23" x14ac:dyDescent="0.25">
      <c r="A958" t="s">
        <v>2453</v>
      </c>
      <c r="B958" t="s">
        <v>2454</v>
      </c>
      <c r="C958">
        <v>0</v>
      </c>
      <c r="D958">
        <v>0</v>
      </c>
      <c r="E958">
        <v>0</v>
      </c>
      <c r="F958">
        <v>830</v>
      </c>
      <c r="G958">
        <v>0</v>
      </c>
      <c r="H958">
        <v>830</v>
      </c>
      <c r="I958">
        <v>0</v>
      </c>
      <c r="J958">
        <v>0</v>
      </c>
      <c r="K958">
        <v>830</v>
      </c>
      <c r="L958">
        <v>0</v>
      </c>
      <c r="M958">
        <v>0</v>
      </c>
      <c r="N958">
        <v>0</v>
      </c>
      <c r="O958">
        <v>0</v>
      </c>
      <c r="R958">
        <v>1</v>
      </c>
      <c r="S958">
        <v>5</v>
      </c>
      <c r="T958">
        <v>650</v>
      </c>
      <c r="U958">
        <v>1656</v>
      </c>
      <c r="V958">
        <v>20</v>
      </c>
      <c r="W958">
        <v>1</v>
      </c>
    </row>
    <row r="959" spans="1:23" x14ac:dyDescent="0.25">
      <c r="A959" t="s">
        <v>2455</v>
      </c>
      <c r="B959" t="s">
        <v>2456</v>
      </c>
      <c r="C959">
        <v>0</v>
      </c>
      <c r="D959">
        <v>0</v>
      </c>
      <c r="E959">
        <v>0</v>
      </c>
      <c r="F959">
        <v>1</v>
      </c>
      <c r="G959">
        <v>0</v>
      </c>
      <c r="H959">
        <v>1</v>
      </c>
      <c r="I959">
        <v>0</v>
      </c>
      <c r="J959">
        <v>0</v>
      </c>
      <c r="K959">
        <v>1</v>
      </c>
      <c r="L959">
        <v>0</v>
      </c>
      <c r="M959">
        <v>0</v>
      </c>
      <c r="N959">
        <v>0</v>
      </c>
      <c r="O959">
        <v>0</v>
      </c>
      <c r="R959">
        <v>1</v>
      </c>
      <c r="S959">
        <v>60</v>
      </c>
      <c r="T959">
        <v>2</v>
      </c>
      <c r="U959">
        <v>0</v>
      </c>
      <c r="V959">
        <v>0</v>
      </c>
      <c r="W959">
        <v>0</v>
      </c>
    </row>
    <row r="960" spans="1:23" x14ac:dyDescent="0.25">
      <c r="A960" t="s">
        <v>3261</v>
      </c>
      <c r="B960" t="s">
        <v>3262</v>
      </c>
      <c r="C960">
        <v>0</v>
      </c>
      <c r="D960">
        <v>0</v>
      </c>
      <c r="E960">
        <v>0</v>
      </c>
      <c r="F960">
        <v>811000</v>
      </c>
      <c r="G960">
        <v>0</v>
      </c>
      <c r="H960">
        <v>811000</v>
      </c>
      <c r="I960">
        <v>0</v>
      </c>
      <c r="J960">
        <v>0</v>
      </c>
      <c r="K960">
        <v>811000</v>
      </c>
      <c r="L960">
        <v>0</v>
      </c>
      <c r="M960">
        <v>0</v>
      </c>
      <c r="N960">
        <v>0</v>
      </c>
      <c r="O960">
        <v>0</v>
      </c>
      <c r="R960">
        <v>1</v>
      </c>
      <c r="S960">
        <v>6000</v>
      </c>
      <c r="T960">
        <v>811000</v>
      </c>
      <c r="U960">
        <v>0</v>
      </c>
      <c r="V960">
        <v>0</v>
      </c>
      <c r="W960">
        <v>0</v>
      </c>
    </row>
    <row r="961" spans="1:23" x14ac:dyDescent="0.25">
      <c r="A961" t="s">
        <v>2457</v>
      </c>
      <c r="B961" t="s">
        <v>2458</v>
      </c>
      <c r="C961">
        <v>147</v>
      </c>
      <c r="D961">
        <v>180868</v>
      </c>
      <c r="E961">
        <v>5538662451</v>
      </c>
      <c r="F961">
        <v>30050</v>
      </c>
      <c r="G961">
        <v>31501</v>
      </c>
      <c r="H961">
        <v>30800</v>
      </c>
      <c r="I961">
        <v>750</v>
      </c>
      <c r="J961">
        <v>2.5</v>
      </c>
      <c r="K961">
        <v>30543</v>
      </c>
      <c r="L961">
        <v>493</v>
      </c>
      <c r="M961">
        <v>1.64</v>
      </c>
      <c r="N961">
        <v>30001</v>
      </c>
      <c r="O961">
        <v>31550</v>
      </c>
      <c r="P961" t="s">
        <v>2459</v>
      </c>
      <c r="Q961" t="s">
        <v>3263</v>
      </c>
      <c r="R961">
        <v>1</v>
      </c>
      <c r="S961">
        <v>123</v>
      </c>
      <c r="T961">
        <v>30800</v>
      </c>
      <c r="U961">
        <v>30999</v>
      </c>
      <c r="V961">
        <v>1620</v>
      </c>
      <c r="W961">
        <v>4</v>
      </c>
    </row>
    <row r="962" spans="1:23" x14ac:dyDescent="0.25">
      <c r="A962" t="s">
        <v>2460</v>
      </c>
      <c r="B962" t="s">
        <v>2461</v>
      </c>
      <c r="C962">
        <v>288</v>
      </c>
      <c r="D962">
        <v>1340342</v>
      </c>
      <c r="E962">
        <v>7485412305</v>
      </c>
      <c r="F962">
        <v>5609</v>
      </c>
      <c r="G962">
        <v>5640</v>
      </c>
      <c r="H962">
        <v>5561</v>
      </c>
      <c r="I962">
        <v>-48</v>
      </c>
      <c r="J962">
        <v>-0.86</v>
      </c>
      <c r="K962">
        <v>5585</v>
      </c>
      <c r="L962">
        <v>-24</v>
      </c>
      <c r="M962">
        <v>-0.43</v>
      </c>
      <c r="N962">
        <v>5552</v>
      </c>
      <c r="O962">
        <v>5670</v>
      </c>
      <c r="P962" t="s">
        <v>2462</v>
      </c>
      <c r="Q962" t="s">
        <v>3033</v>
      </c>
      <c r="R962">
        <v>3</v>
      </c>
      <c r="S962">
        <v>37641</v>
      </c>
      <c r="T962">
        <v>5561</v>
      </c>
      <c r="U962">
        <v>5594</v>
      </c>
      <c r="V962">
        <v>1672</v>
      </c>
      <c r="W962">
        <v>1</v>
      </c>
    </row>
    <row r="963" spans="1:23" x14ac:dyDescent="0.25">
      <c r="A963" t="s">
        <v>2463</v>
      </c>
      <c r="B963" t="s">
        <v>2464</v>
      </c>
      <c r="C963">
        <v>550</v>
      </c>
      <c r="D963">
        <v>16272112</v>
      </c>
      <c r="E963">
        <v>164771698309</v>
      </c>
      <c r="F963">
        <v>10125</v>
      </c>
      <c r="G963">
        <v>10135</v>
      </c>
      <c r="H963">
        <v>10126</v>
      </c>
      <c r="I963">
        <v>1</v>
      </c>
      <c r="J963">
        <v>0.01</v>
      </c>
      <c r="K963">
        <v>10126</v>
      </c>
      <c r="L963">
        <v>1</v>
      </c>
      <c r="M963">
        <v>0.01</v>
      </c>
      <c r="N963">
        <v>10125</v>
      </c>
      <c r="O963">
        <v>10135</v>
      </c>
      <c r="R963">
        <v>7</v>
      </c>
      <c r="S963">
        <v>77308</v>
      </c>
      <c r="T963">
        <v>10126</v>
      </c>
      <c r="U963">
        <v>10128</v>
      </c>
      <c r="V963">
        <v>420000</v>
      </c>
      <c r="W963">
        <v>7</v>
      </c>
    </row>
    <row r="964" spans="1:23" x14ac:dyDescent="0.25">
      <c r="A964" t="s">
        <v>2465</v>
      </c>
      <c r="B964" t="s">
        <v>2466</v>
      </c>
      <c r="C964">
        <v>0</v>
      </c>
      <c r="D964">
        <v>0</v>
      </c>
      <c r="E964">
        <v>0</v>
      </c>
      <c r="F964">
        <v>1304747</v>
      </c>
      <c r="G964">
        <v>0</v>
      </c>
      <c r="H964">
        <v>1304747</v>
      </c>
      <c r="I964">
        <v>0</v>
      </c>
      <c r="J964">
        <v>0</v>
      </c>
      <c r="K964">
        <v>1304747</v>
      </c>
      <c r="L964">
        <v>0</v>
      </c>
      <c r="M964">
        <v>0</v>
      </c>
      <c r="N964">
        <v>0</v>
      </c>
      <c r="O964">
        <v>0</v>
      </c>
      <c r="R964">
        <v>1</v>
      </c>
      <c r="S964">
        <v>10213</v>
      </c>
      <c r="T964">
        <v>1437026</v>
      </c>
      <c r="U964">
        <v>0</v>
      </c>
      <c r="V964">
        <v>0</v>
      </c>
      <c r="W964">
        <v>0</v>
      </c>
    </row>
    <row r="965" spans="1:23" x14ac:dyDescent="0.25">
      <c r="A965" t="s">
        <v>2467</v>
      </c>
      <c r="B965" t="s">
        <v>2468</v>
      </c>
      <c r="C965">
        <v>0</v>
      </c>
      <c r="D965">
        <v>0</v>
      </c>
      <c r="E965">
        <v>0</v>
      </c>
      <c r="F965">
        <v>736</v>
      </c>
      <c r="G965">
        <v>0</v>
      </c>
      <c r="H965">
        <v>736</v>
      </c>
      <c r="I965">
        <v>0</v>
      </c>
      <c r="J965">
        <v>0</v>
      </c>
      <c r="K965">
        <v>736</v>
      </c>
      <c r="L965">
        <v>0</v>
      </c>
      <c r="M965">
        <v>0</v>
      </c>
      <c r="N965">
        <v>0</v>
      </c>
      <c r="O965">
        <v>0</v>
      </c>
      <c r="R965">
        <v>1</v>
      </c>
      <c r="S965">
        <v>10</v>
      </c>
      <c r="T965">
        <v>100</v>
      </c>
      <c r="U965">
        <v>0</v>
      </c>
      <c r="V965">
        <v>0</v>
      </c>
      <c r="W965">
        <v>0</v>
      </c>
    </row>
    <row r="966" spans="1:23" x14ac:dyDescent="0.25">
      <c r="A966" t="s">
        <v>2469</v>
      </c>
      <c r="B966" t="s">
        <v>2470</v>
      </c>
      <c r="C966">
        <v>1</v>
      </c>
      <c r="D966">
        <v>4232</v>
      </c>
      <c r="E966">
        <v>3948456000</v>
      </c>
      <c r="F966">
        <v>932980</v>
      </c>
      <c r="G966">
        <v>933000</v>
      </c>
      <c r="H966">
        <v>933000</v>
      </c>
      <c r="I966">
        <v>20</v>
      </c>
      <c r="J966">
        <v>0</v>
      </c>
      <c r="K966">
        <v>933000</v>
      </c>
      <c r="L966">
        <v>20</v>
      </c>
      <c r="M966">
        <v>0</v>
      </c>
      <c r="N966">
        <v>933000</v>
      </c>
      <c r="O966">
        <v>933000</v>
      </c>
      <c r="R966">
        <v>1</v>
      </c>
      <c r="S966">
        <v>3500</v>
      </c>
      <c r="T966">
        <v>933101</v>
      </c>
      <c r="U966">
        <v>933998</v>
      </c>
      <c r="V966">
        <v>380</v>
      </c>
      <c r="W966">
        <v>1</v>
      </c>
    </row>
    <row r="967" spans="1:23" x14ac:dyDescent="0.25">
      <c r="A967" t="s">
        <v>2471</v>
      </c>
      <c r="B967" t="s">
        <v>2788</v>
      </c>
      <c r="C967">
        <v>0</v>
      </c>
      <c r="D967">
        <v>0</v>
      </c>
      <c r="E967">
        <v>0</v>
      </c>
      <c r="F967">
        <v>2390</v>
      </c>
      <c r="G967">
        <v>0</v>
      </c>
      <c r="H967">
        <v>560</v>
      </c>
      <c r="I967">
        <v>-1830</v>
      </c>
      <c r="J967">
        <v>-76.569999999999993</v>
      </c>
      <c r="K967">
        <v>2390</v>
      </c>
      <c r="L967">
        <v>0</v>
      </c>
      <c r="M967">
        <v>0</v>
      </c>
      <c r="N967">
        <v>0</v>
      </c>
      <c r="O967">
        <v>0</v>
      </c>
      <c r="R967">
        <v>1</v>
      </c>
      <c r="S967">
        <v>95</v>
      </c>
      <c r="T967">
        <v>560</v>
      </c>
      <c r="U967">
        <v>2390</v>
      </c>
      <c r="V967">
        <v>20</v>
      </c>
      <c r="W967">
        <v>1</v>
      </c>
    </row>
    <row r="968" spans="1:23" x14ac:dyDescent="0.25">
      <c r="A968" t="s">
        <v>2472</v>
      </c>
      <c r="B968" t="s">
        <v>2473</v>
      </c>
      <c r="C968">
        <v>0</v>
      </c>
      <c r="D968">
        <v>0</v>
      </c>
      <c r="E968">
        <v>0</v>
      </c>
      <c r="F968">
        <v>1</v>
      </c>
      <c r="G968">
        <v>0</v>
      </c>
      <c r="H968">
        <v>1</v>
      </c>
      <c r="I968">
        <v>0</v>
      </c>
      <c r="J968">
        <v>0</v>
      </c>
      <c r="K968">
        <v>1</v>
      </c>
      <c r="L968">
        <v>0</v>
      </c>
      <c r="M968">
        <v>0</v>
      </c>
      <c r="N968">
        <v>0</v>
      </c>
      <c r="O968">
        <v>0</v>
      </c>
      <c r="R968">
        <v>1</v>
      </c>
      <c r="S968">
        <v>100</v>
      </c>
      <c r="T968">
        <v>10</v>
      </c>
      <c r="U968">
        <v>0</v>
      </c>
      <c r="V968">
        <v>0</v>
      </c>
      <c r="W968">
        <v>0</v>
      </c>
    </row>
    <row r="969" spans="1:23" x14ac:dyDescent="0.25">
      <c r="A969" t="s">
        <v>2474</v>
      </c>
      <c r="B969" t="s">
        <v>2475</v>
      </c>
      <c r="C969">
        <v>0</v>
      </c>
      <c r="D969">
        <v>0</v>
      </c>
      <c r="E969">
        <v>0</v>
      </c>
      <c r="F969">
        <v>47</v>
      </c>
      <c r="G969">
        <v>0</v>
      </c>
      <c r="H969">
        <v>40</v>
      </c>
      <c r="I969">
        <v>-7</v>
      </c>
      <c r="J969">
        <v>-14.89</v>
      </c>
      <c r="K969">
        <v>47</v>
      </c>
      <c r="L969">
        <v>0</v>
      </c>
      <c r="M969">
        <v>0</v>
      </c>
      <c r="N969">
        <v>0</v>
      </c>
      <c r="O969">
        <v>0</v>
      </c>
      <c r="R969">
        <v>5</v>
      </c>
      <c r="S969">
        <v>500</v>
      </c>
      <c r="T969">
        <v>5</v>
      </c>
      <c r="U969">
        <v>70</v>
      </c>
      <c r="V969">
        <v>100</v>
      </c>
      <c r="W969">
        <v>1</v>
      </c>
    </row>
    <row r="970" spans="1:23" x14ac:dyDescent="0.25">
      <c r="A970" t="s">
        <v>2476</v>
      </c>
      <c r="B970" t="s">
        <v>2477</v>
      </c>
      <c r="C970">
        <v>458</v>
      </c>
      <c r="D970">
        <v>801597</v>
      </c>
      <c r="E970">
        <v>12885015333</v>
      </c>
      <c r="F970">
        <v>16458</v>
      </c>
      <c r="G970">
        <v>16000</v>
      </c>
      <c r="H970">
        <v>16022</v>
      </c>
      <c r="I970">
        <v>-436</v>
      </c>
      <c r="J970">
        <v>-2.65</v>
      </c>
      <c r="K970">
        <v>16074</v>
      </c>
      <c r="L970">
        <v>-384</v>
      </c>
      <c r="M970">
        <v>-2.33</v>
      </c>
      <c r="N970">
        <v>15800</v>
      </c>
      <c r="O970">
        <v>16499</v>
      </c>
      <c r="P970" t="s">
        <v>2478</v>
      </c>
      <c r="Q970" t="s">
        <v>3264</v>
      </c>
      <c r="R970">
        <v>1</v>
      </c>
      <c r="S970">
        <v>13500</v>
      </c>
      <c r="T970">
        <v>16022</v>
      </c>
      <c r="U970">
        <v>16029</v>
      </c>
      <c r="V970">
        <v>20000</v>
      </c>
      <c r="W970">
        <v>1</v>
      </c>
    </row>
    <row r="971" spans="1:23" x14ac:dyDescent="0.25">
      <c r="A971" t="s">
        <v>3265</v>
      </c>
      <c r="B971" t="s">
        <v>3266</v>
      </c>
      <c r="C971">
        <v>1</v>
      </c>
      <c r="D971">
        <v>10</v>
      </c>
      <c r="E971">
        <v>1290000</v>
      </c>
      <c r="F971">
        <v>80</v>
      </c>
      <c r="G971">
        <v>129</v>
      </c>
      <c r="H971">
        <v>129</v>
      </c>
      <c r="I971">
        <v>49</v>
      </c>
      <c r="J971">
        <v>61.25</v>
      </c>
      <c r="K971">
        <v>129</v>
      </c>
      <c r="L971">
        <v>49</v>
      </c>
      <c r="M971">
        <v>61.25</v>
      </c>
      <c r="N971">
        <v>129</v>
      </c>
      <c r="O971">
        <v>129</v>
      </c>
      <c r="R971">
        <v>0</v>
      </c>
      <c r="S971">
        <v>0</v>
      </c>
      <c r="T971">
        <v>0</v>
      </c>
      <c r="U971">
        <v>130</v>
      </c>
      <c r="V971">
        <v>30</v>
      </c>
      <c r="W971">
        <v>2</v>
      </c>
    </row>
    <row r="972" spans="1:23" x14ac:dyDescent="0.25">
      <c r="A972" t="s">
        <v>2479</v>
      </c>
      <c r="B972" t="s">
        <v>2480</v>
      </c>
      <c r="C972">
        <v>746</v>
      </c>
      <c r="D972">
        <v>2681796</v>
      </c>
      <c r="E972">
        <v>16635670486</v>
      </c>
      <c r="F972">
        <v>6015</v>
      </c>
      <c r="G972">
        <v>6280</v>
      </c>
      <c r="H972">
        <v>6181</v>
      </c>
      <c r="I972">
        <v>166</v>
      </c>
      <c r="J972">
        <v>2.76</v>
      </c>
      <c r="K972">
        <v>6203</v>
      </c>
      <c r="L972">
        <v>188</v>
      </c>
      <c r="M972">
        <v>3.13</v>
      </c>
      <c r="N972">
        <v>6016</v>
      </c>
      <c r="O972">
        <v>6280</v>
      </c>
      <c r="P972" t="s">
        <v>2481</v>
      </c>
      <c r="Q972" t="s">
        <v>3267</v>
      </c>
      <c r="R972">
        <v>1</v>
      </c>
      <c r="S972">
        <v>237</v>
      </c>
      <c r="T972">
        <v>6181</v>
      </c>
      <c r="U972">
        <v>6186</v>
      </c>
      <c r="V972">
        <v>3496</v>
      </c>
      <c r="W972">
        <v>1</v>
      </c>
    </row>
    <row r="973" spans="1:23" x14ac:dyDescent="0.25">
      <c r="A973" t="s">
        <v>2482</v>
      </c>
      <c r="B973" t="s">
        <v>2483</v>
      </c>
      <c r="C973">
        <v>277</v>
      </c>
      <c r="D973">
        <v>1026846</v>
      </c>
      <c r="E973">
        <v>8644603074</v>
      </c>
      <c r="F973">
        <v>7966</v>
      </c>
      <c r="G973">
        <v>8364</v>
      </c>
      <c r="H973">
        <v>8640</v>
      </c>
      <c r="I973">
        <v>674</v>
      </c>
      <c r="J973">
        <v>8.4600000000000009</v>
      </c>
      <c r="K973">
        <v>8419</v>
      </c>
      <c r="L973">
        <v>453</v>
      </c>
      <c r="M973">
        <v>5.69</v>
      </c>
      <c r="N973">
        <v>8364</v>
      </c>
      <c r="O973">
        <v>8760</v>
      </c>
      <c r="P973" t="s">
        <v>2484</v>
      </c>
      <c r="Q973" t="s">
        <v>2700</v>
      </c>
      <c r="R973">
        <v>1</v>
      </c>
      <c r="S973">
        <v>572</v>
      </c>
      <c r="T973">
        <v>8635</v>
      </c>
      <c r="U973">
        <v>8640</v>
      </c>
      <c r="V973">
        <v>2891</v>
      </c>
      <c r="W973">
        <v>1</v>
      </c>
    </row>
    <row r="974" spans="1:23" x14ac:dyDescent="0.25">
      <c r="A974" t="s">
        <v>2485</v>
      </c>
      <c r="B974" t="s">
        <v>2486</v>
      </c>
      <c r="C974">
        <v>0</v>
      </c>
      <c r="D974">
        <v>0</v>
      </c>
      <c r="E974">
        <v>0</v>
      </c>
      <c r="F974">
        <v>961998</v>
      </c>
      <c r="G974">
        <v>0</v>
      </c>
      <c r="H974">
        <v>962000</v>
      </c>
      <c r="I974">
        <v>2</v>
      </c>
      <c r="J974">
        <v>0</v>
      </c>
      <c r="K974">
        <v>961998</v>
      </c>
      <c r="L974">
        <v>0</v>
      </c>
      <c r="M974">
        <v>0</v>
      </c>
      <c r="N974">
        <v>0</v>
      </c>
      <c r="O974">
        <v>0</v>
      </c>
      <c r="R974">
        <v>1</v>
      </c>
      <c r="S974">
        <v>3000</v>
      </c>
      <c r="T974">
        <v>932002</v>
      </c>
      <c r="U974">
        <v>0</v>
      </c>
      <c r="V974">
        <v>0</v>
      </c>
      <c r="W974">
        <v>0</v>
      </c>
    </row>
    <row r="975" spans="1:23" x14ac:dyDescent="0.25">
      <c r="A975" t="s">
        <v>3268</v>
      </c>
      <c r="B975" t="s">
        <v>2177</v>
      </c>
      <c r="C975">
        <v>1</v>
      </c>
      <c r="D975">
        <v>36</v>
      </c>
      <c r="E975">
        <v>360</v>
      </c>
      <c r="F975">
        <v>384585</v>
      </c>
      <c r="G975">
        <v>10</v>
      </c>
      <c r="H975">
        <v>10</v>
      </c>
      <c r="I975">
        <v>-384575</v>
      </c>
      <c r="J975">
        <v>-100</v>
      </c>
      <c r="K975">
        <v>10</v>
      </c>
      <c r="L975">
        <v>-384575</v>
      </c>
      <c r="M975">
        <v>-100</v>
      </c>
      <c r="N975">
        <v>10</v>
      </c>
      <c r="O975">
        <v>10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</row>
    <row r="976" spans="1:23" x14ac:dyDescent="0.25">
      <c r="A976" t="s">
        <v>2487</v>
      </c>
      <c r="B976" t="s">
        <v>2488</v>
      </c>
      <c r="C976">
        <v>7</v>
      </c>
      <c r="D976">
        <v>4160</v>
      </c>
      <c r="E976">
        <v>139713100</v>
      </c>
      <c r="F976">
        <v>33383</v>
      </c>
      <c r="G976">
        <v>33521</v>
      </c>
      <c r="H976">
        <v>33607</v>
      </c>
      <c r="I976">
        <v>224</v>
      </c>
      <c r="J976">
        <v>0.67</v>
      </c>
      <c r="K976">
        <v>33585</v>
      </c>
      <c r="L976">
        <v>202</v>
      </c>
      <c r="M976">
        <v>0.61</v>
      </c>
      <c r="N976">
        <v>33521</v>
      </c>
      <c r="O976">
        <v>33607</v>
      </c>
      <c r="R976">
        <v>1</v>
      </c>
      <c r="S976">
        <v>590</v>
      </c>
      <c r="T976">
        <v>33564</v>
      </c>
      <c r="U976">
        <v>33680</v>
      </c>
      <c r="V976">
        <v>50000</v>
      </c>
      <c r="W976">
        <v>1</v>
      </c>
    </row>
    <row r="977" spans="1:23" x14ac:dyDescent="0.25">
      <c r="A977" t="s">
        <v>2489</v>
      </c>
      <c r="B977" t="s">
        <v>2490</v>
      </c>
      <c r="C977">
        <v>0</v>
      </c>
      <c r="D977">
        <v>0</v>
      </c>
      <c r="E977">
        <v>0</v>
      </c>
      <c r="F977">
        <v>50</v>
      </c>
      <c r="G977">
        <v>0</v>
      </c>
      <c r="H977">
        <v>51</v>
      </c>
      <c r="I977">
        <v>1</v>
      </c>
      <c r="J977">
        <v>2</v>
      </c>
      <c r="K977">
        <v>50</v>
      </c>
      <c r="L977">
        <v>0</v>
      </c>
      <c r="M977">
        <v>0</v>
      </c>
      <c r="N977">
        <v>0</v>
      </c>
      <c r="O977">
        <v>0</v>
      </c>
      <c r="R977">
        <v>2</v>
      </c>
      <c r="S977">
        <v>101</v>
      </c>
      <c r="T977">
        <v>20</v>
      </c>
      <c r="U977">
        <v>54</v>
      </c>
      <c r="V977">
        <v>100</v>
      </c>
      <c r="W977">
        <v>1</v>
      </c>
    </row>
    <row r="978" spans="1:23" x14ac:dyDescent="0.25">
      <c r="A978" t="s">
        <v>2491</v>
      </c>
      <c r="B978" t="s">
        <v>2492</v>
      </c>
      <c r="C978">
        <v>513</v>
      </c>
      <c r="D978">
        <v>5398083</v>
      </c>
      <c r="E978">
        <v>11219610113</v>
      </c>
      <c r="F978">
        <v>2074</v>
      </c>
      <c r="G978">
        <v>2091</v>
      </c>
      <c r="H978">
        <v>2100</v>
      </c>
      <c r="I978">
        <v>26</v>
      </c>
      <c r="J978">
        <v>1.25</v>
      </c>
      <c r="K978">
        <v>2078</v>
      </c>
      <c r="L978">
        <v>4</v>
      </c>
      <c r="M978">
        <v>0.19</v>
      </c>
      <c r="N978">
        <v>2020</v>
      </c>
      <c r="O978">
        <v>2100</v>
      </c>
      <c r="P978" t="s">
        <v>831</v>
      </c>
      <c r="Q978" t="s">
        <v>2954</v>
      </c>
      <c r="R978">
        <v>1</v>
      </c>
      <c r="S978">
        <v>5000</v>
      </c>
      <c r="T978">
        <v>2086</v>
      </c>
      <c r="U978">
        <v>2099</v>
      </c>
      <c r="V978">
        <v>30000</v>
      </c>
      <c r="W978">
        <v>1</v>
      </c>
    </row>
    <row r="979" spans="1:23" x14ac:dyDescent="0.25">
      <c r="A979" t="s">
        <v>2493</v>
      </c>
      <c r="B979" t="s">
        <v>2494</v>
      </c>
      <c r="C979">
        <v>16</v>
      </c>
      <c r="D979">
        <v>25278</v>
      </c>
      <c r="E979">
        <v>21259468308</v>
      </c>
      <c r="F979">
        <v>842112</v>
      </c>
      <c r="G979">
        <v>839002</v>
      </c>
      <c r="H979">
        <v>841258</v>
      </c>
      <c r="I979">
        <v>-854</v>
      </c>
      <c r="J979">
        <v>-0.1</v>
      </c>
      <c r="K979">
        <v>841026</v>
      </c>
      <c r="L979">
        <v>-1086</v>
      </c>
      <c r="M979">
        <v>-0.13</v>
      </c>
      <c r="N979">
        <v>838911</v>
      </c>
      <c r="O979">
        <v>842701</v>
      </c>
      <c r="R979">
        <v>1</v>
      </c>
      <c r="S979">
        <v>2616</v>
      </c>
      <c r="T979">
        <v>841258</v>
      </c>
      <c r="U979">
        <v>842701</v>
      </c>
      <c r="V979">
        <v>588</v>
      </c>
      <c r="W979">
        <v>1</v>
      </c>
    </row>
    <row r="980" spans="1:23" x14ac:dyDescent="0.25">
      <c r="A980" t="s">
        <v>2495</v>
      </c>
      <c r="B980" t="s">
        <v>2496</v>
      </c>
      <c r="C980">
        <v>254</v>
      </c>
      <c r="D980">
        <v>409745</v>
      </c>
      <c r="E980">
        <v>5385236343</v>
      </c>
      <c r="F980">
        <v>13191</v>
      </c>
      <c r="G980">
        <v>13266</v>
      </c>
      <c r="H980">
        <v>13102</v>
      </c>
      <c r="I980">
        <v>-89</v>
      </c>
      <c r="J980">
        <v>-0.67</v>
      </c>
      <c r="K980">
        <v>13165</v>
      </c>
      <c r="L980">
        <v>-26</v>
      </c>
      <c r="M980">
        <v>-0.2</v>
      </c>
      <c r="N980">
        <v>13102</v>
      </c>
      <c r="O980">
        <v>13266</v>
      </c>
      <c r="P980" t="s">
        <v>2497</v>
      </c>
      <c r="Q980" t="s">
        <v>3269</v>
      </c>
      <c r="R980">
        <v>1</v>
      </c>
      <c r="S980">
        <v>2087</v>
      </c>
      <c r="T980">
        <v>13103</v>
      </c>
      <c r="U980">
        <v>13110</v>
      </c>
      <c r="V980">
        <v>1400</v>
      </c>
      <c r="W980">
        <v>1</v>
      </c>
    </row>
    <row r="981" spans="1:23" x14ac:dyDescent="0.25">
      <c r="A981" t="s">
        <v>2498</v>
      </c>
      <c r="B981" t="s">
        <v>2499</v>
      </c>
      <c r="C981">
        <v>24</v>
      </c>
      <c r="D981">
        <v>96571</v>
      </c>
      <c r="E981">
        <v>62858950499</v>
      </c>
      <c r="F981">
        <v>650910</v>
      </c>
      <c r="G981">
        <v>649000</v>
      </c>
      <c r="H981">
        <v>651100</v>
      </c>
      <c r="I981">
        <v>190</v>
      </c>
      <c r="J981">
        <v>0.03</v>
      </c>
      <c r="K981">
        <v>650909</v>
      </c>
      <c r="L981">
        <v>-1</v>
      </c>
      <c r="M981">
        <v>0</v>
      </c>
      <c r="N981">
        <v>649000</v>
      </c>
      <c r="O981">
        <v>651400</v>
      </c>
      <c r="R981">
        <v>2</v>
      </c>
      <c r="S981">
        <v>3050</v>
      </c>
      <c r="T981">
        <v>651101</v>
      </c>
      <c r="U981">
        <v>651598</v>
      </c>
      <c r="V981">
        <v>832</v>
      </c>
      <c r="W981">
        <v>1</v>
      </c>
    </row>
    <row r="982" spans="1:23" x14ac:dyDescent="0.25">
      <c r="A982" t="s">
        <v>2500</v>
      </c>
      <c r="B982" t="s">
        <v>2501</v>
      </c>
      <c r="C982">
        <v>0</v>
      </c>
      <c r="D982">
        <v>0</v>
      </c>
      <c r="E982">
        <v>0</v>
      </c>
      <c r="F982">
        <v>464</v>
      </c>
      <c r="G982">
        <v>0</v>
      </c>
      <c r="H982">
        <v>511</v>
      </c>
      <c r="I982">
        <v>47</v>
      </c>
      <c r="J982">
        <v>10.130000000000001</v>
      </c>
      <c r="K982">
        <v>464</v>
      </c>
      <c r="L982">
        <v>0</v>
      </c>
      <c r="M982">
        <v>0</v>
      </c>
      <c r="N982">
        <v>0</v>
      </c>
      <c r="O982">
        <v>0</v>
      </c>
      <c r="R982">
        <v>5</v>
      </c>
      <c r="S982">
        <v>500</v>
      </c>
      <c r="T982">
        <v>143</v>
      </c>
      <c r="U982">
        <v>520</v>
      </c>
      <c r="V982">
        <v>500</v>
      </c>
      <c r="W982">
        <v>5</v>
      </c>
    </row>
    <row r="983" spans="1:23" x14ac:dyDescent="0.25">
      <c r="A983" t="s">
        <v>2789</v>
      </c>
      <c r="B983" t="s">
        <v>2790</v>
      </c>
      <c r="C983">
        <v>0</v>
      </c>
      <c r="D983">
        <v>0</v>
      </c>
      <c r="E983">
        <v>0</v>
      </c>
      <c r="F983">
        <v>2100</v>
      </c>
      <c r="G983">
        <v>0</v>
      </c>
      <c r="H983">
        <v>2100</v>
      </c>
      <c r="I983">
        <v>0</v>
      </c>
      <c r="J983">
        <v>0</v>
      </c>
      <c r="K983">
        <v>2100</v>
      </c>
      <c r="L983">
        <v>0</v>
      </c>
      <c r="M983">
        <v>0</v>
      </c>
      <c r="N983">
        <v>0</v>
      </c>
      <c r="O983">
        <v>0</v>
      </c>
      <c r="R983">
        <v>1</v>
      </c>
      <c r="S983">
        <v>1100</v>
      </c>
      <c r="T983">
        <v>2111</v>
      </c>
      <c r="U983">
        <v>2111</v>
      </c>
      <c r="V983">
        <v>100</v>
      </c>
      <c r="W983">
        <v>1</v>
      </c>
    </row>
    <row r="984" spans="1:23" x14ac:dyDescent="0.25">
      <c r="A984" t="s">
        <v>2502</v>
      </c>
      <c r="B984" t="s">
        <v>2503</v>
      </c>
      <c r="C984">
        <v>0</v>
      </c>
      <c r="D984">
        <v>0</v>
      </c>
      <c r="E984">
        <v>0</v>
      </c>
      <c r="F984">
        <v>356</v>
      </c>
      <c r="G984">
        <v>0</v>
      </c>
      <c r="H984">
        <v>377</v>
      </c>
      <c r="I984">
        <v>21</v>
      </c>
      <c r="J984">
        <v>5.9</v>
      </c>
      <c r="K984">
        <v>356</v>
      </c>
      <c r="L984">
        <v>0</v>
      </c>
      <c r="M984">
        <v>0</v>
      </c>
      <c r="N984">
        <v>0</v>
      </c>
      <c r="O984">
        <v>0</v>
      </c>
      <c r="R984">
        <v>1</v>
      </c>
      <c r="S984">
        <v>100</v>
      </c>
      <c r="T984">
        <v>125</v>
      </c>
      <c r="U984">
        <v>399</v>
      </c>
      <c r="V984">
        <v>500</v>
      </c>
      <c r="W984">
        <v>5</v>
      </c>
    </row>
    <row r="985" spans="1:23" x14ac:dyDescent="0.25">
      <c r="A985" t="s">
        <v>2504</v>
      </c>
      <c r="B985" t="s">
        <v>2505</v>
      </c>
      <c r="C985">
        <v>0</v>
      </c>
      <c r="D985">
        <v>0</v>
      </c>
      <c r="E985">
        <v>0</v>
      </c>
      <c r="F985">
        <v>1169100</v>
      </c>
      <c r="G985">
        <v>0</v>
      </c>
      <c r="H985">
        <v>1160753</v>
      </c>
      <c r="I985">
        <v>-8347</v>
      </c>
      <c r="J985">
        <v>-0.71</v>
      </c>
      <c r="K985">
        <v>1169100</v>
      </c>
      <c r="L985">
        <v>0</v>
      </c>
      <c r="M985">
        <v>0</v>
      </c>
      <c r="N985">
        <v>0</v>
      </c>
      <c r="O985">
        <v>0</v>
      </c>
      <c r="R985">
        <v>2</v>
      </c>
      <c r="S985">
        <v>4</v>
      </c>
      <c r="T985">
        <v>1160977</v>
      </c>
      <c r="U985">
        <v>1227500</v>
      </c>
      <c r="V985">
        <v>1</v>
      </c>
      <c r="W985">
        <v>1</v>
      </c>
    </row>
  </sheetData>
  <mergeCells count="2">
    <mergeCell ref="H2:J2"/>
    <mergeCell ref="K2:M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قزوین</vt:lpstr>
      <vt:lpstr>قصفها</vt:lpstr>
      <vt:lpstr>قهکمت</vt:lpstr>
      <vt:lpstr>قپیرا</vt:lpstr>
      <vt:lpstr>قاروم</vt:lpstr>
      <vt:lpstr>قمرو</vt:lpstr>
      <vt:lpstr>قلرست</vt:lpstr>
      <vt:lpstr>پنل</vt:lpstr>
      <vt:lpstr>دیده بان بازار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mamali</dc:creator>
  <cp:lastModifiedBy>mamali</cp:lastModifiedBy>
  <dcterms:created xsi:type="dcterms:W3CDTF">2019-08-15T04:49:45Z</dcterms:created>
  <dcterms:modified xsi:type="dcterms:W3CDTF">2019-08-28T14:14:58Z</dcterms:modified>
</cp:coreProperties>
</file>