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تدریس\تحلیل صنعت\سنگ آهن\"/>
    </mc:Choice>
  </mc:AlternateContent>
  <bookViews>
    <workbookView xWindow="0" yWindow="0" windowWidth="15600" windowHeight="9735" tabRatio="739"/>
  </bookViews>
  <sheets>
    <sheet name="سودوزیان" sheetId="9" r:id="rId1"/>
    <sheet name="درآمد" sheetId="11" r:id="rId2"/>
    <sheet name="هزینه" sheetId="13" r:id="rId3"/>
    <sheet name="پنل" sheetId="12" r:id="rId4"/>
  </sheets>
  <calcPr calcId="152511"/>
</workbook>
</file>

<file path=xl/calcChain.xml><?xml version="1.0" encoding="utf-8"?>
<calcChain xmlns="http://schemas.openxmlformats.org/spreadsheetml/2006/main">
  <c r="H17" i="9" l="1"/>
  <c r="C17" i="9"/>
  <c r="D17" i="9"/>
  <c r="E17" i="9"/>
  <c r="F17" i="9"/>
  <c r="G17" i="9"/>
  <c r="B17" i="9"/>
  <c r="H66" i="13" l="1"/>
  <c r="I41" i="13"/>
  <c r="I42" i="13"/>
  <c r="I43" i="13"/>
  <c r="I44" i="13"/>
  <c r="I45" i="13"/>
  <c r="I46" i="13"/>
  <c r="E22" i="11"/>
  <c r="F22" i="11"/>
  <c r="G22" i="11"/>
  <c r="H22" i="11"/>
  <c r="I22" i="11"/>
  <c r="E23" i="11"/>
  <c r="F23" i="11"/>
  <c r="G23" i="11"/>
  <c r="H23" i="11"/>
  <c r="I23" i="11"/>
  <c r="E24" i="11"/>
  <c r="F24" i="11"/>
  <c r="G24" i="11"/>
  <c r="H24" i="11"/>
  <c r="I24" i="11"/>
  <c r="E26" i="11"/>
  <c r="F26" i="11"/>
  <c r="G26" i="11"/>
  <c r="H26" i="11"/>
  <c r="I26" i="11"/>
  <c r="E27" i="11"/>
  <c r="F27" i="11"/>
  <c r="G27" i="11"/>
  <c r="H27" i="11"/>
  <c r="I27" i="11"/>
  <c r="D27" i="11"/>
  <c r="D26" i="11"/>
  <c r="D23" i="11"/>
  <c r="D24" i="11"/>
  <c r="D22" i="11"/>
  <c r="D5" i="12" l="1"/>
  <c r="J32" i="13" s="1"/>
  <c r="J38" i="11"/>
  <c r="H11" i="9" l="1"/>
  <c r="H10" i="9"/>
  <c r="C5" i="12"/>
  <c r="G94" i="13" l="1"/>
  <c r="F94" i="13"/>
  <c r="E94" i="13"/>
  <c r="D94" i="13"/>
  <c r="G87" i="13"/>
  <c r="F87" i="13"/>
  <c r="E87" i="13"/>
  <c r="D87" i="13"/>
  <c r="F95" i="13" l="1"/>
  <c r="G95" i="13"/>
  <c r="D95" i="13"/>
  <c r="E95" i="13"/>
  <c r="I95" i="13"/>
  <c r="H95" i="13"/>
  <c r="H79" i="13"/>
  <c r="G79" i="13"/>
  <c r="F79" i="13"/>
  <c r="I79" i="13"/>
  <c r="E72" i="13"/>
  <c r="D72" i="13"/>
  <c r="E79" i="13" l="1"/>
  <c r="D79" i="13" s="1"/>
  <c r="E66" i="13"/>
  <c r="D66" i="13"/>
  <c r="H57" i="13" l="1"/>
  <c r="G57" i="13"/>
  <c r="F57" i="13"/>
  <c r="E57" i="13"/>
  <c r="D52" i="13" l="1"/>
  <c r="D57" i="13" s="1"/>
  <c r="G36" i="13" l="1"/>
  <c r="F36" i="13"/>
  <c r="G35" i="13"/>
  <c r="F35" i="13"/>
  <c r="H34" i="13"/>
  <c r="G34" i="13"/>
  <c r="F34" i="13"/>
  <c r="E34" i="13"/>
  <c r="D34" i="13"/>
  <c r="H33" i="13"/>
  <c r="G33" i="13"/>
  <c r="F33" i="13"/>
  <c r="E33" i="13"/>
  <c r="H32" i="13"/>
  <c r="H45" i="13" s="1"/>
  <c r="G32" i="13"/>
  <c r="G46" i="13" s="1"/>
  <c r="F32" i="13"/>
  <c r="F46" i="13" s="1"/>
  <c r="E32" i="13"/>
  <c r="E44" i="13" s="1"/>
  <c r="D32" i="13"/>
  <c r="D46" i="13" s="1"/>
  <c r="H17" i="13"/>
  <c r="G17" i="13"/>
  <c r="F17" i="13"/>
  <c r="E17" i="13"/>
  <c r="D41" i="13" l="1"/>
  <c r="F43" i="13"/>
  <c r="F41" i="13"/>
  <c r="F45" i="13"/>
  <c r="H44" i="13"/>
  <c r="G42" i="13"/>
  <c r="G44" i="13"/>
  <c r="H42" i="13"/>
  <c r="E42" i="13"/>
  <c r="D43" i="13"/>
  <c r="H43" i="13"/>
  <c r="G45" i="13"/>
  <c r="H41" i="13"/>
  <c r="F42" i="13"/>
  <c r="F44" i="13"/>
  <c r="H46" i="13"/>
  <c r="D44" i="13"/>
  <c r="E43" i="13"/>
  <c r="E46" i="13"/>
  <c r="G41" i="13"/>
  <c r="D45" i="13"/>
  <c r="G43" i="13"/>
  <c r="E45" i="13"/>
  <c r="E41" i="13"/>
  <c r="D12" i="13"/>
  <c r="I63" i="11"/>
  <c r="H63" i="11"/>
  <c r="H64" i="11" s="1"/>
  <c r="G63" i="11"/>
  <c r="F63" i="11"/>
  <c r="E63" i="11"/>
  <c r="E64" i="11" s="1"/>
  <c r="D63" i="11"/>
  <c r="D64" i="11" s="1"/>
  <c r="I59" i="11"/>
  <c r="H59" i="11"/>
  <c r="G59" i="11"/>
  <c r="G64" i="11" s="1"/>
  <c r="F59" i="11"/>
  <c r="E59" i="11"/>
  <c r="D59" i="11"/>
  <c r="I49" i="11"/>
  <c r="I48" i="11"/>
  <c r="I46" i="11"/>
  <c r="I45" i="11"/>
  <c r="I44" i="11"/>
  <c r="H38" i="11"/>
  <c r="G38" i="11"/>
  <c r="F38" i="11"/>
  <c r="F45" i="11" s="1"/>
  <c r="E38" i="11"/>
  <c r="E49" i="11" s="1"/>
  <c r="D49" i="11" s="1"/>
  <c r="D38" i="11"/>
  <c r="H37" i="11"/>
  <c r="H48" i="11" s="1"/>
  <c r="G37" i="11"/>
  <c r="F37" i="11"/>
  <c r="E37" i="11"/>
  <c r="D37" i="11"/>
  <c r="H35" i="11"/>
  <c r="H46" i="11" s="1"/>
  <c r="G35" i="11"/>
  <c r="F35" i="11"/>
  <c r="E35" i="11"/>
  <c r="D35" i="11"/>
  <c r="H34" i="11"/>
  <c r="H45" i="11" s="1"/>
  <c r="G34" i="11"/>
  <c r="F34" i="11"/>
  <c r="E34" i="11"/>
  <c r="D34" i="11"/>
  <c r="D45" i="11" s="1"/>
  <c r="H33" i="11"/>
  <c r="H44" i="11" s="1"/>
  <c r="G33" i="11"/>
  <c r="G44" i="11" s="1"/>
  <c r="F33" i="11"/>
  <c r="F44" i="11" s="1"/>
  <c r="E33" i="11"/>
  <c r="E44" i="11" s="1"/>
  <c r="D33" i="11"/>
  <c r="D44" i="11" s="1"/>
  <c r="I17" i="11"/>
  <c r="I18" i="13" s="1"/>
  <c r="H17" i="11"/>
  <c r="G17" i="11"/>
  <c r="F17" i="11"/>
  <c r="E17" i="11"/>
  <c r="D17" i="11"/>
  <c r="I6" i="11"/>
  <c r="H6" i="11"/>
  <c r="G6" i="11"/>
  <c r="F6" i="11"/>
  <c r="E6" i="11"/>
  <c r="D6" i="11"/>
  <c r="F16" i="9"/>
  <c r="I22" i="13" l="1"/>
  <c r="J22" i="13" s="1"/>
  <c r="I26" i="13"/>
  <c r="I23" i="13"/>
  <c r="J23" i="13" s="1"/>
  <c r="I27" i="13"/>
  <c r="I24" i="13"/>
  <c r="J24" i="13" s="1"/>
  <c r="I25" i="13"/>
  <c r="D18" i="13"/>
  <c r="D2" i="12"/>
  <c r="H18" i="13"/>
  <c r="H24" i="13" s="1"/>
  <c r="E18" i="13"/>
  <c r="E26" i="13" s="1"/>
  <c r="G46" i="11"/>
  <c r="F18" i="13"/>
  <c r="F25" i="13" s="1"/>
  <c r="G48" i="11"/>
  <c r="F48" i="11" s="1"/>
  <c r="E48" i="11" s="1"/>
  <c r="D48" i="11" s="1"/>
  <c r="J46" i="11" s="1"/>
  <c r="J35" i="11" s="1"/>
  <c r="F64" i="11"/>
  <c r="G18" i="13"/>
  <c r="G24" i="13" s="1"/>
  <c r="G45" i="11"/>
  <c r="F46" i="11"/>
  <c r="E46" i="11" s="1"/>
  <c r="D46" i="11" s="1"/>
  <c r="J44" i="11"/>
  <c r="J33" i="11" s="1"/>
  <c r="J6" i="11"/>
  <c r="E45" i="11"/>
  <c r="J45" i="11" s="1"/>
  <c r="J34" i="11" s="1"/>
  <c r="H49" i="11"/>
  <c r="G49" i="11" s="1"/>
  <c r="F49" i="11" s="1"/>
  <c r="D33" i="13"/>
  <c r="D17" i="13"/>
  <c r="F6" i="9"/>
  <c r="D6" i="9"/>
  <c r="C6" i="9"/>
  <c r="E4" i="9"/>
  <c r="E8" i="9" s="1"/>
  <c r="E12" i="9" s="1"/>
  <c r="D4" i="9"/>
  <c r="C4" i="9"/>
  <c r="B4" i="9"/>
  <c r="B8" i="9" s="1"/>
  <c r="B12" i="9" s="1"/>
  <c r="B14" i="9" s="1"/>
  <c r="F3" i="9"/>
  <c r="I64" i="11"/>
  <c r="H67" i="13"/>
  <c r="E67" i="13"/>
  <c r="D67" i="13"/>
  <c r="J49" i="11"/>
  <c r="F65" i="13"/>
  <c r="F67" i="13" s="1"/>
  <c r="J64" i="13"/>
  <c r="J46" i="13"/>
  <c r="G63" i="13"/>
  <c r="G67" i="13" s="1"/>
  <c r="H25" i="13" l="1"/>
  <c r="G27" i="13"/>
  <c r="H23" i="13"/>
  <c r="G23" i="13" s="1"/>
  <c r="E22" i="13"/>
  <c r="G26" i="13"/>
  <c r="G25" i="13"/>
  <c r="E27" i="13"/>
  <c r="E25" i="13"/>
  <c r="F26" i="13"/>
  <c r="F24" i="13"/>
  <c r="F23" i="13"/>
  <c r="D24" i="13"/>
  <c r="D23" i="13"/>
  <c r="D22" i="13"/>
  <c r="J22" i="11"/>
  <c r="J11" i="11" s="1"/>
  <c r="J56" i="11" s="1"/>
  <c r="F22" i="13"/>
  <c r="H22" i="13"/>
  <c r="H27" i="13"/>
  <c r="D27" i="13"/>
  <c r="E23" i="13"/>
  <c r="J27" i="11"/>
  <c r="J16" i="11" s="1"/>
  <c r="J62" i="11" s="1"/>
  <c r="E24" i="13"/>
  <c r="G22" i="13"/>
  <c r="F27" i="13"/>
  <c r="H26" i="13"/>
  <c r="D25" i="13"/>
  <c r="D26" i="13"/>
  <c r="J48" i="11"/>
  <c r="J37" i="11" s="1"/>
  <c r="H9" i="9"/>
  <c r="F4" i="9"/>
  <c r="F8" i="9" s="1"/>
  <c r="F12" i="9" s="1"/>
  <c r="F14" i="9" s="1"/>
  <c r="C8" i="9"/>
  <c r="C12" i="9" s="1"/>
  <c r="C14" i="9" s="1"/>
  <c r="D8" i="9"/>
  <c r="D12" i="9" s="1"/>
  <c r="D14" i="9" s="1"/>
  <c r="E14" i="9"/>
  <c r="J23" i="11"/>
  <c r="J12" i="11" s="1"/>
  <c r="J57" i="11" s="1"/>
  <c r="J24" i="11"/>
  <c r="J13" i="11" s="1"/>
  <c r="J37" i="13"/>
  <c r="D42" i="13"/>
  <c r="J26" i="13"/>
  <c r="J25" i="13"/>
  <c r="J27" i="13"/>
  <c r="J58" i="11"/>
  <c r="I17" i="13" l="1"/>
  <c r="J59" i="11"/>
  <c r="J26" i="11" l="1"/>
  <c r="J15" i="11"/>
  <c r="J17" i="11" s="1"/>
  <c r="J61" i="11"/>
  <c r="J63" i="11" s="1"/>
  <c r="J64" i="11" s="1"/>
  <c r="H2" i="9" s="1"/>
  <c r="J42" i="13"/>
  <c r="J33" i="13" s="1"/>
  <c r="J43" i="13"/>
  <c r="J34" i="13" s="1"/>
  <c r="J44" i="13"/>
  <c r="J35" i="13" s="1"/>
  <c r="J45" i="13"/>
  <c r="J36" i="13" s="1"/>
  <c r="J41" i="13"/>
  <c r="F15" i="9"/>
  <c r="E15" i="9"/>
  <c r="D15" i="9"/>
  <c r="C15" i="9"/>
  <c r="B15" i="9"/>
  <c r="I57" i="13" l="1"/>
  <c r="J13" i="13"/>
  <c r="J53" i="13" s="1"/>
  <c r="J16" i="13"/>
  <c r="J56" i="13" s="1"/>
  <c r="J18" i="13"/>
  <c r="J11" i="13"/>
  <c r="J14" i="13"/>
  <c r="J54" i="13" s="1"/>
  <c r="J12" i="13"/>
  <c r="J52" i="13" s="1"/>
  <c r="J15" i="13"/>
  <c r="J55" i="13" s="1"/>
  <c r="J95" i="13"/>
  <c r="H5" i="9" s="1"/>
  <c r="J17" i="13" l="1"/>
  <c r="J51" i="13"/>
  <c r="J57" i="13" s="1"/>
  <c r="J79" i="13" l="1"/>
  <c r="J63" i="13"/>
  <c r="J67" i="13" l="1"/>
  <c r="H3" i="9" s="1"/>
  <c r="H4" i="9" s="1"/>
  <c r="H8" i="9" s="1"/>
  <c r="H12" i="9" s="1"/>
  <c r="H13" i="9" l="1"/>
  <c r="H14" i="9" s="1"/>
  <c r="H15" i="9" s="1"/>
  <c r="D8" i="12" s="1"/>
  <c r="H6" i="12" s="1"/>
  <c r="C8" i="12" l="1"/>
</calcChain>
</file>

<file path=xl/sharedStrings.xml><?xml version="1.0" encoding="utf-8"?>
<sst xmlns="http://schemas.openxmlformats.org/spreadsheetml/2006/main" count="273" uniqueCount="84">
  <si>
    <t>شرح</t>
  </si>
  <si>
    <t>سود هر سهم</t>
  </si>
  <si>
    <t>سرمایه</t>
  </si>
  <si>
    <t>اسلب</t>
  </si>
  <si>
    <t>بلوم، بیلت</t>
  </si>
  <si>
    <t>گندله</t>
  </si>
  <si>
    <t>واحد</t>
  </si>
  <si>
    <t>تن</t>
  </si>
  <si>
    <t>جمع</t>
  </si>
  <si>
    <t>داخلی</t>
  </si>
  <si>
    <t>صادراتی</t>
  </si>
  <si>
    <t>جمع کل</t>
  </si>
  <si>
    <t>مقدار تولید</t>
  </si>
  <si>
    <t>مقدار فروش</t>
  </si>
  <si>
    <t>مبلغ فروش</t>
  </si>
  <si>
    <t>نرخ فروش</t>
  </si>
  <si>
    <t>م.ریال</t>
  </si>
  <si>
    <t>ریال</t>
  </si>
  <si>
    <t>سنگ آهن</t>
  </si>
  <si>
    <t>آهن قراضه</t>
  </si>
  <si>
    <t>آهن اسفنجی</t>
  </si>
  <si>
    <t>فرو آلیاژها</t>
  </si>
  <si>
    <t>مواد افزودنی</t>
  </si>
  <si>
    <t>مبلغ مواد اولیه</t>
  </si>
  <si>
    <t>نرخ مواد اولیه</t>
  </si>
  <si>
    <t>هزینه ها</t>
  </si>
  <si>
    <t>سربار</t>
  </si>
  <si>
    <t>هزینه انرژی</t>
  </si>
  <si>
    <t>سایر هزینه ها</t>
  </si>
  <si>
    <t>تعميرات و نگهداري</t>
  </si>
  <si>
    <t>حمل و نقل داخلي توليد</t>
  </si>
  <si>
    <t>عمومی اداری</t>
  </si>
  <si>
    <t xml:space="preserve">حقوق و مزایا </t>
  </si>
  <si>
    <t>انرژی</t>
  </si>
  <si>
    <t xml:space="preserve">آگهی و تبليغات </t>
  </si>
  <si>
    <t xml:space="preserve">بيمه و عوارض </t>
  </si>
  <si>
    <t xml:space="preserve">حسابرسی </t>
  </si>
  <si>
    <t xml:space="preserve">اجاره </t>
  </si>
  <si>
    <t xml:space="preserve">حق العمل کاری و کميسيون فروش </t>
  </si>
  <si>
    <t xml:space="preserve">مطالبات مشکوک الوصول </t>
  </si>
  <si>
    <t xml:space="preserve">پاداش هيئت مدیره </t>
  </si>
  <si>
    <t xml:space="preserve">حمل و نقل </t>
  </si>
  <si>
    <t xml:space="preserve">سایر هزینه ها </t>
  </si>
  <si>
    <t>ضریب مصرف</t>
  </si>
  <si>
    <t>گندله خریداری شده</t>
  </si>
  <si>
    <t>کارشناسی 98</t>
  </si>
  <si>
    <t>دلار</t>
  </si>
  <si>
    <t>سود (زیان) خالص</t>
  </si>
  <si>
    <t>درآمدهای عملیاتی</t>
  </si>
  <si>
    <t>بهای تمام ‌شده درآمدهای عملیاتی</t>
  </si>
  <si>
    <t>سود (زیان) ناخالص</t>
  </si>
  <si>
    <t>هزینه‌های فروش، اداری و عمومی</t>
  </si>
  <si>
    <t>سایر درآمدهای عملیاتی</t>
  </si>
  <si>
    <t>سایر هزینه‌های عملیاتی</t>
  </si>
  <si>
    <t>سود (زیان) عملیاتی</t>
  </si>
  <si>
    <t>هزینه‌های مالی</t>
  </si>
  <si>
    <t>سایر درآمدها و هزینه‌های غیرعملیاتی- درآمد سرمایه‌گذاری‌ها</t>
  </si>
  <si>
    <t>سایر درآمدها و هزینه‌های غیرعملیاتی- اقلام متفرقه</t>
  </si>
  <si>
    <t>سود (زیان) عملیات در حال تداوم قبل از مالیات</t>
  </si>
  <si>
    <t>مالیات بر درآمد</t>
  </si>
  <si>
    <t>سود (زیان) خالص هر سهم– ریال</t>
  </si>
  <si>
    <t>مقدار تولید فولاد</t>
  </si>
  <si>
    <t>نسبت نرخ به بیلت خارجی</t>
  </si>
  <si>
    <t>نرخ بیلت</t>
  </si>
  <si>
    <t>نرخ دلار</t>
  </si>
  <si>
    <t>جمع فولاد</t>
  </si>
  <si>
    <t>نسبت نرخ مواد اولیه به سنگ آهن</t>
  </si>
  <si>
    <t>نرخ سنگ آهن</t>
  </si>
  <si>
    <t>زمستان97</t>
  </si>
  <si>
    <t>دستمزدمستقيم توليد</t>
  </si>
  <si>
    <t>تغییر در موجودی کالا</t>
  </si>
  <si>
    <t>دستمزد غیرمستقیم</t>
  </si>
  <si>
    <t>مواد غیرمستقیم</t>
  </si>
  <si>
    <t>مواد مستقيم مصرفي</t>
  </si>
  <si>
    <t>سربارتوليد</t>
  </si>
  <si>
    <t xml:space="preserve"> استهلاك </t>
  </si>
  <si>
    <t>نسبت مالیات به درآمد</t>
  </si>
  <si>
    <t>نرخ بهره</t>
  </si>
  <si>
    <t>مانده تسهیلات ماهه</t>
  </si>
  <si>
    <t>استهلاك</t>
  </si>
  <si>
    <t>بیلت</t>
  </si>
  <si>
    <t>نسبت فروش به کل فولاد</t>
  </si>
  <si>
    <t>جمع تولید فولاد</t>
  </si>
  <si>
    <t>مصرف مواد اولیه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</si>
</sst>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-* #,##0_-;_-* #,##0\-;_-* &quot;-&quot;??_-;_-@_-"/>
    <numFmt numFmtId="166" formatCode="[$-2000401]#,##0"/>
    <numFmt numFmtId="167" formatCode="[$-3000401]#,##0"/>
    <numFmt numFmtId="168" formatCode="_(* #,##0.000_);_(* \(#,##0.000\);_(* &quot;-&quot;??_);_(@_)"/>
  </numFmts>
  <fonts count="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sz val="11"/>
      <color rgb="FFFF0000"/>
      <name val="Calibri"/>
      <family val="2"/>
      <charset val="178"/>
      <scheme val="minor"/>
    </font>
    <font>
      <sz val="14"/>
      <color theme="0"/>
      <name val="B Mitra"/>
      <charset val="178"/>
    </font>
    <font>
      <sz val="14"/>
      <color theme="1"/>
      <name val="B Mitra"/>
      <charset val="178"/>
    </font>
    <font>
      <sz val="14"/>
      <color rgb="FF555555"/>
      <name val="B Mitra"/>
      <charset val="178"/>
    </font>
    <font>
      <sz val="16"/>
      <color rgb="FFFFFFFF"/>
      <name val="B Mitra"/>
      <charset val="178"/>
    </font>
    <font>
      <sz val="16"/>
      <color rgb="FF555555"/>
      <name val="B Mitra"/>
      <charset val="17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007EC8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9" fontId="2" fillId="0" borderId="1" xfId="2" applyFont="1" applyBorder="1"/>
    <xf numFmtId="3" fontId="2" fillId="0" borderId="0" xfId="0" applyNumberFormat="1" applyFont="1"/>
    <xf numFmtId="165" fontId="2" fillId="0" borderId="0" xfId="1" applyNumberFormat="1" applyFont="1"/>
    <xf numFmtId="9" fontId="2" fillId="0" borderId="0" xfId="2" applyFont="1"/>
    <xf numFmtId="164" fontId="2" fillId="0" borderId="0" xfId="0" applyNumberFormat="1" applyFont="1"/>
    <xf numFmtId="168" fontId="2" fillId="0" borderId="0" xfId="0" applyNumberFormat="1" applyFont="1"/>
    <xf numFmtId="43" fontId="2" fillId="0" borderId="0" xfId="1" applyFont="1"/>
    <xf numFmtId="166" fontId="2" fillId="0" borderId="0" xfId="0" applyNumberFormat="1" applyFont="1"/>
    <xf numFmtId="0" fontId="2" fillId="0" borderId="0" xfId="0" applyFont="1" applyBorder="1"/>
    <xf numFmtId="167" fontId="0" fillId="0" borderId="4" xfId="0" applyNumberFormat="1" applyBorder="1" applyAlignment="1">
      <alignment vertical="center" wrapText="1"/>
    </xf>
    <xf numFmtId="167" fontId="3" fillId="0" borderId="4" xfId="0" applyNumberFormat="1" applyFont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2" fillId="6" borderId="3" xfId="0" applyFont="1" applyFill="1" applyBorder="1"/>
    <xf numFmtId="167" fontId="0" fillId="6" borderId="4" xfId="0" applyNumberFormat="1" applyFill="1" applyBorder="1" applyAlignment="1">
      <alignment vertical="center" wrapText="1"/>
    </xf>
    <xf numFmtId="167" fontId="0" fillId="0" borderId="5" xfId="0" applyNumberFormat="1" applyBorder="1" applyAlignment="1">
      <alignment vertical="center" wrapText="1"/>
    </xf>
    <xf numFmtId="0" fontId="5" fillId="0" borderId="0" xfId="0" applyFont="1"/>
    <xf numFmtId="0" fontId="6" fillId="3" borderId="7" xfId="0" applyFont="1" applyFill="1" applyBorder="1" applyAlignment="1">
      <alignment horizontal="center" wrapText="1"/>
    </xf>
    <xf numFmtId="3" fontId="6" fillId="3" borderId="7" xfId="0" applyNumberFormat="1" applyFont="1" applyFill="1" applyBorder="1" applyAlignment="1">
      <alignment horizontal="center" wrapText="1"/>
    </xf>
    <xf numFmtId="3" fontId="5" fillId="0" borderId="0" xfId="0" applyNumberFormat="1" applyFont="1"/>
    <xf numFmtId="0" fontId="7" fillId="7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wrapText="1"/>
    </xf>
    <xf numFmtId="3" fontId="6" fillId="5" borderId="7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3" fontId="8" fillId="5" borderId="7" xfId="0" applyNumberFormat="1" applyFont="1" applyFill="1" applyBorder="1" applyAlignment="1">
      <alignment horizontal="center" wrapText="1"/>
    </xf>
    <xf numFmtId="9" fontId="6" fillId="3" borderId="7" xfId="2" applyFont="1" applyFill="1" applyBorder="1" applyAlignment="1">
      <alignment horizontal="center" wrapText="1"/>
    </xf>
    <xf numFmtId="9" fontId="2" fillId="0" borderId="0" xfId="0" applyNumberFormat="1" applyFont="1"/>
    <xf numFmtId="0" fontId="6" fillId="3" borderId="0" xfId="0" applyFont="1" applyFill="1" applyBorder="1" applyAlignment="1">
      <alignment horizontal="center" wrapText="1"/>
    </xf>
    <xf numFmtId="3" fontId="6" fillId="3" borderId="0" xfId="0" applyNumberFormat="1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/>
    </xf>
    <xf numFmtId="9" fontId="6" fillId="3" borderId="7" xfId="2" applyNumberFormat="1" applyFont="1" applyFill="1" applyBorder="1" applyAlignment="1">
      <alignment horizontal="center" wrapText="1"/>
    </xf>
    <xf numFmtId="9" fontId="6" fillId="3" borderId="7" xfId="0" applyNumberFormat="1" applyFont="1" applyFill="1" applyBorder="1" applyAlignment="1">
      <alignment horizontal="center" wrapText="1"/>
    </xf>
    <xf numFmtId="3" fontId="2" fillId="0" borderId="0" xfId="0" applyNumberFormat="1" applyFont="1" applyBorder="1"/>
    <xf numFmtId="4" fontId="6" fillId="3" borderId="7" xfId="0" applyNumberFormat="1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167" fontId="0" fillId="6" borderId="4" xfId="0" applyNumberFormat="1" applyFill="1" applyBorder="1" applyAlignment="1">
      <alignment horizontal="center" vertical="center" wrapText="1"/>
    </xf>
    <xf numFmtId="0" fontId="2" fillId="5" borderId="8" xfId="0" applyFont="1" applyFill="1" applyBorder="1"/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E79B"/>
      <color rgb="FFFFD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tabSelected="1" workbookViewId="0">
      <pane xSplit="1" topLeftCell="B1" activePane="topRight" state="frozen"/>
      <selection pane="topRight" activeCell="J17" sqref="J17"/>
    </sheetView>
  </sheetViews>
  <sheetFormatPr defaultRowHeight="15"/>
  <cols>
    <col min="1" max="1" width="33.42578125" customWidth="1"/>
    <col min="2" max="4" width="12.28515625" bestFit="1" customWidth="1"/>
    <col min="5" max="5" width="14.42578125" customWidth="1"/>
    <col min="6" max="6" width="12.28515625" bestFit="1" customWidth="1"/>
    <col min="7" max="7" width="12.7109375" bestFit="1" customWidth="1"/>
    <col min="8" max="8" width="14.85546875" customWidth="1"/>
  </cols>
  <sheetData>
    <row r="1" spans="1:8" ht="21.75">
      <c r="A1" s="13" t="s">
        <v>0</v>
      </c>
      <c r="B1" s="13">
        <v>1392</v>
      </c>
      <c r="C1" s="13">
        <v>1393</v>
      </c>
      <c r="D1" s="13">
        <v>1394</v>
      </c>
      <c r="E1" s="13">
        <v>1395</v>
      </c>
      <c r="F1" s="13">
        <v>1396</v>
      </c>
      <c r="G1" s="13">
        <v>1397</v>
      </c>
      <c r="H1" s="13" t="s">
        <v>45</v>
      </c>
    </row>
    <row r="2" spans="1:8" ht="17.25">
      <c r="A2" s="14" t="s">
        <v>48</v>
      </c>
      <c r="B2" s="11">
        <v>55296567</v>
      </c>
      <c r="C2" s="11">
        <v>48152061</v>
      </c>
      <c r="D2" s="11">
        <v>41964174</v>
      </c>
      <c r="E2" s="11">
        <v>48071440</v>
      </c>
      <c r="F2" s="11">
        <v>71792060</v>
      </c>
      <c r="G2" s="11">
        <v>113131768</v>
      </c>
      <c r="H2" s="11">
        <f>درآمد!J64</f>
        <v>150035983.45295</v>
      </c>
    </row>
    <row r="3" spans="1:8" ht="17.25">
      <c r="A3" s="14" t="s">
        <v>49</v>
      </c>
      <c r="B3" s="12">
        <v>-35237255</v>
      </c>
      <c r="C3" s="12">
        <v>-34785083</v>
      </c>
      <c r="D3" s="12">
        <v>-36131474</v>
      </c>
      <c r="E3" s="12">
        <v>-36454589</v>
      </c>
      <c r="F3" s="12">
        <f>-50078936</f>
        <v>-50078936</v>
      </c>
      <c r="G3" s="12">
        <v>-75646575</v>
      </c>
      <c r="H3" s="12">
        <f>-هزینه!J67</f>
        <v>-93678451.209855735</v>
      </c>
    </row>
    <row r="4" spans="1:8" ht="17.25">
      <c r="A4" s="15" t="s">
        <v>50</v>
      </c>
      <c r="B4" s="16">
        <f t="shared" ref="B4" si="0">SUM(B2:B3)</f>
        <v>20059312</v>
      </c>
      <c r="C4" s="16">
        <f>SUM(C2:C3)</f>
        <v>13366978</v>
      </c>
      <c r="D4" s="16">
        <f>SUM(D2:D3)</f>
        <v>5832700</v>
      </c>
      <c r="E4" s="16">
        <f>SUM(E2:E3)</f>
        <v>11616851</v>
      </c>
      <c r="F4" s="16">
        <f>SUM(F2:F3)</f>
        <v>21713124</v>
      </c>
      <c r="G4" s="16">
        <v>37485193</v>
      </c>
      <c r="H4" s="16">
        <f>H2+H3</f>
        <v>56357532.243094265</v>
      </c>
    </row>
    <row r="5" spans="1:8" ht="17.25">
      <c r="A5" s="14" t="s">
        <v>51</v>
      </c>
      <c r="B5" s="12">
        <v>-2225852</v>
      </c>
      <c r="C5" s="12">
        <v>-2777349</v>
      </c>
      <c r="D5" s="12">
        <v>-3080948</v>
      </c>
      <c r="E5" s="12">
        <v>-3345777</v>
      </c>
      <c r="F5" s="12">
        <v>-4571710</v>
      </c>
      <c r="G5" s="12">
        <v>-6111763</v>
      </c>
      <c r="H5" s="12">
        <f>-هزینه!J95</f>
        <v>-6071703</v>
      </c>
    </row>
    <row r="6" spans="1:8" ht="17.25">
      <c r="A6" s="14" t="s">
        <v>52</v>
      </c>
      <c r="B6" s="11">
        <v>90192</v>
      </c>
      <c r="C6" s="11">
        <f>659977-81946</f>
        <v>578031</v>
      </c>
      <c r="D6" s="11">
        <f>463818-265107</f>
        <v>198711</v>
      </c>
      <c r="E6" s="11">
        <v>153714</v>
      </c>
      <c r="F6" s="11">
        <f>1352049-240491</f>
        <v>1111558</v>
      </c>
      <c r="G6" s="11">
        <v>369633</v>
      </c>
      <c r="H6" s="11">
        <v>0</v>
      </c>
    </row>
    <row r="7" spans="1:8" ht="17.25">
      <c r="A7" s="14" t="s">
        <v>53</v>
      </c>
      <c r="B7" s="12"/>
      <c r="C7" s="12"/>
      <c r="D7" s="12"/>
      <c r="E7" s="12"/>
      <c r="F7" s="12"/>
      <c r="G7" s="12">
        <v>-44912</v>
      </c>
      <c r="H7" s="12"/>
    </row>
    <row r="8" spans="1:8" ht="17.25">
      <c r="A8" s="15" t="s">
        <v>54</v>
      </c>
      <c r="B8" s="16">
        <f t="shared" ref="B8:F8" si="1">SUM(B4:B6)</f>
        <v>17923652</v>
      </c>
      <c r="C8" s="16">
        <f t="shared" si="1"/>
        <v>11167660</v>
      </c>
      <c r="D8" s="16">
        <f t="shared" si="1"/>
        <v>2950463</v>
      </c>
      <c r="E8" s="16">
        <f t="shared" si="1"/>
        <v>8424788</v>
      </c>
      <c r="F8" s="16">
        <f t="shared" si="1"/>
        <v>18252972</v>
      </c>
      <c r="G8" s="16">
        <v>31698151</v>
      </c>
      <c r="H8" s="39">
        <f>SUM(H4:H7)</f>
        <v>50285829.243094265</v>
      </c>
    </row>
    <row r="9" spans="1:8" ht="17.25">
      <c r="A9" s="14" t="s">
        <v>55</v>
      </c>
      <c r="B9" s="12">
        <v>-465711</v>
      </c>
      <c r="C9" s="12">
        <v>-1934779</v>
      </c>
      <c r="D9" s="12">
        <v>-1906232</v>
      </c>
      <c r="E9" s="12">
        <v>-1987942</v>
      </c>
      <c r="F9" s="12">
        <v>-1892356</v>
      </c>
      <c r="G9" s="12">
        <v>-2805131</v>
      </c>
      <c r="H9" s="12">
        <f>H19*H18</f>
        <v>0</v>
      </c>
    </row>
    <row r="10" spans="1:8" ht="17.25">
      <c r="A10" s="14" t="s">
        <v>56</v>
      </c>
      <c r="B10" s="11">
        <v>0</v>
      </c>
      <c r="C10" s="11">
        <v>1114042</v>
      </c>
      <c r="D10" s="11">
        <v>813135</v>
      </c>
      <c r="E10" s="11">
        <v>733590</v>
      </c>
      <c r="F10" s="11">
        <v>600171</v>
      </c>
      <c r="G10" s="11">
        <v>500416</v>
      </c>
      <c r="H10" s="11">
        <f>G10</f>
        <v>500416</v>
      </c>
    </row>
    <row r="11" spans="1:8" ht="17.25">
      <c r="A11" s="14" t="s">
        <v>57</v>
      </c>
      <c r="B11" s="11">
        <v>1633074</v>
      </c>
      <c r="C11" s="11">
        <v>272950</v>
      </c>
      <c r="D11" s="11">
        <v>435321</v>
      </c>
      <c r="E11" s="11">
        <v>-116788</v>
      </c>
      <c r="F11" s="11">
        <v>145197</v>
      </c>
      <c r="G11" s="11">
        <v>3852062</v>
      </c>
      <c r="H11" s="11">
        <f>G11</f>
        <v>3852062</v>
      </c>
    </row>
    <row r="12" spans="1:8" ht="17.25">
      <c r="A12" s="15" t="s">
        <v>58</v>
      </c>
      <c r="B12" s="16">
        <f t="shared" ref="B12" si="2">SUM(B8:B11)</f>
        <v>19091015</v>
      </c>
      <c r="C12" s="16">
        <f>SUM(C8:C11)</f>
        <v>10619873</v>
      </c>
      <c r="D12" s="16">
        <f>SUM(D8:D11)</f>
        <v>2292687</v>
      </c>
      <c r="E12" s="16">
        <f>SUM(E8:E11)</f>
        <v>7053648</v>
      </c>
      <c r="F12" s="16">
        <f>SUM(F8:F11)</f>
        <v>17105984</v>
      </c>
      <c r="G12" s="16">
        <v>33245498</v>
      </c>
      <c r="H12" s="16">
        <f>SUM(H8:H11)</f>
        <v>54638307.243094265</v>
      </c>
    </row>
    <row r="13" spans="1:8" ht="17.25">
      <c r="A13" s="14" t="s">
        <v>59</v>
      </c>
      <c r="B13" s="12">
        <v>-2987002</v>
      </c>
      <c r="C13" s="12">
        <v>-1401881</v>
      </c>
      <c r="D13" s="12">
        <v>-173317</v>
      </c>
      <c r="E13" s="12">
        <v>-586519</v>
      </c>
      <c r="F13" s="12">
        <v>-830795</v>
      </c>
      <c r="G13" s="12">
        <v>-1695129</v>
      </c>
      <c r="H13" s="12">
        <f>H17*H12</f>
        <v>-2785910.4146576216</v>
      </c>
    </row>
    <row r="14" spans="1:8" ht="17.25">
      <c r="A14" s="15" t="s">
        <v>47</v>
      </c>
      <c r="B14" s="16">
        <f t="shared" ref="B14:H14" si="3">SUM(B12:B13)</f>
        <v>16104013</v>
      </c>
      <c r="C14" s="16">
        <f>SUM(C12:C13)</f>
        <v>9217992</v>
      </c>
      <c r="D14" s="16">
        <f>SUM(D12:D13)</f>
        <v>2119370</v>
      </c>
      <c r="E14" s="16">
        <f>SUM(E12:E13)</f>
        <v>6467129</v>
      </c>
      <c r="F14" s="16">
        <f>SUM(F12:F13)</f>
        <v>16275189</v>
      </c>
      <c r="G14" s="16">
        <v>31550369</v>
      </c>
      <c r="H14" s="16">
        <f t="shared" si="3"/>
        <v>51852396.828436643</v>
      </c>
    </row>
    <row r="15" spans="1:8" ht="17.25">
      <c r="A15" s="15" t="s">
        <v>60</v>
      </c>
      <c r="B15" s="16">
        <f>B14*1000/B16</f>
        <v>2013.0016250000001</v>
      </c>
      <c r="C15" s="16">
        <f t="shared" ref="C15:F15" si="4">C14*1000/C16</f>
        <v>1152.249</v>
      </c>
      <c r="D15" s="16">
        <f t="shared" si="4"/>
        <v>264.92124999999999</v>
      </c>
      <c r="E15" s="16">
        <f t="shared" si="4"/>
        <v>446.87182144831399</v>
      </c>
      <c r="F15" s="16">
        <f t="shared" si="4"/>
        <v>1124.5984660033168</v>
      </c>
      <c r="G15" s="16">
        <v>1656</v>
      </c>
      <c r="H15" s="16">
        <f>1000*H14/H16</f>
        <v>2722.0967832307188</v>
      </c>
    </row>
    <row r="16" spans="1:8" ht="17.25">
      <c r="A16" s="14" t="s">
        <v>2</v>
      </c>
      <c r="B16" s="17">
        <v>8000000</v>
      </c>
      <c r="C16" s="17">
        <v>8000000</v>
      </c>
      <c r="D16" s="17">
        <v>8000000</v>
      </c>
      <c r="E16" s="17">
        <v>14472000</v>
      </c>
      <c r="F16" s="17">
        <f t="shared" ref="F16" si="5">E16</f>
        <v>14472000</v>
      </c>
      <c r="G16" s="17">
        <v>19048697</v>
      </c>
      <c r="H16" s="17">
        <v>19048697</v>
      </c>
    </row>
    <row r="17" spans="1:8" ht="17.25">
      <c r="A17" s="14" t="s">
        <v>76</v>
      </c>
      <c r="B17" s="2">
        <f>B13/B12</f>
        <v>-0.15646114153700053</v>
      </c>
      <c r="C17" s="2">
        <f t="shared" ref="C17:G17" si="6">C13/C12</f>
        <v>-0.13200543923642025</v>
      </c>
      <c r="D17" s="2">
        <f t="shared" si="6"/>
        <v>-7.5595578463174426E-2</v>
      </c>
      <c r="E17" s="2">
        <f t="shared" si="6"/>
        <v>-8.3151158095782496E-2</v>
      </c>
      <c r="F17" s="2">
        <f t="shared" si="6"/>
        <v>-4.8567507136683861E-2</v>
      </c>
      <c r="G17" s="2">
        <f t="shared" si="6"/>
        <v>-5.0988227037537533E-2</v>
      </c>
      <c r="H17" s="2">
        <f>G17</f>
        <v>-5.0988227037537533E-2</v>
      </c>
    </row>
    <row r="18" spans="1:8" ht="17.25">
      <c r="A18" s="14" t="s">
        <v>78</v>
      </c>
      <c r="B18" s="11"/>
      <c r="C18" s="11"/>
      <c r="D18" s="11"/>
      <c r="E18" s="11"/>
      <c r="F18" s="11"/>
      <c r="G18" s="11"/>
      <c r="H18" s="11"/>
    </row>
    <row r="19" spans="1:8" ht="17.25">
      <c r="A19" s="40" t="s">
        <v>77</v>
      </c>
      <c r="B19" s="2"/>
      <c r="C19" s="2"/>
      <c r="D19" s="2"/>
      <c r="E19" s="2"/>
      <c r="F19" s="2"/>
      <c r="G19" s="2"/>
      <c r="H1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rightToLeft="1" workbookViewId="0">
      <pane xSplit="2" topLeftCell="C1" activePane="topRight" state="frozen"/>
      <selection activeCell="A16" sqref="A16"/>
      <selection pane="topRight" activeCell="I57" sqref="I57"/>
    </sheetView>
  </sheetViews>
  <sheetFormatPr defaultRowHeight="15"/>
  <cols>
    <col min="2" max="2" width="24.5703125" bestFit="1" customWidth="1"/>
    <col min="4" max="9" width="13.7109375" customWidth="1"/>
    <col min="10" max="10" width="12.42578125" bestFit="1" customWidth="1"/>
    <col min="11" max="11" width="10.85546875" bestFit="1" customWidth="1"/>
    <col min="13" max="13" width="10.7109375" bestFit="1" customWidth="1"/>
  </cols>
  <sheetData>
    <row r="1" spans="2:12" s="18" customFormat="1" ht="21.75"/>
    <row r="2" spans="2:12" s="18" customFormat="1" ht="22.5" thickBot="1">
      <c r="B2" s="18" t="s">
        <v>12</v>
      </c>
      <c r="J2" s="1"/>
    </row>
    <row r="3" spans="2:12" s="18" customFormat="1" ht="24.75" thickBot="1">
      <c r="B3" s="22" t="s">
        <v>0</v>
      </c>
      <c r="C3" s="22" t="s">
        <v>6</v>
      </c>
      <c r="D3" s="22">
        <v>1392</v>
      </c>
      <c r="E3" s="22">
        <v>1393</v>
      </c>
      <c r="F3" s="22">
        <v>1394</v>
      </c>
      <c r="G3" s="22">
        <v>1395</v>
      </c>
      <c r="H3" s="22">
        <v>1396</v>
      </c>
      <c r="I3" s="22">
        <v>1397</v>
      </c>
      <c r="J3" s="33" t="s">
        <v>45</v>
      </c>
    </row>
    <row r="4" spans="2:12" s="18" customFormat="1" ht="22.5" thickBot="1">
      <c r="B4" s="19" t="s">
        <v>3</v>
      </c>
      <c r="C4" s="19" t="s">
        <v>7</v>
      </c>
      <c r="D4" s="20">
        <v>1298875</v>
      </c>
      <c r="E4" s="20">
        <v>1423339</v>
      </c>
      <c r="F4" s="20">
        <v>1052671</v>
      </c>
      <c r="G4" s="20">
        <v>1416345</v>
      </c>
      <c r="H4" s="20">
        <v>1436863</v>
      </c>
      <c r="I4" s="20">
        <v>1368737</v>
      </c>
      <c r="J4" s="20"/>
    </row>
    <row r="5" spans="2:12" s="18" customFormat="1" ht="22.5" thickBot="1">
      <c r="B5" s="19" t="s">
        <v>4</v>
      </c>
      <c r="C5" s="19" t="s">
        <v>7</v>
      </c>
      <c r="D5" s="20">
        <v>2252744</v>
      </c>
      <c r="E5" s="20">
        <v>2035532</v>
      </c>
      <c r="F5" s="20">
        <v>2385825</v>
      </c>
      <c r="G5" s="20">
        <v>2183343</v>
      </c>
      <c r="H5" s="20">
        <v>2328727</v>
      </c>
      <c r="I5" s="20">
        <v>2453730</v>
      </c>
      <c r="J5" s="20"/>
    </row>
    <row r="6" spans="2:12" s="18" customFormat="1" ht="22.5" thickBot="1">
      <c r="B6" s="23" t="s">
        <v>8</v>
      </c>
      <c r="C6" s="23" t="s">
        <v>7</v>
      </c>
      <c r="D6" s="24">
        <f t="shared" ref="D6:I6" si="0">SUM(D4:D5)</f>
        <v>3551619</v>
      </c>
      <c r="E6" s="24">
        <f t="shared" si="0"/>
        <v>3458871</v>
      </c>
      <c r="F6" s="24">
        <f t="shared" si="0"/>
        <v>3438496</v>
      </c>
      <c r="G6" s="24">
        <f t="shared" si="0"/>
        <v>3599688</v>
      </c>
      <c r="H6" s="24">
        <f t="shared" si="0"/>
        <v>3765590</v>
      </c>
      <c r="I6" s="24">
        <f t="shared" si="0"/>
        <v>3822467</v>
      </c>
      <c r="J6" s="24">
        <f>پنل!D2</f>
        <v>3562852.8</v>
      </c>
    </row>
    <row r="7" spans="2:12" s="18" customFormat="1" ht="21.75">
      <c r="B7" s="1"/>
      <c r="C7" s="1"/>
      <c r="D7" s="3"/>
      <c r="E7" s="3"/>
      <c r="F7" s="3"/>
      <c r="G7" s="3"/>
      <c r="H7" s="3"/>
      <c r="I7" s="3"/>
    </row>
    <row r="8" spans="2:12" s="18" customFormat="1" ht="22.5" thickBot="1">
      <c r="B8" s="18" t="s">
        <v>13</v>
      </c>
    </row>
    <row r="9" spans="2:12" s="18" customFormat="1" ht="24.75" thickBot="1">
      <c r="B9" s="22" t="s">
        <v>0</v>
      </c>
      <c r="C9" s="22" t="s">
        <v>6</v>
      </c>
      <c r="D9" s="22">
        <v>1392</v>
      </c>
      <c r="E9" s="22">
        <v>1393</v>
      </c>
      <c r="F9" s="22">
        <v>1394</v>
      </c>
      <c r="G9" s="22">
        <v>1395</v>
      </c>
      <c r="H9" s="22">
        <v>1396</v>
      </c>
      <c r="I9" s="22">
        <v>1397</v>
      </c>
      <c r="J9" s="33" t="s">
        <v>45</v>
      </c>
    </row>
    <row r="10" spans="2:12" s="18" customFormat="1" ht="22.5" thickBot="1">
      <c r="B10" s="25" t="s">
        <v>9</v>
      </c>
      <c r="C10" s="25"/>
      <c r="D10" s="26"/>
      <c r="E10" s="26"/>
      <c r="F10" s="26"/>
      <c r="G10" s="26"/>
      <c r="H10" s="26"/>
      <c r="I10" s="26"/>
      <c r="J10" s="25"/>
    </row>
    <row r="11" spans="2:12" s="18" customFormat="1" ht="22.5" thickBot="1">
      <c r="B11" s="19" t="s">
        <v>3</v>
      </c>
      <c r="C11" s="19" t="s">
        <v>7</v>
      </c>
      <c r="D11" s="20">
        <v>1252172</v>
      </c>
      <c r="E11" s="20">
        <v>1042727</v>
      </c>
      <c r="F11" s="20">
        <v>909429</v>
      </c>
      <c r="G11" s="20">
        <v>826253</v>
      </c>
      <c r="H11" s="20">
        <v>668477</v>
      </c>
      <c r="I11" s="20">
        <v>659397</v>
      </c>
      <c r="J11" s="20">
        <f>J22*$J$6</f>
        <v>837609.06612955616</v>
      </c>
    </row>
    <row r="12" spans="2:12" s="18" customFormat="1" ht="22.5" thickBot="1">
      <c r="B12" s="19" t="s">
        <v>4</v>
      </c>
      <c r="C12" s="19" t="s">
        <v>7</v>
      </c>
      <c r="D12" s="20">
        <v>2199532</v>
      </c>
      <c r="E12" s="20">
        <v>1316244</v>
      </c>
      <c r="F12" s="20">
        <v>1285524</v>
      </c>
      <c r="G12" s="20">
        <v>905693</v>
      </c>
      <c r="H12" s="20">
        <v>529519</v>
      </c>
      <c r="I12" s="20">
        <v>929681</v>
      </c>
      <c r="J12" s="20">
        <f>J23*$J$6</f>
        <v>1019848.8601776654</v>
      </c>
      <c r="L12" s="21"/>
    </row>
    <row r="13" spans="2:12" s="18" customFormat="1" ht="22.5" thickBot="1">
      <c r="B13" s="19" t="s">
        <v>5</v>
      </c>
      <c r="C13" s="19" t="s">
        <v>7</v>
      </c>
      <c r="D13" s="20">
        <v>459983</v>
      </c>
      <c r="E13" s="20">
        <v>992659</v>
      </c>
      <c r="F13" s="20">
        <v>697307</v>
      </c>
      <c r="G13" s="20">
        <v>747573</v>
      </c>
      <c r="H13" s="20">
        <v>504777</v>
      </c>
      <c r="I13" s="20">
        <v>523181</v>
      </c>
      <c r="J13" s="20">
        <f>J24*$J$6</f>
        <v>712631.59209714842</v>
      </c>
    </row>
    <row r="14" spans="2:12" s="18" customFormat="1" ht="22.5" thickBot="1">
      <c r="B14" s="25" t="s">
        <v>10</v>
      </c>
      <c r="C14" s="25"/>
      <c r="D14" s="26"/>
      <c r="E14" s="26"/>
      <c r="F14" s="26"/>
      <c r="G14" s="26"/>
      <c r="H14" s="26"/>
      <c r="I14" s="26"/>
      <c r="J14" s="26"/>
    </row>
    <row r="15" spans="2:12" s="18" customFormat="1" ht="22.5" thickBot="1">
      <c r="B15" s="19" t="s">
        <v>3</v>
      </c>
      <c r="C15" s="19" t="s">
        <v>7</v>
      </c>
      <c r="D15" s="20">
        <v>0</v>
      </c>
      <c r="E15" s="20">
        <v>292197</v>
      </c>
      <c r="F15" s="20">
        <v>20816</v>
      </c>
      <c r="G15" s="20">
        <v>707960</v>
      </c>
      <c r="H15" s="20">
        <v>842376</v>
      </c>
      <c r="I15" s="20">
        <v>727547</v>
      </c>
      <c r="J15" s="20">
        <f>J26*$J$6</f>
        <v>501539.46273005579</v>
      </c>
      <c r="L15" s="21"/>
    </row>
    <row r="16" spans="2:12" s="18" customFormat="1" ht="22.5" thickBot="1">
      <c r="B16" s="19" t="s">
        <v>4</v>
      </c>
      <c r="C16" s="19" t="s">
        <v>7</v>
      </c>
      <c r="D16" s="20">
        <v>21642</v>
      </c>
      <c r="E16" s="20">
        <v>335118</v>
      </c>
      <c r="F16" s="20">
        <v>1344106</v>
      </c>
      <c r="G16" s="20">
        <v>1191075</v>
      </c>
      <c r="H16" s="20">
        <v>1927491</v>
      </c>
      <c r="I16" s="20">
        <v>1455504</v>
      </c>
      <c r="J16" s="20">
        <f>J27*$J$6</f>
        <v>1203855.4109627225</v>
      </c>
    </row>
    <row r="17" spans="2:12" s="18" customFormat="1" ht="22.5" thickBot="1">
      <c r="B17" s="23" t="s">
        <v>65</v>
      </c>
      <c r="C17" s="23" t="s">
        <v>7</v>
      </c>
      <c r="D17" s="24">
        <f>D11+D12+D15+D16</f>
        <v>3473346</v>
      </c>
      <c r="E17" s="24">
        <f t="shared" ref="E17:I17" si="1">E11+E12+E15+E16</f>
        <v>2986286</v>
      </c>
      <c r="F17" s="24">
        <f t="shared" si="1"/>
        <v>3559875</v>
      </c>
      <c r="G17" s="24">
        <f t="shared" si="1"/>
        <v>3630981</v>
      </c>
      <c r="H17" s="24">
        <f t="shared" si="1"/>
        <v>3967863</v>
      </c>
      <c r="I17" s="24">
        <f t="shared" si="1"/>
        <v>3772129</v>
      </c>
      <c r="J17" s="24">
        <f>J11+J12+J15+J16</f>
        <v>3562852.8</v>
      </c>
    </row>
    <row r="18" spans="2:12" s="18" customFormat="1" ht="21.75">
      <c r="B18" s="31"/>
      <c r="C18" s="31"/>
      <c r="D18" s="32"/>
      <c r="E18" s="32"/>
      <c r="F18" s="32"/>
      <c r="G18" s="32"/>
      <c r="H18" s="32"/>
      <c r="I18" s="32"/>
      <c r="J18" s="31"/>
    </row>
    <row r="19" spans="2:12" s="18" customFormat="1" ht="22.5" thickBot="1">
      <c r="B19" s="18" t="s">
        <v>81</v>
      </c>
    </row>
    <row r="20" spans="2:12" s="18" customFormat="1" ht="24.75" thickBot="1">
      <c r="B20" s="22" t="s">
        <v>0</v>
      </c>
      <c r="C20" s="22" t="s">
        <v>6</v>
      </c>
      <c r="D20" s="22">
        <v>1392</v>
      </c>
      <c r="E20" s="22">
        <v>1393</v>
      </c>
      <c r="F20" s="22">
        <v>1394</v>
      </c>
      <c r="G20" s="22">
        <v>1395</v>
      </c>
      <c r="H20" s="22">
        <v>1396</v>
      </c>
      <c r="I20" s="22">
        <v>1397</v>
      </c>
      <c r="J20" s="33" t="s">
        <v>45</v>
      </c>
    </row>
    <row r="21" spans="2:12" s="18" customFormat="1" ht="22.5" thickBot="1">
      <c r="B21" s="25" t="s">
        <v>9</v>
      </c>
      <c r="C21" s="25"/>
      <c r="D21" s="26"/>
      <c r="E21" s="26"/>
      <c r="F21" s="26"/>
      <c r="G21" s="26"/>
      <c r="H21" s="26"/>
      <c r="I21" s="26"/>
      <c r="J21" s="25"/>
    </row>
    <row r="22" spans="2:12" s="18" customFormat="1" ht="22.5" thickBot="1">
      <c r="B22" s="19" t="s">
        <v>3</v>
      </c>
      <c r="C22" s="19" t="s">
        <v>7</v>
      </c>
      <c r="D22" s="29">
        <f>D11/D$17</f>
        <v>0.36050885802911659</v>
      </c>
      <c r="E22" s="29">
        <f t="shared" ref="E22:I22" si="2">E11/E$17</f>
        <v>0.34917184757253661</v>
      </c>
      <c r="F22" s="29">
        <f t="shared" si="2"/>
        <v>0.25546655430317078</v>
      </c>
      <c r="G22" s="29">
        <f t="shared" si="2"/>
        <v>0.22755640968652824</v>
      </c>
      <c r="H22" s="29">
        <f t="shared" si="2"/>
        <v>0.16847280261440478</v>
      </c>
      <c r="I22" s="29">
        <f t="shared" si="2"/>
        <v>0.17480764841287241</v>
      </c>
      <c r="J22" s="29">
        <f>AVERAGE(E22:I22)</f>
        <v>0.23509505251790258</v>
      </c>
    </row>
    <row r="23" spans="2:12" s="18" customFormat="1" ht="22.5" thickBot="1">
      <c r="B23" s="19" t="s">
        <v>4</v>
      </c>
      <c r="C23" s="19" t="s">
        <v>7</v>
      </c>
      <c r="D23" s="29">
        <f t="shared" ref="D23:I24" si="3">D12/D$17</f>
        <v>0.63326026258253565</v>
      </c>
      <c r="E23" s="29">
        <f t="shared" si="3"/>
        <v>0.44076287401809472</v>
      </c>
      <c r="F23" s="29">
        <f t="shared" si="3"/>
        <v>0.36111492678815971</v>
      </c>
      <c r="G23" s="29">
        <f t="shared" si="3"/>
        <v>0.2494347946188647</v>
      </c>
      <c r="H23" s="29">
        <f t="shared" si="3"/>
        <v>0.13345193621856399</v>
      </c>
      <c r="I23" s="29">
        <f t="shared" si="3"/>
        <v>0.24646055317832449</v>
      </c>
      <c r="J23" s="29">
        <f>AVERAGE(E23:I23)</f>
        <v>0.28624501696440152</v>
      </c>
    </row>
    <row r="24" spans="2:12" s="18" customFormat="1" ht="22.5" thickBot="1">
      <c r="B24" s="19" t="s">
        <v>5</v>
      </c>
      <c r="C24" s="19" t="s">
        <v>7</v>
      </c>
      <c r="D24" s="29">
        <f t="shared" si="3"/>
        <v>0.13243224256955685</v>
      </c>
      <c r="E24" s="29">
        <f t="shared" si="3"/>
        <v>0.33240587137333799</v>
      </c>
      <c r="F24" s="29">
        <f t="shared" si="3"/>
        <v>0.19587963060500721</v>
      </c>
      <c r="G24" s="29">
        <f t="shared" si="3"/>
        <v>0.20588733457982841</v>
      </c>
      <c r="H24" s="29">
        <f t="shared" si="3"/>
        <v>0.12721633786247155</v>
      </c>
      <c r="I24" s="29">
        <f t="shared" si="3"/>
        <v>0.13869647618095776</v>
      </c>
      <c r="J24" s="29">
        <f>AVERAGE(E24:I24)</f>
        <v>0.20001713012032057</v>
      </c>
    </row>
    <row r="25" spans="2:12" s="18" customFormat="1" ht="22.5" thickBot="1">
      <c r="B25" s="25" t="s">
        <v>10</v>
      </c>
      <c r="C25" s="25"/>
      <c r="D25" s="26"/>
      <c r="E25" s="26"/>
      <c r="F25" s="26"/>
      <c r="G25" s="26"/>
      <c r="H25" s="26"/>
      <c r="I25" s="26"/>
      <c r="J25" s="26"/>
    </row>
    <row r="26" spans="2:12" s="18" customFormat="1" ht="22.5" thickBot="1">
      <c r="B26" s="19" t="s">
        <v>3</v>
      </c>
      <c r="C26" s="19" t="s">
        <v>7</v>
      </c>
      <c r="D26" s="29">
        <f>D15/D$17</f>
        <v>0</v>
      </c>
      <c r="E26" s="29">
        <f t="shared" ref="E26:I26" si="4">E15/E$17</f>
        <v>9.7846287997867584E-2</v>
      </c>
      <c r="F26" s="29">
        <f t="shared" si="4"/>
        <v>5.8473963271182278E-3</v>
      </c>
      <c r="G26" s="29">
        <f t="shared" si="4"/>
        <v>0.19497761073384851</v>
      </c>
      <c r="H26" s="29">
        <f t="shared" si="4"/>
        <v>0.2122996686125504</v>
      </c>
      <c r="I26" s="29">
        <f t="shared" si="4"/>
        <v>0.19287436882460807</v>
      </c>
      <c r="J26" s="29">
        <f>AVERAGE(E26:I26)</f>
        <v>0.14076906649919857</v>
      </c>
      <c r="L26" s="21"/>
    </row>
    <row r="27" spans="2:12" s="18" customFormat="1" ht="22.5" thickBot="1">
      <c r="B27" s="19" t="s">
        <v>4</v>
      </c>
      <c r="C27" s="19" t="s">
        <v>7</v>
      </c>
      <c r="D27" s="29">
        <f>D16/D$17</f>
        <v>6.2308793883477202E-3</v>
      </c>
      <c r="E27" s="29">
        <f t="shared" ref="E27:I27" si="5">E16/E$17</f>
        <v>0.11221899041150112</v>
      </c>
      <c r="F27" s="29">
        <f t="shared" si="5"/>
        <v>0.37757112258155134</v>
      </c>
      <c r="G27" s="29">
        <f t="shared" si="5"/>
        <v>0.32803118496075856</v>
      </c>
      <c r="H27" s="29">
        <f t="shared" si="5"/>
        <v>0.48577559255448083</v>
      </c>
      <c r="I27" s="29">
        <f t="shared" si="5"/>
        <v>0.385857429584195</v>
      </c>
      <c r="J27" s="29">
        <f>AVERAGE(E27:I27)</f>
        <v>0.33789086401849738</v>
      </c>
    </row>
    <row r="28" spans="2:12" s="18" customFormat="1" ht="21.75">
      <c r="B28" s="1"/>
      <c r="C28" s="1"/>
      <c r="D28" s="30"/>
      <c r="E28" s="30"/>
      <c r="F28" s="30"/>
      <c r="G28" s="30"/>
      <c r="H28" s="30"/>
      <c r="I28" s="30"/>
      <c r="J28" s="1"/>
    </row>
    <row r="29" spans="2:12" s="18" customFormat="1" ht="21.75">
      <c r="B29" s="1"/>
      <c r="C29" s="1"/>
      <c r="D29" s="5"/>
      <c r="E29" s="5"/>
      <c r="F29" s="5"/>
      <c r="G29" s="5"/>
      <c r="H29" s="5"/>
      <c r="I29" s="4"/>
      <c r="J29" s="4"/>
    </row>
    <row r="30" spans="2:12" s="18" customFormat="1" ht="22.5" thickBot="1">
      <c r="B30" s="18" t="s">
        <v>15</v>
      </c>
    </row>
    <row r="31" spans="2:12" s="18" customFormat="1" ht="24.75" thickBot="1">
      <c r="B31" s="22" t="s">
        <v>0</v>
      </c>
      <c r="C31" s="22" t="s">
        <v>6</v>
      </c>
      <c r="D31" s="22">
        <v>1392</v>
      </c>
      <c r="E31" s="22">
        <v>1393</v>
      </c>
      <c r="F31" s="22">
        <v>1394</v>
      </c>
      <c r="G31" s="22">
        <v>1395</v>
      </c>
      <c r="H31" s="22">
        <v>1396</v>
      </c>
      <c r="I31" s="22">
        <v>1397</v>
      </c>
      <c r="J31" s="33" t="s">
        <v>45</v>
      </c>
    </row>
    <row r="32" spans="2:12" s="18" customFormat="1" ht="22.5" thickBot="1">
      <c r="B32" s="25" t="s">
        <v>9</v>
      </c>
      <c r="C32" s="25"/>
      <c r="D32" s="26"/>
      <c r="E32" s="26"/>
      <c r="F32" s="26"/>
      <c r="G32" s="26"/>
      <c r="H32" s="26"/>
      <c r="I32" s="26"/>
      <c r="J32" s="25"/>
    </row>
    <row r="33" spans="2:10" s="18" customFormat="1" ht="22.5" thickBot="1">
      <c r="B33" s="19" t="s">
        <v>3</v>
      </c>
      <c r="C33" s="19" t="s">
        <v>17</v>
      </c>
      <c r="D33" s="20">
        <f t="shared" ref="D33:H35" si="6">D56/D11*1000000</f>
        <v>14909072.39580505</v>
      </c>
      <c r="E33" s="20">
        <f t="shared" si="6"/>
        <v>14834655.667303139</v>
      </c>
      <c r="F33" s="20">
        <f t="shared" si="6"/>
        <v>12212081.426917329</v>
      </c>
      <c r="G33" s="20">
        <f t="shared" si="6"/>
        <v>13636403.135601323</v>
      </c>
      <c r="H33" s="20">
        <f t="shared" si="6"/>
        <v>17928818.79256878</v>
      </c>
      <c r="I33" s="20">
        <v>28740047</v>
      </c>
      <c r="J33" s="20">
        <f>$J$38*J44</f>
        <v>41687039.882432565</v>
      </c>
    </row>
    <row r="34" spans="2:10" s="18" customFormat="1" ht="22.5" thickBot="1">
      <c r="B34" s="19" t="s">
        <v>4</v>
      </c>
      <c r="C34" s="19" t="s">
        <v>17</v>
      </c>
      <c r="D34" s="20">
        <f t="shared" si="6"/>
        <v>15789160.603255602</v>
      </c>
      <c r="E34" s="20">
        <f t="shared" si="6"/>
        <v>14996565.98624571</v>
      </c>
      <c r="F34" s="20">
        <f t="shared" si="6"/>
        <v>11433281.681244379</v>
      </c>
      <c r="G34" s="20">
        <f t="shared" si="6"/>
        <v>12724777.601240156</v>
      </c>
      <c r="H34" s="20">
        <f t="shared" si="6"/>
        <v>16926854.37160895</v>
      </c>
      <c r="I34" s="20">
        <v>28370733</v>
      </c>
      <c r="J34" s="20">
        <f>$J$38*J45</f>
        <v>39609449.296919905</v>
      </c>
    </row>
    <row r="35" spans="2:10" s="18" customFormat="1" ht="22.5" thickBot="1">
      <c r="B35" s="19" t="s">
        <v>5</v>
      </c>
      <c r="C35" s="19" t="s">
        <v>17</v>
      </c>
      <c r="D35" s="20">
        <f t="shared" si="6"/>
        <v>3556509.6970975017</v>
      </c>
      <c r="E35" s="20">
        <f t="shared" si="6"/>
        <v>3542529.7106055552</v>
      </c>
      <c r="F35" s="20">
        <f t="shared" si="6"/>
        <v>2629007.0227317377</v>
      </c>
      <c r="G35" s="20">
        <f t="shared" si="6"/>
        <v>2575816.6760971835</v>
      </c>
      <c r="H35" s="20">
        <f t="shared" si="6"/>
        <v>3758124.8749447777</v>
      </c>
      <c r="I35" s="20">
        <v>6278026</v>
      </c>
      <c r="J35" s="20">
        <f>$J$38*J46</f>
        <v>8738171.9541903194</v>
      </c>
    </row>
    <row r="36" spans="2:10" s="18" customFormat="1" ht="22.5" thickBot="1">
      <c r="B36" s="25" t="s">
        <v>10</v>
      </c>
      <c r="C36" s="25"/>
      <c r="D36" s="26"/>
      <c r="E36" s="26"/>
      <c r="F36" s="26"/>
      <c r="G36" s="26"/>
      <c r="H36" s="26"/>
      <c r="I36" s="26"/>
      <c r="J36" s="26"/>
    </row>
    <row r="37" spans="2:10" s="18" customFormat="1" ht="22.5" thickBot="1">
      <c r="B37" s="19" t="s">
        <v>3</v>
      </c>
      <c r="C37" s="19" t="s">
        <v>17</v>
      </c>
      <c r="D37" s="20">
        <f>D61/D12*1000000</f>
        <v>0</v>
      </c>
      <c r="E37" s="20">
        <f t="shared" ref="E37:H38" si="7">E61/E15*1000000</f>
        <v>14896552.668234102</v>
      </c>
      <c r="F37" s="20">
        <f t="shared" si="7"/>
        <v>11343245.58032283</v>
      </c>
      <c r="G37" s="20">
        <f t="shared" si="7"/>
        <v>12404902.819368325</v>
      </c>
      <c r="H37" s="20">
        <f t="shared" si="7"/>
        <v>18742026.126100458</v>
      </c>
      <c r="I37" s="20">
        <v>25430998</v>
      </c>
      <c r="J37" s="20">
        <f>J38*J48</f>
        <v>40558274.813755937</v>
      </c>
    </row>
    <row r="38" spans="2:10" s="18" customFormat="1" ht="22.5" thickBot="1">
      <c r="B38" s="19" t="s">
        <v>4</v>
      </c>
      <c r="C38" s="19" t="s">
        <v>17</v>
      </c>
      <c r="D38" s="20">
        <f>D62/D16*1000000</f>
        <v>12159042.602347288</v>
      </c>
      <c r="E38" s="20">
        <f t="shared" si="7"/>
        <v>15144432.707285196</v>
      </c>
      <c r="F38" s="20">
        <f t="shared" si="7"/>
        <v>10483584.627998089</v>
      </c>
      <c r="G38" s="20">
        <f t="shared" si="7"/>
        <v>12234152.341372291</v>
      </c>
      <c r="H38" s="20">
        <f t="shared" si="7"/>
        <v>17203254.386142399</v>
      </c>
      <c r="I38" s="20">
        <v>31616640</v>
      </c>
      <c r="J38" s="20">
        <f>پنل!D3*پنل!D4</f>
        <v>40000000</v>
      </c>
    </row>
    <row r="41" spans="2:10" ht="22.5" thickBot="1">
      <c r="B41" s="18" t="s">
        <v>62</v>
      </c>
      <c r="C41" s="18"/>
      <c r="D41" s="18"/>
      <c r="E41" s="18"/>
      <c r="F41" s="18"/>
      <c r="G41" s="18"/>
      <c r="H41" s="18"/>
      <c r="I41" s="18"/>
      <c r="J41" s="18"/>
    </row>
    <row r="42" spans="2:10" s="18" customFormat="1" ht="24.75" thickBot="1">
      <c r="B42" s="22" t="s">
        <v>0</v>
      </c>
      <c r="C42" s="22" t="s">
        <v>6</v>
      </c>
      <c r="D42" s="22">
        <v>1392</v>
      </c>
      <c r="E42" s="22">
        <v>1393</v>
      </c>
      <c r="F42" s="22">
        <v>1394</v>
      </c>
      <c r="G42" s="22">
        <v>1395</v>
      </c>
      <c r="H42" s="22">
        <v>1396</v>
      </c>
      <c r="I42" s="22">
        <v>1397</v>
      </c>
      <c r="J42" s="22" t="s">
        <v>45</v>
      </c>
    </row>
    <row r="43" spans="2:10" s="18" customFormat="1" ht="22.5" thickBot="1">
      <c r="B43" s="25" t="s">
        <v>9</v>
      </c>
      <c r="C43" s="25"/>
      <c r="D43" s="26"/>
      <c r="E43" s="26"/>
      <c r="F43" s="26"/>
      <c r="G43" s="26"/>
      <c r="H43" s="26"/>
      <c r="I43" s="26"/>
      <c r="J43" s="25"/>
    </row>
    <row r="44" spans="2:10" s="18" customFormat="1" ht="22.5" thickBot="1">
      <c r="B44" s="19" t="s">
        <v>3</v>
      </c>
      <c r="C44" s="19"/>
      <c r="D44" s="34">
        <f>D33/D$38</f>
        <v>1.2261715731571556</v>
      </c>
      <c r="E44" s="34">
        <f t="shared" ref="E44:I44" si="8">E33/E$38</f>
        <v>0.97954515392094954</v>
      </c>
      <c r="F44" s="34">
        <f t="shared" si="8"/>
        <v>1.1648765055325649</v>
      </c>
      <c r="G44" s="34">
        <f t="shared" si="8"/>
        <v>1.1146177319933344</v>
      </c>
      <c r="H44" s="34">
        <f t="shared" si="8"/>
        <v>1.0421759970608142</v>
      </c>
      <c r="I44" s="34">
        <f t="shared" si="8"/>
        <v>0.90901648625533893</v>
      </c>
      <c r="J44" s="35">
        <f>MEDIAN(E44:I44)</f>
        <v>1.0421759970608142</v>
      </c>
    </row>
    <row r="45" spans="2:10" s="18" customFormat="1" ht="22.5" thickBot="1">
      <c r="B45" s="19" t="s">
        <v>4</v>
      </c>
      <c r="C45" s="19"/>
      <c r="D45" s="34">
        <f>D34/D$38</f>
        <v>1.2985529469407011</v>
      </c>
      <c r="E45" s="34">
        <f t="shared" ref="E45:I46" si="9">E34/E$38</f>
        <v>0.99023623242299763</v>
      </c>
      <c r="F45" s="34">
        <f t="shared" si="9"/>
        <v>1.0905889623583493</v>
      </c>
      <c r="G45" s="34">
        <f t="shared" si="9"/>
        <v>1.0401029222276983</v>
      </c>
      <c r="H45" s="34">
        <f t="shared" si="9"/>
        <v>0.98393327167468414</v>
      </c>
      <c r="I45" s="34">
        <f t="shared" si="9"/>
        <v>0.89733548536466878</v>
      </c>
      <c r="J45" s="35">
        <f>MEDIAN(E45:I45)</f>
        <v>0.99023623242299763</v>
      </c>
    </row>
    <row r="46" spans="2:10" s="18" customFormat="1" ht="22.5" thickBot="1">
      <c r="B46" s="19" t="s">
        <v>5</v>
      </c>
      <c r="C46" s="19"/>
      <c r="D46" s="34">
        <f>D35/D$38</f>
        <v>0.29249915584726399</v>
      </c>
      <c r="E46" s="34">
        <f t="shared" si="9"/>
        <v>0.23391630304523914</v>
      </c>
      <c r="F46" s="34">
        <f t="shared" si="9"/>
        <v>0.2507736729391733</v>
      </c>
      <c r="G46" s="34">
        <f t="shared" si="9"/>
        <v>0.21054312585159923</v>
      </c>
      <c r="H46" s="34">
        <f t="shared" si="9"/>
        <v>0.21845429885475798</v>
      </c>
      <c r="I46" s="34">
        <f t="shared" si="9"/>
        <v>0.19856714692010283</v>
      </c>
      <c r="J46" s="35">
        <f>MEDIAN(E46:I46)</f>
        <v>0.21845429885475798</v>
      </c>
    </row>
    <row r="47" spans="2:10" s="18" customFormat="1" ht="22.5" thickBot="1">
      <c r="B47" s="25" t="s">
        <v>10</v>
      </c>
      <c r="C47" s="25"/>
      <c r="D47" s="25"/>
      <c r="E47" s="25"/>
      <c r="F47" s="25"/>
      <c r="G47" s="25"/>
      <c r="H47" s="25"/>
      <c r="I47" s="25"/>
      <c r="J47" s="25"/>
    </row>
    <row r="48" spans="2:10" s="18" customFormat="1" ht="22.5" thickBot="1">
      <c r="B48" s="19" t="s">
        <v>3</v>
      </c>
      <c r="C48" s="19"/>
      <c r="D48" s="34">
        <f t="shared" ref="D48:I49" si="10">D37/D$38</f>
        <v>0</v>
      </c>
      <c r="E48" s="34">
        <f t="shared" si="10"/>
        <v>0.98363226646767354</v>
      </c>
      <c r="F48" s="34">
        <f t="shared" si="10"/>
        <v>1.0820006689342574</v>
      </c>
      <c r="G48" s="34">
        <f t="shared" si="10"/>
        <v>1.0139568703438984</v>
      </c>
      <c r="H48" s="34">
        <f t="shared" si="10"/>
        <v>1.0894465492062695</v>
      </c>
      <c r="I48" s="34">
        <f t="shared" si="10"/>
        <v>0.8043548587073136</v>
      </c>
      <c r="J48" s="35">
        <f>MEDIAN(E48:I48)</f>
        <v>1.0139568703438984</v>
      </c>
    </row>
    <row r="49" spans="2:10" s="18" customFormat="1" ht="22.5" thickBot="1">
      <c r="B49" s="19" t="s">
        <v>4</v>
      </c>
      <c r="C49" s="19"/>
      <c r="D49" s="34">
        <f t="shared" si="10"/>
        <v>1</v>
      </c>
      <c r="E49" s="34">
        <f t="shared" si="10"/>
        <v>1</v>
      </c>
      <c r="F49" s="34">
        <f t="shared" si="10"/>
        <v>1</v>
      </c>
      <c r="G49" s="34">
        <f t="shared" si="10"/>
        <v>1</v>
      </c>
      <c r="H49" s="34">
        <f t="shared" si="10"/>
        <v>1</v>
      </c>
      <c r="I49" s="34">
        <f t="shared" si="10"/>
        <v>1</v>
      </c>
      <c r="J49" s="35">
        <f>MEDIAN(E49:I49)</f>
        <v>1</v>
      </c>
    </row>
    <row r="53" spans="2:10" s="18" customFormat="1" ht="22.5" thickBot="1">
      <c r="B53" s="18" t="s">
        <v>14</v>
      </c>
    </row>
    <row r="54" spans="2:10" s="18" customFormat="1" ht="24.75" thickBot="1">
      <c r="B54" s="22" t="s">
        <v>0</v>
      </c>
      <c r="C54" s="22" t="s">
        <v>6</v>
      </c>
      <c r="D54" s="22">
        <v>1392</v>
      </c>
      <c r="E54" s="22">
        <v>1393</v>
      </c>
      <c r="F54" s="22">
        <v>1394</v>
      </c>
      <c r="G54" s="22">
        <v>1395</v>
      </c>
      <c r="H54" s="22">
        <v>1396</v>
      </c>
      <c r="I54" s="22">
        <v>1397</v>
      </c>
      <c r="J54" s="22" t="s">
        <v>45</v>
      </c>
    </row>
    <row r="55" spans="2:10" s="18" customFormat="1" ht="22.5" thickBot="1">
      <c r="B55" s="25" t="s">
        <v>9</v>
      </c>
      <c r="C55" s="25"/>
      <c r="D55" s="26"/>
      <c r="E55" s="26"/>
      <c r="F55" s="26"/>
      <c r="G55" s="26"/>
      <c r="H55" s="26"/>
      <c r="I55" s="26"/>
      <c r="J55" s="25"/>
    </row>
    <row r="56" spans="2:10" s="18" customFormat="1" ht="22.5" thickBot="1">
      <c r="B56" s="19" t="s">
        <v>3</v>
      </c>
      <c r="C56" s="19" t="s">
        <v>16</v>
      </c>
      <c r="D56" s="20">
        <v>18668723</v>
      </c>
      <c r="E56" s="20">
        <v>15468496</v>
      </c>
      <c r="F56" s="20">
        <v>11106021</v>
      </c>
      <c r="G56" s="20">
        <v>11267119</v>
      </c>
      <c r="H56" s="20">
        <v>11985003</v>
      </c>
      <c r="I56" s="20">
        <v>18951101</v>
      </c>
      <c r="J56" s="20">
        <f>J33*J11/1000000</f>
        <v>34917442.545629904</v>
      </c>
    </row>
    <row r="57" spans="2:10" s="18" customFormat="1" ht="22.5" thickBot="1">
      <c r="B57" s="19" t="s">
        <v>4</v>
      </c>
      <c r="C57" s="19" t="s">
        <v>16</v>
      </c>
      <c r="D57" s="20">
        <v>34728764</v>
      </c>
      <c r="E57" s="20">
        <v>19739140</v>
      </c>
      <c r="F57" s="20">
        <v>14697758</v>
      </c>
      <c r="G57" s="20">
        <v>11524742</v>
      </c>
      <c r="H57" s="20">
        <v>8963091</v>
      </c>
      <c r="I57" s="20">
        <v>26375731</v>
      </c>
      <c r="J57" s="20">
        <f>J34*J12/1000000</f>
        <v>40395651.717728794</v>
      </c>
    </row>
    <row r="58" spans="2:10" s="18" customFormat="1" ht="22.5" thickBot="1">
      <c r="B58" s="19" t="s">
        <v>5</v>
      </c>
      <c r="C58" s="19" t="s">
        <v>16</v>
      </c>
      <c r="D58" s="20">
        <v>1635934</v>
      </c>
      <c r="E58" s="20">
        <v>3516524</v>
      </c>
      <c r="F58" s="20">
        <v>1833225</v>
      </c>
      <c r="G58" s="20">
        <v>1925611</v>
      </c>
      <c r="H58" s="20">
        <v>1897015</v>
      </c>
      <c r="I58" s="20">
        <v>3284544</v>
      </c>
      <c r="J58" s="20">
        <f>J35*J13/1000000</f>
        <v>6227097.3917332981</v>
      </c>
    </row>
    <row r="59" spans="2:10" s="18" customFormat="1" ht="22.5" thickBot="1">
      <c r="B59" s="23" t="s">
        <v>8</v>
      </c>
      <c r="C59" s="23" t="s">
        <v>16</v>
      </c>
      <c r="D59" s="24">
        <f t="shared" ref="D59:J59" si="11">SUM(D56:D58)</f>
        <v>55033421</v>
      </c>
      <c r="E59" s="24">
        <f t="shared" si="11"/>
        <v>38724160</v>
      </c>
      <c r="F59" s="24">
        <f t="shared" si="11"/>
        <v>27637004</v>
      </c>
      <c r="G59" s="24">
        <f t="shared" si="11"/>
        <v>24717472</v>
      </c>
      <c r="H59" s="24">
        <f t="shared" si="11"/>
        <v>22845109</v>
      </c>
      <c r="I59" s="24">
        <f t="shared" si="11"/>
        <v>48611376</v>
      </c>
      <c r="J59" s="24">
        <f t="shared" si="11"/>
        <v>81540191.655092001</v>
      </c>
    </row>
    <row r="60" spans="2:10" s="18" customFormat="1" ht="22.5" thickBot="1">
      <c r="B60" s="25" t="s">
        <v>10</v>
      </c>
      <c r="C60" s="25"/>
      <c r="D60" s="26"/>
      <c r="E60" s="26"/>
      <c r="F60" s="26"/>
      <c r="G60" s="26"/>
      <c r="H60" s="26"/>
      <c r="I60" s="26"/>
      <c r="J60" s="26"/>
    </row>
    <row r="61" spans="2:10" s="18" customFormat="1" ht="22.5" thickBot="1">
      <c r="B61" s="19" t="s">
        <v>3</v>
      </c>
      <c r="C61" s="19" t="s">
        <v>16</v>
      </c>
      <c r="D61" s="20">
        <v>0</v>
      </c>
      <c r="E61" s="20">
        <v>4352728</v>
      </c>
      <c r="F61" s="20">
        <v>236121</v>
      </c>
      <c r="G61" s="20">
        <v>8782175</v>
      </c>
      <c r="H61" s="20">
        <v>15787833</v>
      </c>
      <c r="I61" s="20">
        <v>18502246</v>
      </c>
      <c r="J61" s="20">
        <f>J37*J15/1000000</f>
        <v>20341575.359349106</v>
      </c>
    </row>
    <row r="62" spans="2:10" s="18" customFormat="1" ht="22.5" thickBot="1">
      <c r="B62" s="19" t="s">
        <v>4</v>
      </c>
      <c r="C62" s="19" t="s">
        <v>16</v>
      </c>
      <c r="D62" s="20">
        <v>263146</v>
      </c>
      <c r="E62" s="20">
        <v>5075172</v>
      </c>
      <c r="F62" s="20">
        <v>14091049</v>
      </c>
      <c r="G62" s="20">
        <v>14571793</v>
      </c>
      <c r="H62" s="20">
        <v>33159118</v>
      </c>
      <c r="I62" s="20">
        <v>46018146</v>
      </c>
      <c r="J62" s="20">
        <f>J38*J16/1000000</f>
        <v>48154216.438508898</v>
      </c>
    </row>
    <row r="63" spans="2:10" s="18" customFormat="1" ht="22.5" thickBot="1">
      <c r="B63" s="23" t="s">
        <v>8</v>
      </c>
      <c r="C63" s="23" t="s">
        <v>16</v>
      </c>
      <c r="D63" s="24">
        <f t="shared" ref="D63:J63" si="12">SUM(D61:D62)</f>
        <v>263146</v>
      </c>
      <c r="E63" s="24">
        <f t="shared" si="12"/>
        <v>9427900</v>
      </c>
      <c r="F63" s="24">
        <f t="shared" si="12"/>
        <v>14327170</v>
      </c>
      <c r="G63" s="24">
        <f t="shared" si="12"/>
        <v>23353968</v>
      </c>
      <c r="H63" s="24">
        <f t="shared" si="12"/>
        <v>48946951</v>
      </c>
      <c r="I63" s="24">
        <f t="shared" si="12"/>
        <v>64520392</v>
      </c>
      <c r="J63" s="24">
        <f t="shared" si="12"/>
        <v>68495791.797858</v>
      </c>
    </row>
    <row r="64" spans="2:10" s="18" customFormat="1" ht="24.75" thickBot="1">
      <c r="B64" s="27" t="s">
        <v>11</v>
      </c>
      <c r="C64" s="27" t="s">
        <v>16</v>
      </c>
      <c r="D64" s="28">
        <f t="shared" ref="D64:J64" si="13">SUM(D63,D59)</f>
        <v>55296567</v>
      </c>
      <c r="E64" s="28">
        <f t="shared" si="13"/>
        <v>48152060</v>
      </c>
      <c r="F64" s="28">
        <f t="shared" si="13"/>
        <v>41964174</v>
      </c>
      <c r="G64" s="28">
        <f t="shared" si="13"/>
        <v>48071440</v>
      </c>
      <c r="H64" s="28">
        <f t="shared" si="13"/>
        <v>71792060</v>
      </c>
      <c r="I64" s="28">
        <f t="shared" si="13"/>
        <v>113131768</v>
      </c>
      <c r="J64" s="28">
        <f t="shared" si="13"/>
        <v>150035983.45295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95"/>
  <sheetViews>
    <sheetView rightToLeft="1" topLeftCell="A31" zoomScale="70" zoomScaleNormal="70" workbookViewId="0">
      <pane xSplit="3" topLeftCell="D1" activePane="topRight" state="frozen"/>
      <selection pane="topRight" activeCell="D18" sqref="D18"/>
    </sheetView>
  </sheetViews>
  <sheetFormatPr defaultColWidth="9" defaultRowHeight="17.25"/>
  <cols>
    <col min="1" max="1" width="9" style="1"/>
    <col min="2" max="2" width="19.42578125" style="1" bestFit="1" customWidth="1"/>
    <col min="3" max="3" width="10.28515625" style="1" bestFit="1" customWidth="1"/>
    <col min="4" max="5" width="11.28515625" style="1" bestFit="1" customWidth="1"/>
    <col min="6" max="6" width="19.42578125" style="1" bestFit="1" customWidth="1"/>
    <col min="7" max="9" width="11.28515625" style="1" bestFit="1" customWidth="1"/>
    <col min="10" max="10" width="23.85546875" style="1" bestFit="1" customWidth="1"/>
    <col min="11" max="11" width="12.140625" style="1" bestFit="1" customWidth="1"/>
    <col min="12" max="16384" width="9" style="1"/>
  </cols>
  <sheetData>
    <row r="9" spans="2:10" s="18" customFormat="1" ht="22.5" thickBot="1">
      <c r="B9" s="18" t="s">
        <v>83</v>
      </c>
    </row>
    <row r="10" spans="2:10" ht="24.75" thickBot="1">
      <c r="B10" s="22" t="s">
        <v>0</v>
      </c>
      <c r="C10" s="22" t="s">
        <v>6</v>
      </c>
      <c r="D10" s="22">
        <v>1392</v>
      </c>
      <c r="E10" s="22">
        <v>1393</v>
      </c>
      <c r="F10" s="22">
        <v>1394</v>
      </c>
      <c r="G10" s="22">
        <v>1395</v>
      </c>
      <c r="H10" s="22">
        <v>1396</v>
      </c>
      <c r="I10" s="22">
        <v>1397</v>
      </c>
      <c r="J10" s="22" t="s">
        <v>45</v>
      </c>
    </row>
    <row r="11" spans="2:10" ht="22.5" thickBot="1">
      <c r="B11" s="19" t="s">
        <v>18</v>
      </c>
      <c r="C11" s="19" t="s">
        <v>7</v>
      </c>
      <c r="D11" s="20">
        <v>5444482</v>
      </c>
      <c r="E11" s="20">
        <v>5885278</v>
      </c>
      <c r="F11" s="20">
        <v>5562226</v>
      </c>
      <c r="G11" s="20">
        <v>5445419</v>
      </c>
      <c r="H11" s="20">
        <v>5491612</v>
      </c>
      <c r="I11" s="20">
        <v>5814600</v>
      </c>
      <c r="J11" s="20">
        <f>J22*درآمد!J17</f>
        <v>5492008.3302771458</v>
      </c>
    </row>
    <row r="12" spans="2:10" ht="22.5" customHeight="1" thickBot="1">
      <c r="B12" s="19" t="s">
        <v>19</v>
      </c>
      <c r="C12" s="19" t="s">
        <v>7</v>
      </c>
      <c r="D12" s="20">
        <f>202354+3000</f>
        <v>205354</v>
      </c>
      <c r="E12" s="20">
        <v>171089</v>
      </c>
      <c r="F12" s="20">
        <v>125088</v>
      </c>
      <c r="G12" s="20">
        <v>162852</v>
      </c>
      <c r="H12" s="20">
        <v>166706</v>
      </c>
      <c r="I12" s="20">
        <v>127658</v>
      </c>
      <c r="J12" s="20">
        <f>J23*درآمد!$J$17</f>
        <v>120575.58549625424</v>
      </c>
    </row>
    <row r="13" spans="2:10" ht="22.5" thickBot="1">
      <c r="B13" s="19" t="s">
        <v>20</v>
      </c>
      <c r="C13" s="19" t="s">
        <v>7</v>
      </c>
      <c r="D13" s="20">
        <v>720642</v>
      </c>
      <c r="E13" s="20">
        <v>692556</v>
      </c>
      <c r="F13" s="20">
        <v>486760</v>
      </c>
      <c r="G13" s="20">
        <v>593927</v>
      </c>
      <c r="H13" s="20">
        <v>531004</v>
      </c>
      <c r="I13" s="20">
        <v>669612</v>
      </c>
      <c r="J13" s="20">
        <f>J24*درآمد!$J$17</f>
        <v>632462.19551706733</v>
      </c>
    </row>
    <row r="14" spans="2:10" ht="22.5" thickBot="1">
      <c r="B14" s="19" t="s">
        <v>21</v>
      </c>
      <c r="C14" s="19" t="s">
        <v>7</v>
      </c>
      <c r="D14" s="20">
        <v>0</v>
      </c>
      <c r="E14" s="20">
        <v>0</v>
      </c>
      <c r="F14" s="20">
        <v>56241</v>
      </c>
      <c r="G14" s="20">
        <v>52617</v>
      </c>
      <c r="H14" s="20">
        <v>0</v>
      </c>
      <c r="I14" s="20">
        <v>189197</v>
      </c>
      <c r="J14" s="20">
        <f>J25*درآمد!$J$17</f>
        <v>178700.42652348315</v>
      </c>
    </row>
    <row r="15" spans="2:10" ht="22.5" thickBot="1">
      <c r="B15" s="19" t="s">
        <v>22</v>
      </c>
      <c r="C15" s="19" t="s">
        <v>7</v>
      </c>
      <c r="D15" s="20">
        <v>0</v>
      </c>
      <c r="E15" s="20">
        <v>0</v>
      </c>
      <c r="F15" s="20">
        <v>125254</v>
      </c>
      <c r="G15" s="20">
        <v>95365</v>
      </c>
      <c r="H15" s="20">
        <v>0</v>
      </c>
      <c r="I15" s="20"/>
      <c r="J15" s="20">
        <f>J26*درآمد!$J$17</f>
        <v>0</v>
      </c>
    </row>
    <row r="16" spans="2:10" ht="22.5" thickBot="1">
      <c r="B16" s="19" t="s">
        <v>44</v>
      </c>
      <c r="C16" s="19" t="s">
        <v>7</v>
      </c>
      <c r="D16" s="20"/>
      <c r="E16" s="20"/>
      <c r="F16" s="20"/>
      <c r="G16" s="20"/>
      <c r="H16" s="20"/>
      <c r="I16" s="20">
        <v>245913</v>
      </c>
      <c r="J16" s="20">
        <f>J27*درآمد!$J$17</f>
        <v>232269.84565119594</v>
      </c>
    </row>
    <row r="17" spans="2:11" ht="22.5" thickBot="1">
      <c r="B17" s="23" t="s">
        <v>8</v>
      </c>
      <c r="C17" s="23" t="s">
        <v>7</v>
      </c>
      <c r="D17" s="24">
        <f>SUM(D11:D16)</f>
        <v>6370478</v>
      </c>
      <c r="E17" s="24">
        <f>SUM(E11:E16)</f>
        <v>6748923</v>
      </c>
      <c r="F17" s="24">
        <f t="shared" ref="F17:J17" si="0">SUM(F11:F16)</f>
        <v>6355569</v>
      </c>
      <c r="G17" s="24">
        <f>SUM(G11:G16)</f>
        <v>6350180</v>
      </c>
      <c r="H17" s="24">
        <f>SUM(H11:H16)</f>
        <v>6189322</v>
      </c>
      <c r="I17" s="24">
        <f t="shared" si="0"/>
        <v>7046980</v>
      </c>
      <c r="J17" s="24">
        <f t="shared" si="0"/>
        <v>6656016.3834651476</v>
      </c>
    </row>
    <row r="18" spans="2:11" ht="22.5" thickBot="1">
      <c r="B18" s="38" t="s">
        <v>82</v>
      </c>
      <c r="C18" s="23" t="s">
        <v>7</v>
      </c>
      <c r="D18" s="24">
        <f>درآمد!D6</f>
        <v>3551619</v>
      </c>
      <c r="E18" s="24">
        <f>درآمد!E6</f>
        <v>3458871</v>
      </c>
      <c r="F18" s="24">
        <f>درآمد!F6</f>
        <v>3438496</v>
      </c>
      <c r="G18" s="24">
        <f>درآمد!G6</f>
        <v>3599688</v>
      </c>
      <c r="H18" s="24">
        <f>درآمد!H6</f>
        <v>3765590</v>
      </c>
      <c r="I18" s="24">
        <f>درآمد!I17</f>
        <v>3772129</v>
      </c>
      <c r="J18" s="24">
        <f>درآمد!J17</f>
        <v>3562852.8</v>
      </c>
    </row>
    <row r="19" spans="2:11">
      <c r="B19" s="10"/>
      <c r="C19" s="10"/>
      <c r="D19" s="36"/>
      <c r="E19" s="36"/>
      <c r="F19" s="36"/>
      <c r="G19" s="36"/>
      <c r="H19" s="36"/>
      <c r="I19" s="36"/>
      <c r="J19" s="36"/>
      <c r="K19" s="36"/>
    </row>
    <row r="20" spans="2:11" s="18" customFormat="1" ht="22.5" thickBot="1">
      <c r="B20" s="18" t="s">
        <v>43</v>
      </c>
    </row>
    <row r="21" spans="2:11" ht="24.75" thickBot="1">
      <c r="B21" s="22" t="s">
        <v>0</v>
      </c>
      <c r="C21" s="22" t="s">
        <v>6</v>
      </c>
      <c r="D21" s="22">
        <v>1392</v>
      </c>
      <c r="E21" s="22">
        <v>1393</v>
      </c>
      <c r="F21" s="22">
        <v>1394</v>
      </c>
      <c r="G21" s="22">
        <v>1395</v>
      </c>
      <c r="H21" s="22">
        <v>1396</v>
      </c>
      <c r="I21" s="22">
        <v>1397</v>
      </c>
      <c r="J21" s="22" t="s">
        <v>45</v>
      </c>
    </row>
    <row r="22" spans="2:11" ht="22.5" thickBot="1">
      <c r="B22" s="19" t="s">
        <v>18</v>
      </c>
      <c r="C22" s="19" t="s">
        <v>7</v>
      </c>
      <c r="D22" s="37">
        <f t="shared" ref="D22:H22" si="1">D11/D$18</f>
        <v>1.5329577862940817</v>
      </c>
      <c r="E22" s="37">
        <f t="shared" si="1"/>
        <v>1.7015026001258793</v>
      </c>
      <c r="F22" s="37">
        <f t="shared" si="1"/>
        <v>1.6176334071640623</v>
      </c>
      <c r="G22" s="37">
        <f t="shared" si="1"/>
        <v>1.5127474936716738</v>
      </c>
      <c r="H22" s="37">
        <f t="shared" si="1"/>
        <v>1.4583669491367885</v>
      </c>
      <c r="I22" s="37">
        <f t="shared" ref="I22" si="2">I11/I$18</f>
        <v>1.5414637198250642</v>
      </c>
      <c r="J22" s="37">
        <f t="shared" ref="J22:J27" si="3">I22</f>
        <v>1.5414637198250642</v>
      </c>
    </row>
    <row r="23" spans="2:11" ht="22.5" thickBot="1">
      <c r="B23" s="19" t="s">
        <v>19</v>
      </c>
      <c r="C23" s="19" t="s">
        <v>7</v>
      </c>
      <c r="D23" s="37">
        <f t="shared" ref="D23:H27" si="4">D12/D$18</f>
        <v>5.781982808403717E-2</v>
      </c>
      <c r="E23" s="37">
        <f t="shared" si="4"/>
        <v>4.9463827936919301E-2</v>
      </c>
      <c r="F23" s="37">
        <f t="shared" si="4"/>
        <v>3.6378695801885477E-2</v>
      </c>
      <c r="G23" s="37">
        <f t="shared" si="4"/>
        <v>4.5240587517584856E-2</v>
      </c>
      <c r="H23" s="37">
        <f t="shared" si="4"/>
        <v>4.427088450946598E-2</v>
      </c>
      <c r="I23" s="37">
        <f t="shared" ref="I23" si="5">I12/I$18</f>
        <v>3.3842426915940575E-2</v>
      </c>
      <c r="J23" s="37">
        <f t="shared" si="3"/>
        <v>3.3842426915940575E-2</v>
      </c>
    </row>
    <row r="24" spans="2:11" ht="22.5" thickBot="1">
      <c r="B24" s="19" t="s">
        <v>20</v>
      </c>
      <c r="C24" s="19" t="s">
        <v>7</v>
      </c>
      <c r="D24" s="37">
        <f t="shared" si="4"/>
        <v>0.20290521027170988</v>
      </c>
      <c r="E24" s="37">
        <f t="shared" si="4"/>
        <v>0.20022602751013263</v>
      </c>
      <c r="F24" s="37">
        <f t="shared" si="4"/>
        <v>0.1415618921761142</v>
      </c>
      <c r="G24" s="37">
        <f t="shared" si="4"/>
        <v>0.16499402170410324</v>
      </c>
      <c r="H24" s="37">
        <f t="shared" si="4"/>
        <v>0.14101482105061888</v>
      </c>
      <c r="I24" s="37">
        <f t="shared" ref="I24" si="6">I13/I$18</f>
        <v>0.17751566820752948</v>
      </c>
      <c r="J24" s="37">
        <f t="shared" si="3"/>
        <v>0.17751566820752948</v>
      </c>
    </row>
    <row r="25" spans="2:11" ht="22.5" thickBot="1">
      <c r="B25" s="19" t="s">
        <v>21</v>
      </c>
      <c r="C25" s="19" t="s">
        <v>7</v>
      </c>
      <c r="D25" s="37">
        <f t="shared" si="4"/>
        <v>0</v>
      </c>
      <c r="E25" s="37">
        <f t="shared" si="4"/>
        <v>0</v>
      </c>
      <c r="F25" s="37">
        <f t="shared" si="4"/>
        <v>1.6356279024317608E-2</v>
      </c>
      <c r="G25" s="37">
        <f t="shared" si="4"/>
        <v>1.4617100148679552E-2</v>
      </c>
      <c r="H25" s="37">
        <f t="shared" si="4"/>
        <v>0</v>
      </c>
      <c r="I25" s="37">
        <f t="shared" ref="I25" si="7">I14/I$18</f>
        <v>5.0156556151711676E-2</v>
      </c>
      <c r="J25" s="37">
        <f t="shared" si="3"/>
        <v>5.0156556151711676E-2</v>
      </c>
    </row>
    <row r="26" spans="2:11" ht="22.5" thickBot="1">
      <c r="B26" s="19" t="s">
        <v>22</v>
      </c>
      <c r="C26" s="19" t="s">
        <v>7</v>
      </c>
      <c r="D26" s="37">
        <f t="shared" si="4"/>
        <v>0</v>
      </c>
      <c r="E26" s="37">
        <f t="shared" si="4"/>
        <v>0</v>
      </c>
      <c r="F26" s="37">
        <f t="shared" si="4"/>
        <v>3.6426972722957945E-2</v>
      </c>
      <c r="G26" s="37">
        <f t="shared" si="4"/>
        <v>2.6492573800840517E-2</v>
      </c>
      <c r="H26" s="37">
        <f t="shared" si="4"/>
        <v>0</v>
      </c>
      <c r="I26" s="37">
        <f t="shared" ref="I26" si="8">I15/I$18</f>
        <v>0</v>
      </c>
      <c r="J26" s="37">
        <f t="shared" si="3"/>
        <v>0</v>
      </c>
    </row>
    <row r="27" spans="2:11" ht="22.5" thickBot="1">
      <c r="B27" s="19" t="s">
        <v>44</v>
      </c>
      <c r="C27" s="19" t="s">
        <v>7</v>
      </c>
      <c r="D27" s="37">
        <f t="shared" si="4"/>
        <v>0</v>
      </c>
      <c r="E27" s="37">
        <f t="shared" si="4"/>
        <v>0</v>
      </c>
      <c r="F27" s="37">
        <f t="shared" si="4"/>
        <v>0</v>
      </c>
      <c r="G27" s="37">
        <f t="shared" si="4"/>
        <v>0</v>
      </c>
      <c r="H27" s="37">
        <f t="shared" si="4"/>
        <v>0</v>
      </c>
      <c r="I27" s="37">
        <f t="shared" ref="I27" si="9">I16/I$18</f>
        <v>6.5192097088938375E-2</v>
      </c>
      <c r="J27" s="37">
        <f t="shared" si="3"/>
        <v>6.5192097088938375E-2</v>
      </c>
    </row>
    <row r="28" spans="2:11">
      <c r="B28" s="10"/>
      <c r="C28" s="10"/>
      <c r="D28" s="36"/>
      <c r="E28" s="36"/>
      <c r="F28" s="36"/>
      <c r="G28" s="36"/>
      <c r="H28" s="36"/>
      <c r="I28" s="36"/>
      <c r="J28" s="36"/>
    </row>
    <row r="29" spans="2:11">
      <c r="B29" s="10"/>
      <c r="C29" s="10"/>
      <c r="D29" s="36"/>
      <c r="E29" s="36"/>
      <c r="F29" s="36"/>
      <c r="G29" s="36"/>
      <c r="H29" s="36"/>
      <c r="I29" s="36"/>
      <c r="J29" s="36"/>
    </row>
    <row r="30" spans="2:11" ht="22.5" thickBot="1">
      <c r="B30" s="18" t="s">
        <v>24</v>
      </c>
      <c r="C30" s="18"/>
      <c r="D30" s="18"/>
      <c r="E30" s="18"/>
      <c r="F30" s="18"/>
      <c r="G30" s="18"/>
      <c r="H30" s="18"/>
      <c r="I30" s="18"/>
      <c r="J30" s="18"/>
    </row>
    <row r="31" spans="2:11" ht="24.75" thickBot="1">
      <c r="B31" s="22" t="s">
        <v>0</v>
      </c>
      <c r="C31" s="22" t="s">
        <v>6</v>
      </c>
      <c r="D31" s="22">
        <v>1392</v>
      </c>
      <c r="E31" s="22">
        <v>1393</v>
      </c>
      <c r="F31" s="22">
        <v>1394</v>
      </c>
      <c r="G31" s="22">
        <v>1395</v>
      </c>
      <c r="H31" s="22">
        <v>1396</v>
      </c>
      <c r="I31" s="22">
        <v>1397</v>
      </c>
      <c r="J31" s="22" t="s">
        <v>45</v>
      </c>
    </row>
    <row r="32" spans="2:11" ht="22.5" thickBot="1">
      <c r="B32" s="19" t="s">
        <v>18</v>
      </c>
      <c r="C32" s="19" t="s">
        <v>17</v>
      </c>
      <c r="D32" s="20">
        <f t="shared" ref="D32:H34" si="10">D51/D11*1000000</f>
        <v>2565162.6729595214</v>
      </c>
      <c r="E32" s="20">
        <f t="shared" si="10"/>
        <v>2749518.2045775917</v>
      </c>
      <c r="F32" s="20">
        <f t="shared" si="10"/>
        <v>1998171.9548971942</v>
      </c>
      <c r="G32" s="20">
        <f t="shared" si="10"/>
        <v>1967776.9515991332</v>
      </c>
      <c r="H32" s="20">
        <f t="shared" si="10"/>
        <v>2959903.7586777797</v>
      </c>
      <c r="I32" s="20">
        <v>5129161</v>
      </c>
      <c r="J32" s="20">
        <f>پنل!D5</f>
        <v>6000000</v>
      </c>
      <c r="K32" s="7"/>
    </row>
    <row r="33" spans="2:11" ht="22.5" thickBot="1">
      <c r="B33" s="19" t="s">
        <v>19</v>
      </c>
      <c r="C33" s="19" t="s">
        <v>17</v>
      </c>
      <c r="D33" s="20">
        <f t="shared" si="10"/>
        <v>10511019.994740788</v>
      </c>
      <c r="E33" s="20">
        <f t="shared" si="10"/>
        <v>11300936.939253839</v>
      </c>
      <c r="F33" s="20">
        <f t="shared" si="10"/>
        <v>7733763.4305448961</v>
      </c>
      <c r="G33" s="20">
        <f t="shared" si="10"/>
        <v>8074300.5919485176</v>
      </c>
      <c r="H33" s="20">
        <f t="shared" si="10"/>
        <v>10147085.287872063</v>
      </c>
      <c r="I33" s="20">
        <v>19893708</v>
      </c>
      <c r="J33" s="20">
        <f>J42*$J$32</f>
        <v>23271300.705904923</v>
      </c>
      <c r="K33" s="6"/>
    </row>
    <row r="34" spans="2:11" ht="22.5" thickBot="1">
      <c r="B34" s="19" t="s">
        <v>20</v>
      </c>
      <c r="C34" s="19" t="s">
        <v>17</v>
      </c>
      <c r="D34" s="20">
        <f t="shared" si="10"/>
        <v>8172940.2393976487</v>
      </c>
      <c r="E34" s="20">
        <f t="shared" si="10"/>
        <v>7684811.0477708662</v>
      </c>
      <c r="F34" s="20">
        <f t="shared" si="10"/>
        <v>7050400.6081025554</v>
      </c>
      <c r="G34" s="20">
        <f t="shared" si="10"/>
        <v>7532804.536584463</v>
      </c>
      <c r="H34" s="20">
        <f t="shared" si="10"/>
        <v>9494762.7513163742</v>
      </c>
      <c r="I34" s="20">
        <v>13312288</v>
      </c>
      <c r="J34" s="20">
        <f>J43*$J$32</f>
        <v>15572474.328647513</v>
      </c>
      <c r="K34" s="6"/>
    </row>
    <row r="35" spans="2:11" ht="22.5" thickBot="1">
      <c r="B35" s="19" t="s">
        <v>21</v>
      </c>
      <c r="C35" s="19" t="s">
        <v>17</v>
      </c>
      <c r="D35" s="20"/>
      <c r="E35" s="20"/>
      <c r="F35" s="20">
        <f>F54/F14*1000000</f>
        <v>38900979.712309532</v>
      </c>
      <c r="G35" s="20">
        <f>G54/G14*1000000</f>
        <v>39846095.368417054</v>
      </c>
      <c r="H35" s="20"/>
      <c r="I35" s="20">
        <v>33611542</v>
      </c>
      <c r="J35" s="20">
        <f>J44*$J$32</f>
        <v>39318175.42869097</v>
      </c>
      <c r="K35" s="6"/>
    </row>
    <row r="36" spans="2:11" ht="22.5" thickBot="1">
      <c r="B36" s="19" t="s">
        <v>22</v>
      </c>
      <c r="C36" s="19" t="s">
        <v>17</v>
      </c>
      <c r="D36" s="20"/>
      <c r="E36" s="20"/>
      <c r="F36" s="20">
        <f>F55/F15*1000000</f>
        <v>5738842.6716911243</v>
      </c>
      <c r="G36" s="20">
        <f>G55/G15*1000000</f>
        <v>6228417.1341687199</v>
      </c>
      <c r="H36" s="20"/>
      <c r="I36" s="20"/>
      <c r="J36" s="20">
        <f>J45*$J$32</f>
        <v>0</v>
      </c>
    </row>
    <row r="37" spans="2:11" ht="22.5" thickBot="1">
      <c r="B37" s="19" t="s">
        <v>44</v>
      </c>
      <c r="C37" s="19" t="s">
        <v>17</v>
      </c>
      <c r="D37" s="20"/>
      <c r="E37" s="20"/>
      <c r="F37" s="20"/>
      <c r="G37" s="20"/>
      <c r="H37" s="20"/>
      <c r="I37" s="20">
        <v>6658961</v>
      </c>
      <c r="J37" s="20">
        <f>J46*$J$32</f>
        <v>7789532.4401008273</v>
      </c>
    </row>
    <row r="38" spans="2:11">
      <c r="B38" s="10"/>
      <c r="C38" s="10"/>
      <c r="D38" s="36"/>
      <c r="E38" s="36"/>
      <c r="F38" s="36"/>
      <c r="G38" s="36"/>
      <c r="H38" s="36"/>
      <c r="I38" s="36"/>
      <c r="J38" s="36"/>
    </row>
    <row r="39" spans="2:11" ht="22.5" thickBot="1">
      <c r="B39" s="18" t="s">
        <v>66</v>
      </c>
      <c r="C39" s="18"/>
      <c r="D39" s="18"/>
      <c r="E39" s="18"/>
      <c r="F39" s="18"/>
      <c r="G39" s="18"/>
      <c r="H39" s="18"/>
      <c r="I39" s="18"/>
      <c r="J39" s="18"/>
    </row>
    <row r="40" spans="2:11" ht="24.75" thickBot="1">
      <c r="B40" s="22" t="s">
        <v>0</v>
      </c>
      <c r="C40" s="22" t="s">
        <v>6</v>
      </c>
      <c r="D40" s="22">
        <v>1392</v>
      </c>
      <c r="E40" s="22">
        <v>1393</v>
      </c>
      <c r="F40" s="22">
        <v>1394</v>
      </c>
      <c r="G40" s="22">
        <v>1395</v>
      </c>
      <c r="H40" s="22">
        <v>1396</v>
      </c>
      <c r="I40" s="22">
        <v>1397</v>
      </c>
      <c r="J40" s="22" t="s">
        <v>45</v>
      </c>
    </row>
    <row r="41" spans="2:11" ht="22.5" thickBot="1">
      <c r="B41" s="19" t="s">
        <v>18</v>
      </c>
      <c r="C41" s="19"/>
      <c r="D41" s="37">
        <f t="shared" ref="D41:H41" si="11">D32/D$32</f>
        <v>1</v>
      </c>
      <c r="E41" s="37">
        <f t="shared" si="11"/>
        <v>1</v>
      </c>
      <c r="F41" s="37">
        <f t="shared" si="11"/>
        <v>1</v>
      </c>
      <c r="G41" s="37">
        <f t="shared" si="11"/>
        <v>1</v>
      </c>
      <c r="H41" s="37">
        <f t="shared" si="11"/>
        <v>1</v>
      </c>
      <c r="I41" s="37">
        <f t="shared" ref="I41" si="12">I32/I$32</f>
        <v>1</v>
      </c>
      <c r="J41" s="37">
        <f>I41</f>
        <v>1</v>
      </c>
      <c r="K41" s="7"/>
    </row>
    <row r="42" spans="2:11" ht="22.5" thickBot="1">
      <c r="B42" s="19" t="s">
        <v>19</v>
      </c>
      <c r="C42" s="19"/>
      <c r="D42" s="37">
        <f t="shared" ref="D42:H46" si="13">D33/D$32</f>
        <v>4.0976036746292746</v>
      </c>
      <c r="E42" s="37">
        <f t="shared" si="13"/>
        <v>4.1101517060113446</v>
      </c>
      <c r="F42" s="37">
        <f t="shared" si="13"/>
        <v>3.8704193658562271</v>
      </c>
      <c r="G42" s="37">
        <f t="shared" si="13"/>
        <v>4.1032600698909789</v>
      </c>
      <c r="H42" s="37">
        <f t="shared" si="13"/>
        <v>3.4281808177455315</v>
      </c>
      <c r="I42" s="37">
        <f t="shared" ref="I42" si="14">I33/I$32</f>
        <v>3.8785501176508204</v>
      </c>
      <c r="J42" s="37">
        <f t="shared" ref="J42:J46" si="15">I42</f>
        <v>3.8785501176508204</v>
      </c>
      <c r="K42" s="6"/>
    </row>
    <row r="43" spans="2:11" ht="22.5" thickBot="1">
      <c r="B43" s="19" t="s">
        <v>20</v>
      </c>
      <c r="C43" s="19"/>
      <c r="D43" s="37">
        <f t="shared" si="13"/>
        <v>3.1861294122014612</v>
      </c>
      <c r="E43" s="37">
        <f t="shared" si="13"/>
        <v>2.7949664181079621</v>
      </c>
      <c r="F43" s="37">
        <f t="shared" si="13"/>
        <v>3.5284253644052863</v>
      </c>
      <c r="G43" s="37">
        <f t="shared" si="13"/>
        <v>3.8280784468294824</v>
      </c>
      <c r="H43" s="37">
        <f t="shared" si="13"/>
        <v>3.2077944167879919</v>
      </c>
      <c r="I43" s="37">
        <f t="shared" ref="I43" si="16">I34/I$32</f>
        <v>2.5954123881079187</v>
      </c>
      <c r="J43" s="37">
        <f t="shared" si="15"/>
        <v>2.5954123881079187</v>
      </c>
      <c r="K43" s="6"/>
    </row>
    <row r="44" spans="2:11" ht="22.5" thickBot="1">
      <c r="B44" s="19" t="s">
        <v>21</v>
      </c>
      <c r="C44" s="19"/>
      <c r="D44" s="37">
        <f t="shared" si="13"/>
        <v>0</v>
      </c>
      <c r="E44" s="37">
        <f t="shared" si="13"/>
        <v>0</v>
      </c>
      <c r="F44" s="37">
        <f t="shared" si="13"/>
        <v>19.468284307048531</v>
      </c>
      <c r="G44" s="37">
        <f t="shared" si="13"/>
        <v>20.249294685576906</v>
      </c>
      <c r="H44" s="37">
        <f t="shared" si="13"/>
        <v>0</v>
      </c>
      <c r="I44" s="37">
        <f t="shared" ref="I44" si="17">I35/I$32</f>
        <v>6.5530292381151618</v>
      </c>
      <c r="J44" s="37">
        <f t="shared" si="15"/>
        <v>6.5530292381151618</v>
      </c>
      <c r="K44" s="6"/>
    </row>
    <row r="45" spans="2:11" ht="22.5" thickBot="1">
      <c r="B45" s="19" t="s">
        <v>22</v>
      </c>
      <c r="C45" s="19"/>
      <c r="D45" s="37">
        <f t="shared" si="13"/>
        <v>0</v>
      </c>
      <c r="E45" s="37">
        <f t="shared" si="13"/>
        <v>0</v>
      </c>
      <c r="F45" s="37">
        <f t="shared" si="13"/>
        <v>2.8720464510705175</v>
      </c>
      <c r="G45" s="37">
        <f t="shared" si="13"/>
        <v>3.1652048414873115</v>
      </c>
      <c r="H45" s="37">
        <f t="shared" si="13"/>
        <v>0</v>
      </c>
      <c r="I45" s="37">
        <f t="shared" ref="I45" si="18">I36/I$32</f>
        <v>0</v>
      </c>
      <c r="J45" s="37">
        <f t="shared" si="15"/>
        <v>0</v>
      </c>
    </row>
    <row r="46" spans="2:11" ht="22.5" thickBot="1">
      <c r="B46" s="19" t="s">
        <v>44</v>
      </c>
      <c r="C46" s="19"/>
      <c r="D46" s="37">
        <f t="shared" si="13"/>
        <v>0</v>
      </c>
      <c r="E46" s="37">
        <f t="shared" si="13"/>
        <v>0</v>
      </c>
      <c r="F46" s="37">
        <f t="shared" si="13"/>
        <v>0</v>
      </c>
      <c r="G46" s="37">
        <f t="shared" si="13"/>
        <v>0</v>
      </c>
      <c r="H46" s="37">
        <f t="shared" si="13"/>
        <v>0</v>
      </c>
      <c r="I46" s="37">
        <f t="shared" ref="I46" si="19">I37/I$32</f>
        <v>1.2982554066834713</v>
      </c>
      <c r="J46" s="37">
        <f t="shared" si="15"/>
        <v>1.2982554066834713</v>
      </c>
    </row>
    <row r="47" spans="2:11">
      <c r="B47" s="10"/>
      <c r="C47" s="10"/>
      <c r="D47" s="36"/>
      <c r="E47" s="36"/>
      <c r="F47" s="36"/>
      <c r="G47" s="36"/>
      <c r="H47" s="36"/>
      <c r="I47" s="36"/>
      <c r="J47" s="36"/>
    </row>
    <row r="49" spans="2:11" s="18" customFormat="1" ht="22.5" thickBot="1">
      <c r="B49" s="18" t="s">
        <v>23</v>
      </c>
    </row>
    <row r="50" spans="2:11" ht="24.75" thickBot="1">
      <c r="B50" s="22" t="s">
        <v>0</v>
      </c>
      <c r="C50" s="22" t="s">
        <v>6</v>
      </c>
      <c r="D50" s="22">
        <v>1392</v>
      </c>
      <c r="E50" s="22">
        <v>1393</v>
      </c>
      <c r="F50" s="22">
        <v>1394</v>
      </c>
      <c r="G50" s="22">
        <v>1395</v>
      </c>
      <c r="H50" s="22">
        <v>1396</v>
      </c>
      <c r="I50" s="22">
        <v>1397</v>
      </c>
      <c r="J50" s="22" t="s">
        <v>45</v>
      </c>
      <c r="K50" s="8"/>
    </row>
    <row r="51" spans="2:11" ht="22.5" thickBot="1">
      <c r="B51" s="19" t="s">
        <v>18</v>
      </c>
      <c r="C51" s="19" t="s">
        <v>16</v>
      </c>
      <c r="D51" s="20">
        <v>13965982</v>
      </c>
      <c r="E51" s="20">
        <v>16181679</v>
      </c>
      <c r="F51" s="20">
        <v>11114284</v>
      </c>
      <c r="G51" s="20">
        <v>10715370</v>
      </c>
      <c r="H51" s="20">
        <v>16254643</v>
      </c>
      <c r="I51" s="20">
        <v>29824020</v>
      </c>
      <c r="J51" s="20">
        <f t="shared" ref="J51:J56" si="20">J11*J32/1000000</f>
        <v>32952049.981662873</v>
      </c>
    </row>
    <row r="52" spans="2:11" ht="22.5" thickBot="1">
      <c r="B52" s="19" t="s">
        <v>19</v>
      </c>
      <c r="C52" s="19" t="s">
        <v>16</v>
      </c>
      <c r="D52" s="20">
        <f>2142824+15656</f>
        <v>2158480</v>
      </c>
      <c r="E52" s="20">
        <v>1933466</v>
      </c>
      <c r="F52" s="20">
        <v>967401</v>
      </c>
      <c r="G52" s="20">
        <v>1314916</v>
      </c>
      <c r="H52" s="20">
        <v>1691580</v>
      </c>
      <c r="I52" s="20">
        <v>2539591</v>
      </c>
      <c r="J52" s="20">
        <f t="shared" si="20"/>
        <v>2805950.7078738809</v>
      </c>
    </row>
    <row r="53" spans="2:11" ht="22.5" thickBot="1">
      <c r="B53" s="19" t="s">
        <v>20</v>
      </c>
      <c r="C53" s="19" t="s">
        <v>16</v>
      </c>
      <c r="D53" s="20">
        <v>5889764</v>
      </c>
      <c r="E53" s="20">
        <v>5322162</v>
      </c>
      <c r="F53" s="20">
        <v>3431853</v>
      </c>
      <c r="G53" s="20">
        <v>4473936</v>
      </c>
      <c r="H53" s="20">
        <v>5041757</v>
      </c>
      <c r="I53" s="20">
        <v>8914068</v>
      </c>
      <c r="J53" s="20">
        <f t="shared" si="20"/>
        <v>9849001.3035295736</v>
      </c>
    </row>
    <row r="54" spans="2:11" ht="22.5" thickBot="1">
      <c r="B54" s="19" t="s">
        <v>21</v>
      </c>
      <c r="C54" s="19" t="s">
        <v>16</v>
      </c>
      <c r="D54" s="20">
        <v>2409726</v>
      </c>
      <c r="E54" s="20">
        <v>2160255</v>
      </c>
      <c r="F54" s="20">
        <v>2187830</v>
      </c>
      <c r="G54" s="20">
        <v>2096582</v>
      </c>
      <c r="H54" s="20">
        <v>4590225</v>
      </c>
      <c r="I54" s="20">
        <v>6359203</v>
      </c>
      <c r="J54" s="20">
        <f t="shared" si="20"/>
        <v>7026174.7192322118</v>
      </c>
    </row>
    <row r="55" spans="2:11" ht="22.5" thickBot="1">
      <c r="B55" s="19" t="s">
        <v>22</v>
      </c>
      <c r="C55" s="19" t="s">
        <v>16</v>
      </c>
      <c r="D55" s="20">
        <v>983335</v>
      </c>
      <c r="E55" s="20">
        <v>834644</v>
      </c>
      <c r="F55" s="20">
        <v>718813</v>
      </c>
      <c r="G55" s="20">
        <v>593973</v>
      </c>
      <c r="H55" s="20"/>
      <c r="I55" s="20"/>
      <c r="J55" s="20">
        <f t="shared" si="20"/>
        <v>0</v>
      </c>
    </row>
    <row r="56" spans="2:11" ht="22.5" thickBot="1">
      <c r="B56" s="19" t="s">
        <v>44</v>
      </c>
      <c r="C56" s="19" t="s">
        <v>16</v>
      </c>
      <c r="D56" s="20"/>
      <c r="E56" s="20"/>
      <c r="F56" s="20"/>
      <c r="G56" s="20"/>
      <c r="H56" s="20"/>
      <c r="I56" s="20">
        <v>1637525</v>
      </c>
      <c r="J56" s="20">
        <f t="shared" si="20"/>
        <v>1809273.4975572028</v>
      </c>
    </row>
    <row r="57" spans="2:11" ht="22.5" thickBot="1">
      <c r="B57" s="23" t="s">
        <v>8</v>
      </c>
      <c r="C57" s="23" t="s">
        <v>16</v>
      </c>
      <c r="D57" s="24">
        <f>SUM(D51:D56)</f>
        <v>25407287</v>
      </c>
      <c r="E57" s="24">
        <f>SUM(E51:E56)</f>
        <v>26432206</v>
      </c>
      <c r="F57" s="24">
        <f t="shared" ref="F57:J57" si="21">SUM(F51:F56)</f>
        <v>18420181</v>
      </c>
      <c r="G57" s="24">
        <f>SUM(G51:G56)</f>
        <v>19194777</v>
      </c>
      <c r="H57" s="24">
        <f>SUM(H51:H56)</f>
        <v>27578205</v>
      </c>
      <c r="I57" s="24">
        <f t="shared" si="21"/>
        <v>49274407</v>
      </c>
      <c r="J57" s="24">
        <f t="shared" si="21"/>
        <v>54442450.209855735</v>
      </c>
    </row>
    <row r="58" spans="2:11">
      <c r="H58" s="5"/>
    </row>
    <row r="59" spans="2:11">
      <c r="H59" s="5"/>
    </row>
    <row r="60" spans="2:11">
      <c r="H60" s="5"/>
    </row>
    <row r="61" spans="2:11" ht="22.5" thickBot="1">
      <c r="B61" s="18" t="s">
        <v>25</v>
      </c>
      <c r="C61" s="18"/>
      <c r="D61" s="18"/>
      <c r="E61" s="18"/>
      <c r="F61" s="18"/>
      <c r="G61" s="18"/>
      <c r="H61" s="18"/>
      <c r="I61" s="18"/>
      <c r="J61" s="18"/>
      <c r="K61" s="18"/>
    </row>
    <row r="62" spans="2:11" ht="24.75" thickBot="1">
      <c r="B62" s="22" t="s">
        <v>0</v>
      </c>
      <c r="C62" s="22" t="s">
        <v>6</v>
      </c>
      <c r="D62" s="22">
        <v>1392</v>
      </c>
      <c r="E62" s="22">
        <v>1393</v>
      </c>
      <c r="F62" s="22">
        <v>1394</v>
      </c>
      <c r="G62" s="22">
        <v>1395</v>
      </c>
      <c r="H62" s="22">
        <v>1396</v>
      </c>
      <c r="I62" s="22">
        <v>1397</v>
      </c>
      <c r="J62" s="22" t="s">
        <v>45</v>
      </c>
    </row>
    <row r="63" spans="2:11" ht="22.5" thickBot="1">
      <c r="B63" s="19" t="s">
        <v>73</v>
      </c>
      <c r="C63" s="19" t="s">
        <v>16</v>
      </c>
      <c r="D63" s="20">
        <v>25482768</v>
      </c>
      <c r="E63" s="20">
        <v>26432206</v>
      </c>
      <c r="F63" s="20">
        <v>18733967</v>
      </c>
      <c r="G63" s="20">
        <f>G57</f>
        <v>19194777</v>
      </c>
      <c r="H63" s="20">
        <v>27578205</v>
      </c>
      <c r="I63" s="20">
        <v>49700570</v>
      </c>
      <c r="J63" s="20">
        <f>J57</f>
        <v>54442450.209855735</v>
      </c>
    </row>
    <row r="64" spans="2:11" ht="22.5" thickBot="1">
      <c r="B64" s="19" t="s">
        <v>69</v>
      </c>
      <c r="C64" s="19" t="s">
        <v>16</v>
      </c>
      <c r="D64" s="20">
        <v>756106</v>
      </c>
      <c r="E64" s="20">
        <v>821821</v>
      </c>
      <c r="F64" s="20">
        <v>953584</v>
      </c>
      <c r="G64" s="20">
        <v>1070759</v>
      </c>
      <c r="H64" s="20">
        <v>1238594</v>
      </c>
      <c r="I64" s="20">
        <v>1562780</v>
      </c>
      <c r="J64" s="20">
        <f>I64*1.2</f>
        <v>1875336</v>
      </c>
    </row>
    <row r="65" spans="2:12" ht="22.5" thickBot="1">
      <c r="B65" s="19" t="s">
        <v>74</v>
      </c>
      <c r="C65" s="19" t="s">
        <v>16</v>
      </c>
      <c r="D65" s="20">
        <v>10515352</v>
      </c>
      <c r="E65" s="20">
        <v>13462669</v>
      </c>
      <c r="F65" s="20">
        <f>F79</f>
        <v>15136576</v>
      </c>
      <c r="G65" s="20">
        <v>15543994</v>
      </c>
      <c r="H65" s="20">
        <v>18472693</v>
      </c>
      <c r="I65" s="20">
        <v>28949379</v>
      </c>
      <c r="J65" s="20">
        <v>37360665</v>
      </c>
    </row>
    <row r="66" spans="2:12" ht="22.5" thickBot="1">
      <c r="B66" s="19" t="s">
        <v>70</v>
      </c>
      <c r="C66" s="19" t="s">
        <v>16</v>
      </c>
      <c r="D66" s="20">
        <f>35237255-D63-D64-D65</f>
        <v>-1516971</v>
      </c>
      <c r="E66" s="20">
        <f>34785082-E65-E64-E63</f>
        <v>-5931614</v>
      </c>
      <c r="F66" s="20">
        <v>1307347</v>
      </c>
      <c r="G66" s="20">
        <v>993528</v>
      </c>
      <c r="H66" s="20">
        <f>50078936-47289492</f>
        <v>2789444</v>
      </c>
      <c r="I66" s="20">
        <v>-4566154</v>
      </c>
      <c r="J66" s="20">
        <v>0</v>
      </c>
    </row>
    <row r="67" spans="2:12" ht="22.5" thickBot="1">
      <c r="B67" s="23" t="s">
        <v>8</v>
      </c>
      <c r="C67" s="23" t="s">
        <v>16</v>
      </c>
      <c r="D67" s="24">
        <f t="shared" ref="D67:J67" si="22">SUM(D63:D66)</f>
        <v>35237255</v>
      </c>
      <c r="E67" s="24">
        <f t="shared" si="22"/>
        <v>34785082</v>
      </c>
      <c r="F67" s="24">
        <f t="shared" si="22"/>
        <v>36131474</v>
      </c>
      <c r="G67" s="24">
        <f t="shared" si="22"/>
        <v>36803058</v>
      </c>
      <c r="H67" s="24">
        <f t="shared" si="22"/>
        <v>50078936</v>
      </c>
      <c r="I67" s="24">
        <v>75646575</v>
      </c>
      <c r="J67" s="24">
        <f t="shared" si="22"/>
        <v>93678451.209855735</v>
      </c>
    </row>
    <row r="70" spans="2:12" ht="22.5" thickBot="1">
      <c r="B70" s="18" t="s">
        <v>26</v>
      </c>
      <c r="C70" s="18"/>
      <c r="D70" s="18"/>
      <c r="E70" s="18"/>
      <c r="F70" s="18"/>
      <c r="G70" s="18"/>
      <c r="H70" s="18"/>
      <c r="I70" s="18"/>
      <c r="J70" s="18"/>
    </row>
    <row r="71" spans="2:12" ht="24.75" thickBot="1">
      <c r="B71" s="22" t="s">
        <v>0</v>
      </c>
      <c r="C71" s="22" t="s">
        <v>6</v>
      </c>
      <c r="D71" s="22">
        <v>1392</v>
      </c>
      <c r="E71" s="22">
        <v>1393</v>
      </c>
      <c r="F71" s="22">
        <v>1394</v>
      </c>
      <c r="G71" s="22">
        <v>1395</v>
      </c>
      <c r="H71" s="22">
        <v>1396</v>
      </c>
      <c r="I71" s="22">
        <v>1397</v>
      </c>
      <c r="J71" s="22" t="s">
        <v>45</v>
      </c>
      <c r="K71" s="9"/>
    </row>
    <row r="72" spans="2:12" ht="22.5" thickBot="1">
      <c r="B72" s="19" t="s">
        <v>71</v>
      </c>
      <c r="C72" s="19" t="s">
        <v>16</v>
      </c>
      <c r="D72" s="20">
        <f>1865909+918926</f>
        <v>2784835</v>
      </c>
      <c r="E72" s="20">
        <f>2235857+1055676</f>
        <v>3291533</v>
      </c>
      <c r="F72" s="20">
        <v>3770770</v>
      </c>
      <c r="G72" s="20">
        <v>4190695</v>
      </c>
      <c r="H72" s="20">
        <v>4660153</v>
      </c>
      <c r="I72" s="20">
        <v>5305101</v>
      </c>
      <c r="J72" s="20">
        <v>6366121.2000000002</v>
      </c>
    </row>
    <row r="73" spans="2:12" ht="22.5" thickBot="1">
      <c r="B73" s="19" t="s">
        <v>79</v>
      </c>
      <c r="C73" s="19" t="s">
        <v>16</v>
      </c>
      <c r="D73" s="20">
        <v>668756</v>
      </c>
      <c r="E73" s="20">
        <v>819994</v>
      </c>
      <c r="F73" s="20">
        <v>1056515</v>
      </c>
      <c r="G73" s="20">
        <v>1161089</v>
      </c>
      <c r="H73" s="20">
        <v>1415198</v>
      </c>
      <c r="I73" s="20">
        <v>1354592</v>
      </c>
      <c r="J73" s="20">
        <v>1354592</v>
      </c>
    </row>
    <row r="74" spans="2:12" ht="22.5" thickBot="1">
      <c r="B74" s="19" t="s">
        <v>27</v>
      </c>
      <c r="C74" s="19" t="s">
        <v>16</v>
      </c>
      <c r="D74" s="20">
        <v>2971399</v>
      </c>
      <c r="E74" s="20">
        <v>4052078</v>
      </c>
      <c r="F74" s="20">
        <v>4645548</v>
      </c>
      <c r="G74" s="20">
        <v>4666587</v>
      </c>
      <c r="H74" s="20">
        <v>5115975</v>
      </c>
      <c r="I74" s="20">
        <v>6680711</v>
      </c>
      <c r="J74" s="20">
        <v>8016853.1999999993</v>
      </c>
    </row>
    <row r="75" spans="2:12" ht="22.5" thickBot="1">
      <c r="B75" s="19" t="s">
        <v>72</v>
      </c>
      <c r="C75" s="19" t="s">
        <v>16</v>
      </c>
      <c r="D75" s="20">
        <v>2354782</v>
      </c>
      <c r="E75" s="20">
        <v>3158950</v>
      </c>
      <c r="F75" s="20">
        <v>3129431</v>
      </c>
      <c r="G75" s="20">
        <v>2875213</v>
      </c>
      <c r="H75" s="20">
        <v>4199845</v>
      </c>
      <c r="I75" s="20">
        <v>11990924</v>
      </c>
      <c r="J75" s="20">
        <v>15898280.407680951</v>
      </c>
      <c r="L75" s="3"/>
    </row>
    <row r="76" spans="2:12" ht="22.5" thickBot="1">
      <c r="B76" s="19" t="s">
        <v>28</v>
      </c>
      <c r="C76" s="19" t="s">
        <v>16</v>
      </c>
      <c r="D76" s="20">
        <v>135759</v>
      </c>
      <c r="E76" s="20">
        <v>166154</v>
      </c>
      <c r="F76" s="20">
        <v>2534312</v>
      </c>
      <c r="G76" s="20">
        <v>2301941</v>
      </c>
      <c r="H76" s="20">
        <v>3081522</v>
      </c>
      <c r="I76" s="20">
        <v>3618051</v>
      </c>
      <c r="J76" s="20">
        <v>4703466.3</v>
      </c>
    </row>
    <row r="77" spans="2:12" ht="22.5" thickBot="1">
      <c r="B77" s="19" t="s">
        <v>29</v>
      </c>
      <c r="C77" s="19" t="s">
        <v>16</v>
      </c>
      <c r="D77" s="20">
        <v>1334245</v>
      </c>
      <c r="E77" s="20">
        <v>1635655</v>
      </c>
      <c r="F77" s="20">
        <v>0</v>
      </c>
      <c r="G77" s="20">
        <v>0</v>
      </c>
      <c r="H77" s="20"/>
      <c r="I77" s="20">
        <v>0</v>
      </c>
      <c r="J77" s="20">
        <v>0</v>
      </c>
    </row>
    <row r="78" spans="2:12" ht="22.5" thickBot="1">
      <c r="B78" s="19" t="s">
        <v>30</v>
      </c>
      <c r="C78" s="19" t="s">
        <v>16</v>
      </c>
      <c r="D78" s="20">
        <v>265576</v>
      </c>
      <c r="E78" s="20">
        <v>338305</v>
      </c>
      <c r="F78" s="20">
        <v>0</v>
      </c>
      <c r="G78" s="20">
        <v>0</v>
      </c>
      <c r="H78" s="20"/>
      <c r="I78" s="20">
        <v>0</v>
      </c>
      <c r="J78" s="20">
        <v>0</v>
      </c>
    </row>
    <row r="79" spans="2:12" ht="22.5" thickBot="1">
      <c r="B79" s="23" t="s">
        <v>8</v>
      </c>
      <c r="C79" s="23" t="s">
        <v>16</v>
      </c>
      <c r="D79" s="23">
        <f t="shared" ref="D79:J79" si="23">SUM(D72:D78)</f>
        <v>10515352</v>
      </c>
      <c r="E79" s="23">
        <f t="shared" si="23"/>
        <v>13462669</v>
      </c>
      <c r="F79" s="23">
        <f t="shared" si="23"/>
        <v>15136576</v>
      </c>
      <c r="G79" s="24">
        <f t="shared" si="23"/>
        <v>15195525</v>
      </c>
      <c r="H79" s="24">
        <f t="shared" si="23"/>
        <v>18472693</v>
      </c>
      <c r="I79" s="24">
        <f t="shared" si="23"/>
        <v>28949379</v>
      </c>
      <c r="J79" s="24">
        <f t="shared" si="23"/>
        <v>36339313.107680947</v>
      </c>
    </row>
    <row r="81" spans="2:10" ht="22.5" customHeight="1" thickBot="1">
      <c r="B81" s="18" t="s">
        <v>31</v>
      </c>
    </row>
    <row r="82" spans="2:10" ht="24.75" thickBot="1">
      <c r="B82" s="22" t="s">
        <v>0</v>
      </c>
      <c r="C82" s="22" t="s">
        <v>6</v>
      </c>
      <c r="D82" s="22">
        <v>1392</v>
      </c>
      <c r="E82" s="22">
        <v>1393</v>
      </c>
      <c r="F82" s="22">
        <v>1394</v>
      </c>
      <c r="G82" s="22">
        <v>1395</v>
      </c>
      <c r="H82" s="22">
        <v>1396</v>
      </c>
      <c r="I82" s="22">
        <v>1397</v>
      </c>
      <c r="J82" s="22" t="s">
        <v>45</v>
      </c>
    </row>
    <row r="83" spans="2:10" ht="22.5" thickBot="1">
      <c r="B83" s="19" t="s">
        <v>32</v>
      </c>
      <c r="C83" s="19" t="s">
        <v>16</v>
      </c>
      <c r="D83" s="20">
        <v>922263</v>
      </c>
      <c r="E83" s="20">
        <v>1074389</v>
      </c>
      <c r="F83" s="20">
        <v>1150584</v>
      </c>
      <c r="G83" s="20">
        <v>1285264</v>
      </c>
      <c r="H83" s="20">
        <v>1511771</v>
      </c>
      <c r="I83" s="20">
        <v>1651259</v>
      </c>
      <c r="J83" s="20">
        <v>2366110</v>
      </c>
    </row>
    <row r="84" spans="2:10" ht="22.5" thickBot="1">
      <c r="B84" s="19" t="s">
        <v>75</v>
      </c>
      <c r="C84" s="19" t="s">
        <v>16</v>
      </c>
      <c r="D84" s="20">
        <v>71260</v>
      </c>
      <c r="E84" s="20">
        <v>90267</v>
      </c>
      <c r="F84" s="20">
        <v>89896</v>
      </c>
      <c r="G84" s="20">
        <v>68103</v>
      </c>
      <c r="H84" s="20">
        <v>167110</v>
      </c>
      <c r="I84" s="20">
        <v>147563</v>
      </c>
      <c r="J84" s="20">
        <v>138356</v>
      </c>
    </row>
    <row r="85" spans="2:10" ht="22.5" thickBot="1">
      <c r="B85" s="19" t="s">
        <v>33</v>
      </c>
      <c r="C85" s="19" t="s">
        <v>16</v>
      </c>
      <c r="D85" s="20">
        <v>0</v>
      </c>
      <c r="E85" s="20">
        <v>0</v>
      </c>
      <c r="F85" s="20">
        <v>0</v>
      </c>
      <c r="G85" s="20">
        <v>0</v>
      </c>
      <c r="H85" s="20"/>
      <c r="I85" s="20">
        <v>35057</v>
      </c>
      <c r="J85" s="20">
        <v>33698</v>
      </c>
    </row>
    <row r="86" spans="2:10" ht="22.5" thickBot="1">
      <c r="B86" s="19" t="s">
        <v>34</v>
      </c>
      <c r="C86" s="19" t="s">
        <v>16</v>
      </c>
      <c r="D86" s="20">
        <v>0</v>
      </c>
      <c r="E86" s="20">
        <v>0</v>
      </c>
      <c r="F86" s="20"/>
      <c r="G86" s="20"/>
      <c r="H86" s="20"/>
      <c r="I86" s="20">
        <v>0</v>
      </c>
      <c r="J86" s="20"/>
    </row>
    <row r="87" spans="2:10" ht="22.5" thickBot="1">
      <c r="B87" s="19" t="s">
        <v>35</v>
      </c>
      <c r="C87" s="19" t="s">
        <v>16</v>
      </c>
      <c r="D87" s="20">
        <f>565328+45271+73897</f>
        <v>684496</v>
      </c>
      <c r="E87" s="20">
        <f>487011+126284+44440</f>
        <v>657735</v>
      </c>
      <c r="F87" s="20">
        <f>128889+426472+20288</f>
        <v>575649</v>
      </c>
      <c r="G87" s="20">
        <f>218618+486488+58132</f>
        <v>763238</v>
      </c>
      <c r="H87" s="20"/>
      <c r="I87" s="20"/>
      <c r="J87" s="20"/>
    </row>
    <row r="88" spans="2:10" ht="22.5" thickBot="1">
      <c r="B88" s="19" t="s">
        <v>36</v>
      </c>
      <c r="C88" s="19" t="s">
        <v>16</v>
      </c>
      <c r="D88" s="20">
        <v>0</v>
      </c>
      <c r="E88" s="20">
        <v>0</v>
      </c>
      <c r="F88" s="20"/>
      <c r="G88" s="20"/>
      <c r="H88" s="20"/>
      <c r="I88" s="20"/>
      <c r="J88" s="20"/>
    </row>
    <row r="89" spans="2:10" ht="22.5" thickBot="1">
      <c r="B89" s="19" t="s">
        <v>37</v>
      </c>
      <c r="C89" s="19" t="s">
        <v>16</v>
      </c>
      <c r="D89" s="20">
        <v>84699</v>
      </c>
      <c r="E89" s="20">
        <v>115190</v>
      </c>
      <c r="F89" s="20">
        <v>119828</v>
      </c>
      <c r="G89" s="20">
        <v>121364</v>
      </c>
      <c r="H89" s="20"/>
      <c r="I89" s="20"/>
      <c r="J89" s="20"/>
    </row>
    <row r="90" spans="2:10" ht="44.25" thickBot="1">
      <c r="B90" s="19" t="s">
        <v>38</v>
      </c>
      <c r="C90" s="19" t="s">
        <v>16</v>
      </c>
      <c r="D90" s="20">
        <v>56257</v>
      </c>
      <c r="E90" s="20">
        <v>30587</v>
      </c>
      <c r="F90" s="20">
        <v>45376</v>
      </c>
      <c r="G90" s="20">
        <v>10881</v>
      </c>
      <c r="H90" s="20"/>
      <c r="I90" s="20"/>
      <c r="J90" s="20"/>
    </row>
    <row r="91" spans="2:10" ht="44.25" thickBot="1">
      <c r="B91" s="19" t="s">
        <v>39</v>
      </c>
      <c r="C91" s="19" t="s">
        <v>16</v>
      </c>
      <c r="D91" s="20">
        <v>0</v>
      </c>
      <c r="E91" s="20">
        <v>0</v>
      </c>
      <c r="F91" s="20">
        <v>0</v>
      </c>
      <c r="G91" s="20">
        <v>0</v>
      </c>
      <c r="H91" s="20"/>
      <c r="I91" s="20"/>
      <c r="J91" s="20"/>
    </row>
    <row r="92" spans="2:10" ht="22.5" thickBot="1">
      <c r="B92" s="19" t="s">
        <v>40</v>
      </c>
      <c r="C92" s="19" t="s">
        <v>16</v>
      </c>
      <c r="D92" s="20">
        <v>0</v>
      </c>
      <c r="E92" s="20">
        <v>0</v>
      </c>
      <c r="F92" s="20">
        <v>3000</v>
      </c>
      <c r="G92" s="20">
        <v>3000</v>
      </c>
      <c r="H92" s="20"/>
      <c r="I92" s="20"/>
      <c r="J92" s="20"/>
    </row>
    <row r="93" spans="2:10" ht="22.5" thickBot="1">
      <c r="B93" s="19" t="s">
        <v>41</v>
      </c>
      <c r="C93" s="19" t="s">
        <v>16</v>
      </c>
      <c r="D93" s="20">
        <v>1280</v>
      </c>
      <c r="E93" s="20">
        <v>314222</v>
      </c>
      <c r="F93" s="20">
        <v>563356</v>
      </c>
      <c r="G93" s="20">
        <v>576391</v>
      </c>
      <c r="H93" s="20">
        <v>876340</v>
      </c>
      <c r="I93" s="20">
        <v>897040</v>
      </c>
      <c r="J93" s="20">
        <v>780000</v>
      </c>
    </row>
    <row r="94" spans="2:10" ht="22.5" thickBot="1">
      <c r="B94" s="19" t="s">
        <v>42</v>
      </c>
      <c r="C94" s="19" t="s">
        <v>16</v>
      </c>
      <c r="D94" s="20">
        <f>72246+90031+30000+89135+124185</f>
        <v>405597</v>
      </c>
      <c r="E94" s="20">
        <f>101539+105548+47998+93728+146145</f>
        <v>494958</v>
      </c>
      <c r="F94" s="20">
        <f>123831+94174+91415+45073+178766</f>
        <v>533259</v>
      </c>
      <c r="G94" s="20">
        <f>203933+3756+82858+102488+124501</f>
        <v>517536</v>
      </c>
      <c r="H94" s="20">
        <v>2016490</v>
      </c>
      <c r="I94" s="20">
        <v>3380844</v>
      </c>
      <c r="J94" s="20">
        <v>2753539</v>
      </c>
    </row>
    <row r="95" spans="2:10" ht="22.5" thickBot="1">
      <c r="B95" s="23" t="s">
        <v>8</v>
      </c>
      <c r="C95" s="23" t="s">
        <v>16</v>
      </c>
      <c r="D95" s="23">
        <f>SUM(D83:D94)</f>
        <v>2225852</v>
      </c>
      <c r="E95" s="23">
        <f>SUM(E83:E94)</f>
        <v>2777348</v>
      </c>
      <c r="F95" s="23">
        <f t="shared" ref="F95:I95" si="24">SUM(F83:F94)</f>
        <v>3080948</v>
      </c>
      <c r="G95" s="24">
        <f>SUM(G83:G94)</f>
        <v>3345777</v>
      </c>
      <c r="H95" s="24">
        <f>SUM(H83:H94)</f>
        <v>4571711</v>
      </c>
      <c r="I95" s="24">
        <f t="shared" si="24"/>
        <v>6111763</v>
      </c>
      <c r="J95" s="24">
        <f>SUM(J83:J94)</f>
        <v>6071703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rightToLeft="1" workbookViewId="0">
      <selection activeCell="E5" sqref="E5"/>
    </sheetView>
  </sheetViews>
  <sheetFormatPr defaultRowHeight="15"/>
  <cols>
    <col min="1" max="1" width="14.85546875" customWidth="1"/>
    <col min="3" max="4" width="10.140625" bestFit="1" customWidth="1"/>
  </cols>
  <sheetData>
    <row r="1" spans="1:18" ht="24.75" thickBot="1">
      <c r="A1" s="22" t="s">
        <v>0</v>
      </c>
      <c r="B1" s="22" t="s">
        <v>6</v>
      </c>
      <c r="C1" s="22" t="s">
        <v>68</v>
      </c>
      <c r="D1" s="22">
        <v>1398</v>
      </c>
    </row>
    <row r="2" spans="1:18" ht="22.5" thickBot="1">
      <c r="A2" s="19" t="s">
        <v>61</v>
      </c>
      <c r="B2" s="19" t="s">
        <v>7</v>
      </c>
      <c r="C2" s="19"/>
      <c r="D2" s="20">
        <f>AVERAGE(درآمد!D6:H6)</f>
        <v>3562852.8</v>
      </c>
    </row>
    <row r="3" spans="1:18" ht="22.5" thickBot="1">
      <c r="A3" s="19" t="s">
        <v>63</v>
      </c>
      <c r="B3" s="19" t="s">
        <v>46</v>
      </c>
      <c r="C3" s="19"/>
      <c r="D3" s="20">
        <v>400</v>
      </c>
    </row>
    <row r="4" spans="1:18" ht="22.5" thickBot="1">
      <c r="A4" s="19" t="s">
        <v>64</v>
      </c>
      <c r="B4" s="19" t="s">
        <v>17</v>
      </c>
      <c r="C4" s="19"/>
      <c r="D4" s="20">
        <v>100000</v>
      </c>
    </row>
    <row r="5" spans="1:18" ht="24.75" thickBot="1">
      <c r="A5" s="19" t="s">
        <v>67</v>
      </c>
      <c r="B5" s="19" t="s">
        <v>17</v>
      </c>
      <c r="C5" s="20">
        <f>0.15*درآمد!I38</f>
        <v>4742496</v>
      </c>
      <c r="D5" s="20">
        <f>D3*D4*0.15</f>
        <v>6000000</v>
      </c>
      <c r="G5" s="22" t="s">
        <v>1</v>
      </c>
      <c r="H5" s="22"/>
      <c r="I5" s="22"/>
      <c r="J5" s="22"/>
      <c r="K5" s="22"/>
      <c r="L5" s="22"/>
      <c r="M5" s="22"/>
      <c r="N5" s="22" t="s">
        <v>80</v>
      </c>
      <c r="O5" s="22"/>
      <c r="P5" s="22"/>
      <c r="Q5" s="22"/>
      <c r="R5" s="22"/>
    </row>
    <row r="6" spans="1:18" ht="19.5" customHeight="1" thickBot="1">
      <c r="G6" s="22"/>
      <c r="H6" s="22">
        <f>D8</f>
        <v>2722.0967832307188</v>
      </c>
      <c r="I6" s="22">
        <v>360</v>
      </c>
      <c r="J6" s="22">
        <v>380</v>
      </c>
      <c r="K6" s="22">
        <v>400</v>
      </c>
      <c r="L6" s="22">
        <v>420</v>
      </c>
      <c r="M6" s="22">
        <v>440</v>
      </c>
      <c r="N6" s="22">
        <v>460</v>
      </c>
      <c r="O6" s="22">
        <v>480</v>
      </c>
      <c r="P6" s="22">
        <v>500</v>
      </c>
      <c r="Q6" s="22">
        <v>520</v>
      </c>
      <c r="R6" s="22">
        <v>540</v>
      </c>
    </row>
    <row r="7" spans="1:18" ht="24.75" thickBot="1">
      <c r="G7" s="22"/>
      <c r="H7" s="22">
        <v>100000</v>
      </c>
      <c r="I7" s="20">
        <f t="dataTable" ref="I7:R14" dt2D="1" dtr="1" r1="D3" r2="D4"/>
        <v>2245.8469459490657</v>
      </c>
      <c r="J7" s="20">
        <v>2483.9718645898915</v>
      </c>
      <c r="K7" s="20">
        <v>2722.0967832307188</v>
      </c>
      <c r="L7" s="20">
        <v>2960.221701871546</v>
      </c>
      <c r="M7" s="20">
        <v>3198.3466205123714</v>
      </c>
      <c r="N7" s="20">
        <v>3436.4715391531968</v>
      </c>
      <c r="O7" s="20">
        <v>3674.5964577940226</v>
      </c>
      <c r="P7" s="20">
        <v>3912.7213764348485</v>
      </c>
      <c r="Q7" s="20">
        <v>4150.8462950756757</v>
      </c>
      <c r="R7" s="20">
        <v>4388.9712137165025</v>
      </c>
    </row>
    <row r="8" spans="1:18" ht="24.75" thickBot="1">
      <c r="A8" s="19" t="s">
        <v>1</v>
      </c>
      <c r="B8" s="19" t="s">
        <v>17</v>
      </c>
      <c r="C8" s="20">
        <f>سودوزیان!G15</f>
        <v>1656</v>
      </c>
      <c r="D8" s="20">
        <f>سودوزیان!H15</f>
        <v>2722.0967832307188</v>
      </c>
      <c r="G8" s="22"/>
      <c r="H8" s="22">
        <v>110000</v>
      </c>
      <c r="I8" s="20">
        <v>2674.4717995025521</v>
      </c>
      <c r="J8" s="20">
        <v>2936.4092100074599</v>
      </c>
      <c r="K8" s="20">
        <v>3198.3466205123714</v>
      </c>
      <c r="L8" s="20">
        <v>3460.2840310172792</v>
      </c>
      <c r="M8" s="20">
        <v>3722.2214415221883</v>
      </c>
      <c r="N8" s="20">
        <v>3984.1588520270961</v>
      </c>
      <c r="O8" s="20">
        <v>4246.0962625320062</v>
      </c>
      <c r="P8" s="20">
        <v>4508.0336730369145</v>
      </c>
      <c r="Q8" s="20">
        <v>4769.9710835418218</v>
      </c>
      <c r="R8" s="20">
        <v>5031.9084940467301</v>
      </c>
    </row>
    <row r="9" spans="1:18" ht="24.75" thickBot="1">
      <c r="G9" s="22"/>
      <c r="H9" s="22">
        <v>120000</v>
      </c>
      <c r="I9" s="20">
        <v>3103.0966530560381</v>
      </c>
      <c r="J9" s="20">
        <v>3388.8465554250311</v>
      </c>
      <c r="K9" s="20">
        <v>3674.5964577940226</v>
      </c>
      <c r="L9" s="20">
        <v>3960.3463601630156</v>
      </c>
      <c r="M9" s="20">
        <v>4246.0962625320062</v>
      </c>
      <c r="N9" s="20">
        <v>4531.8461649009969</v>
      </c>
      <c r="O9" s="20">
        <v>4817.5960672699885</v>
      </c>
      <c r="P9" s="20">
        <v>5103.34596963898</v>
      </c>
      <c r="Q9" s="20">
        <v>5389.0958720079707</v>
      </c>
      <c r="R9" s="20">
        <v>5674.8457743769623</v>
      </c>
    </row>
    <row r="10" spans="1:18" ht="24.75" thickBot="1">
      <c r="G10" s="22" t="s">
        <v>46</v>
      </c>
      <c r="H10" s="22">
        <v>130000</v>
      </c>
      <c r="I10" s="20">
        <v>3531.7215066095287</v>
      </c>
      <c r="J10" s="20">
        <v>3841.2839008426026</v>
      </c>
      <c r="K10" s="20">
        <v>4150.8462950756757</v>
      </c>
      <c r="L10" s="20">
        <v>4460.4086893087497</v>
      </c>
      <c r="M10" s="20">
        <v>4769.9710835418218</v>
      </c>
      <c r="N10" s="20">
        <v>5079.5334777748967</v>
      </c>
      <c r="O10" s="20">
        <v>5389.0958720079707</v>
      </c>
      <c r="P10" s="20">
        <v>5698.6582662410447</v>
      </c>
      <c r="Q10" s="20">
        <v>6008.2206604741195</v>
      </c>
      <c r="R10" s="20">
        <v>6317.7830547071926</v>
      </c>
    </row>
    <row r="11" spans="1:18" ht="24.75" thickBot="1">
      <c r="G11" s="22"/>
      <c r="H11" s="22">
        <v>140000</v>
      </c>
      <c r="I11" s="20">
        <v>3960.3463601630156</v>
      </c>
      <c r="J11" s="20">
        <v>4293.721246260171</v>
      </c>
      <c r="K11" s="20">
        <v>4627.0961323573274</v>
      </c>
      <c r="L11" s="20">
        <v>4960.4710184544838</v>
      </c>
      <c r="M11" s="20">
        <v>5293.8459045516411</v>
      </c>
      <c r="N11" s="20">
        <v>5627.2207906487993</v>
      </c>
      <c r="O11" s="20">
        <v>5960.5956767459538</v>
      </c>
      <c r="P11" s="20">
        <v>6293.9705628431102</v>
      </c>
      <c r="Q11" s="20">
        <v>6627.3454489402666</v>
      </c>
      <c r="R11" s="20">
        <v>6960.7203350374239</v>
      </c>
    </row>
    <row r="12" spans="1:18" ht="24.75" thickBot="1">
      <c r="G12" s="22"/>
      <c r="H12" s="22">
        <v>150000</v>
      </c>
      <c r="I12" s="20">
        <v>4388.9712137165025</v>
      </c>
      <c r="J12" s="20">
        <v>4746.1585916777412</v>
      </c>
      <c r="K12" s="20">
        <v>5103.34596963898</v>
      </c>
      <c r="L12" s="20">
        <v>5460.5333476002197</v>
      </c>
      <c r="M12" s="20">
        <v>5817.7207255614576</v>
      </c>
      <c r="N12" s="20">
        <v>6174.9081035226982</v>
      </c>
      <c r="O12" s="20">
        <v>6532.0954814839351</v>
      </c>
      <c r="P12" s="20">
        <v>6889.2828594451721</v>
      </c>
      <c r="Q12" s="20">
        <v>7246.4702374064145</v>
      </c>
      <c r="R12" s="20">
        <v>7603.6576153676551</v>
      </c>
    </row>
    <row r="13" spans="1:18" ht="24.75" thickBot="1">
      <c r="C13" s="41"/>
      <c r="G13" s="22"/>
      <c r="H13" s="22">
        <v>160000</v>
      </c>
      <c r="I13" s="20">
        <v>4817.5960672699885</v>
      </c>
      <c r="J13" s="20">
        <v>5198.5959370953105</v>
      </c>
      <c r="K13" s="20">
        <v>5579.5958069206317</v>
      </c>
      <c r="L13" s="20">
        <v>5960.5956767459538</v>
      </c>
      <c r="M13" s="20">
        <v>6341.5955465712768</v>
      </c>
      <c r="N13" s="20">
        <v>6722.5954163965998</v>
      </c>
      <c r="O13" s="20">
        <v>7103.5952862219192</v>
      </c>
      <c r="P13" s="20">
        <v>7484.5951560472413</v>
      </c>
      <c r="Q13" s="20">
        <v>7865.5950258725652</v>
      </c>
      <c r="R13" s="20">
        <v>8246.5948956978809</v>
      </c>
    </row>
    <row r="14" spans="1:18" ht="24.75" thickBot="1">
      <c r="C14" s="41"/>
      <c r="G14" s="22"/>
      <c r="H14" s="22">
        <v>170000</v>
      </c>
      <c r="I14" s="20">
        <v>5246.2209208234735</v>
      </c>
      <c r="J14" s="20">
        <v>5651.033282512878</v>
      </c>
      <c r="K14" s="20">
        <v>6055.8456442022825</v>
      </c>
      <c r="L14" s="20">
        <v>6460.6580058916898</v>
      </c>
      <c r="M14" s="20">
        <v>6865.4703675810961</v>
      </c>
      <c r="N14" s="20">
        <v>7270.2827292704969</v>
      </c>
      <c r="O14" s="20">
        <v>7675.0950909599032</v>
      </c>
      <c r="P14" s="20">
        <v>8079.9074526493059</v>
      </c>
      <c r="Q14" s="20">
        <v>8484.7198143387141</v>
      </c>
      <c r="R14" s="20">
        <v>8889.5321760281167</v>
      </c>
    </row>
  </sheetData>
  <conditionalFormatting sqref="I7:R14">
    <cfRule type="colorScale" priority="1">
      <colorScale>
        <cfvo type="num" val="1300"/>
        <cfvo type="num" val="1500"/>
        <cfvo type="num" val="20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سودوزیان</vt:lpstr>
      <vt:lpstr>درآمد</vt:lpstr>
      <vt:lpstr>هزینه</vt:lpstr>
      <vt:lpstr>پنل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B.Jourian</dc:creator>
  <cp:lastModifiedBy>مهدی سوری</cp:lastModifiedBy>
  <dcterms:created xsi:type="dcterms:W3CDTF">2017-10-31T13:14:05Z</dcterms:created>
  <dcterms:modified xsi:type="dcterms:W3CDTF">2019-09-04T11:30:26Z</dcterms:modified>
</cp:coreProperties>
</file>