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ahlolbei\Dropbox\Atinegar\Capital Market\steel\Firm\Folad\analysis\"/>
    </mc:Choice>
  </mc:AlternateContent>
  <bookViews>
    <workbookView xWindow="14385" yWindow="-15" windowWidth="4800" windowHeight="10155" firstSheet="2" activeTab="3"/>
  </bookViews>
  <sheets>
    <sheet name="معرفی" sheetId="19" r:id="rId1"/>
    <sheet name="صنعت" sheetId="15" r:id="rId2"/>
    <sheet name="سود و زیان" sheetId="3" r:id="rId3"/>
    <sheet name="تولید و فروش" sheetId="9" r:id="rId4"/>
    <sheet name="مواد اولیه" sheetId="10" r:id="rId5"/>
    <sheet name="بهای تمام شده" sheetId="4" r:id="rId6"/>
    <sheet name="سرمایه گذاریها" sheetId="12" r:id="rId7"/>
    <sheet name="سایر درآمدها (هزینه‌ها)" sheetId="14" r:id="rId8"/>
    <sheet name="هزنیه های عمومی" sheetId="2" state="hidden" r:id="rId9"/>
    <sheet name="Sheet5" sheetId="5" state="hidden" r:id="rId10"/>
    <sheet name="Sheet1" sheetId="11" state="hidden" r:id="rId11"/>
  </sheets>
  <calcPr calcId="162913"/>
</workbook>
</file>

<file path=xl/calcChain.xml><?xml version="1.0" encoding="utf-8"?>
<calcChain xmlns="http://schemas.openxmlformats.org/spreadsheetml/2006/main">
  <c r="Q23" i="9" l="1"/>
  <c r="Q22" i="9"/>
  <c r="Q24" i="9"/>
  <c r="X8" i="3"/>
  <c r="B22" i="19" l="1"/>
  <c r="P5" i="3" l="1"/>
  <c r="O43" i="9"/>
  <c r="P26" i="9"/>
  <c r="P25" i="9"/>
  <c r="P24" i="9"/>
  <c r="P23" i="9"/>
  <c r="P22" i="9"/>
  <c r="P20" i="9"/>
  <c r="P14" i="9"/>
  <c r="P7" i="9"/>
  <c r="N12" i="3"/>
  <c r="N14" i="3" s="1"/>
  <c r="N16" i="3" s="1"/>
  <c r="N18" i="3" s="1"/>
  <c r="P7" i="3"/>
  <c r="N8" i="3"/>
  <c r="L4" i="3"/>
  <c r="L8" i="3" s="1"/>
  <c r="L12" i="3" s="1"/>
  <c r="L14" i="3" s="1"/>
  <c r="L16" i="3" s="1"/>
  <c r="L18" i="3" s="1"/>
  <c r="N4" i="3"/>
  <c r="Q11" i="9"/>
  <c r="Q16" i="9"/>
  <c r="Q17" i="9"/>
  <c r="Q12" i="9"/>
  <c r="Q25" i="9"/>
  <c r="X11" i="3"/>
  <c r="Q18" i="9" l="1"/>
  <c r="Q10" i="9"/>
  <c r="Q14" i="9" s="1"/>
  <c r="M49" i="9" l="1"/>
  <c r="M48" i="9"/>
  <c r="M46" i="9"/>
  <c r="M45" i="9"/>
  <c r="M44" i="9"/>
  <c r="M43" i="9"/>
  <c r="M22" i="9"/>
  <c r="M26" i="9"/>
  <c r="M33" i="9"/>
  <c r="M39" i="9"/>
  <c r="M23" i="9"/>
  <c r="M24" i="9"/>
  <c r="M25" i="9"/>
  <c r="M20" i="9"/>
  <c r="M14" i="9"/>
  <c r="X14" i="3"/>
  <c r="M40" i="9" l="1"/>
  <c r="X9" i="3"/>
  <c r="X12" i="3"/>
  <c r="G8" i="14" l="1"/>
  <c r="G7" i="14"/>
  <c r="G6" i="14"/>
  <c r="G5" i="14"/>
  <c r="G4" i="14"/>
  <c r="G2" i="14"/>
  <c r="F2" i="14"/>
  <c r="K4" i="12"/>
  <c r="K5" i="12"/>
  <c r="K3" i="12"/>
  <c r="I3" i="12"/>
  <c r="O11" i="4"/>
  <c r="O10" i="4"/>
  <c r="O9" i="4"/>
  <c r="O3" i="4"/>
  <c r="N15" i="4"/>
  <c r="M15" i="4"/>
  <c r="O15" i="4" s="1"/>
  <c r="M10" i="4"/>
  <c r="N10" i="4"/>
  <c r="N6" i="4"/>
  <c r="M5" i="4"/>
  <c r="M6" i="4"/>
  <c r="J6" i="4"/>
  <c r="O3" i="10"/>
  <c r="O6" i="10"/>
  <c r="O5" i="10"/>
  <c r="K7" i="10"/>
  <c r="M7" i="10"/>
  <c r="N7" i="10"/>
  <c r="M16" i="4" l="1"/>
  <c r="N16" i="4"/>
  <c r="O4" i="10"/>
  <c r="O36" i="10"/>
  <c r="O46" i="9"/>
  <c r="O45" i="9"/>
  <c r="O44" i="9"/>
  <c r="O33" i="9"/>
  <c r="O26" i="9"/>
  <c r="M50" i="9"/>
  <c r="O13" i="4"/>
  <c r="M7" i="9"/>
  <c r="K8" i="3"/>
  <c r="K12" i="3" s="1"/>
  <c r="K14" i="3" s="1"/>
  <c r="K4" i="3"/>
  <c r="K20" i="3" l="1"/>
  <c r="K16" i="3"/>
  <c r="K18" i="3" s="1"/>
  <c r="O63" i="10"/>
  <c r="L63" i="10"/>
  <c r="L82" i="10"/>
  <c r="Q43" i="9" l="1"/>
  <c r="Q29" i="9" s="1"/>
  <c r="W8" i="3" l="1"/>
  <c r="W11" i="3"/>
  <c r="L10" i="4"/>
  <c r="O82" i="10"/>
  <c r="L3" i="4" l="1"/>
  <c r="W14" i="3" l="1"/>
  <c r="M9" i="3" l="1"/>
  <c r="M7" i="3"/>
  <c r="K9" i="12"/>
  <c r="P10" i="3" s="1"/>
  <c r="K7" i="12"/>
  <c r="K8" i="12"/>
  <c r="I4" i="12"/>
  <c r="O12" i="4" l="1"/>
  <c r="O43" i="10"/>
  <c r="O39" i="10"/>
  <c r="O81" i="10"/>
  <c r="O80" i="10"/>
  <c r="O79" i="10"/>
  <c r="O59" i="10" s="1"/>
  <c r="O78" i="10"/>
  <c r="O77" i="10"/>
  <c r="O76" i="10"/>
  <c r="O74" i="10"/>
  <c r="O61" i="10"/>
  <c r="O60" i="10"/>
  <c r="O57" i="10"/>
  <c r="O56" i="10"/>
  <c r="P6" i="3"/>
  <c r="X17" i="3"/>
  <c r="X16" i="3"/>
  <c r="X19" i="3"/>
  <c r="Q44" i="9"/>
  <c r="Q48" i="9"/>
  <c r="Q49" i="9"/>
  <c r="O75" i="10" l="1"/>
  <c r="O55" i="10" s="1"/>
  <c r="O13" i="10" s="1"/>
  <c r="O20" i="10" s="1"/>
  <c r="O58" i="10"/>
  <c r="O11" i="10" s="1"/>
  <c r="O62" i="10"/>
  <c r="O12" i="10" s="1"/>
  <c r="O35" i="10"/>
  <c r="O54" i="10" s="1"/>
  <c r="O7" i="10"/>
  <c r="X20" i="3"/>
  <c r="O69" i="10" l="1"/>
  <c r="O68" i="10"/>
  <c r="O73" i="10" l="1"/>
  <c r="O72" i="10"/>
  <c r="O70" i="10"/>
  <c r="O71" i="10"/>
  <c r="C20" i="3" l="1"/>
  <c r="D20" i="3"/>
  <c r="E20" i="3"/>
  <c r="L15" i="4" l="1"/>
  <c r="W12" i="3"/>
  <c r="N49" i="9" s="1"/>
  <c r="W9" i="3"/>
  <c r="N48" i="9" s="1"/>
  <c r="I67" i="10" l="1"/>
  <c r="W20" i="3"/>
  <c r="L69" i="10" s="1"/>
  <c r="L70" i="10" s="1"/>
  <c r="L68" i="10" l="1"/>
  <c r="L71" i="10" s="1"/>
  <c r="L72" i="10"/>
  <c r="L73" i="10"/>
  <c r="H5" i="2"/>
  <c r="M11" i="3"/>
  <c r="P11" i="3" s="1"/>
  <c r="F8" i="14"/>
  <c r="F7" i="14"/>
  <c r="F6" i="14"/>
  <c r="F5" i="14"/>
  <c r="F4" i="14"/>
  <c r="F3" i="14"/>
  <c r="B7" i="14"/>
  <c r="D7" i="14"/>
  <c r="C7" i="14"/>
  <c r="E7" i="14"/>
  <c r="F4" i="12"/>
  <c r="F5" i="12"/>
  <c r="F6" i="12"/>
  <c r="F3" i="12"/>
  <c r="F9" i="12" s="1"/>
  <c r="M10" i="3" s="1"/>
  <c r="J4" i="3"/>
  <c r="J8" i="3" s="1"/>
  <c r="J12" i="3" s="1"/>
  <c r="J14" i="3" s="1"/>
  <c r="H4" i="3"/>
  <c r="H8" i="3" s="1"/>
  <c r="H12" i="3" s="1"/>
  <c r="H14" i="3" s="1"/>
  <c r="G4" i="3"/>
  <c r="G8" i="3" s="1"/>
  <c r="G12" i="3" s="1"/>
  <c r="G14" i="3" s="1"/>
  <c r="I4" i="3"/>
  <c r="I8" i="3" s="1"/>
  <c r="I12" i="3" s="1"/>
  <c r="I14" i="3" s="1"/>
  <c r="L11" i="4"/>
  <c r="L9" i="4"/>
  <c r="F16" i="4"/>
  <c r="G16" i="4"/>
  <c r="H16" i="4"/>
  <c r="H4" i="4" s="1"/>
  <c r="I16" i="4"/>
  <c r="J16" i="4"/>
  <c r="K16" i="4"/>
  <c r="E16" i="4"/>
  <c r="L61" i="10"/>
  <c r="L74" i="10"/>
  <c r="L76" i="10"/>
  <c r="L56" i="10" s="1"/>
  <c r="L77" i="10"/>
  <c r="L57" i="10" s="1"/>
  <c r="L78" i="10"/>
  <c r="L79" i="10"/>
  <c r="L59" i="10" s="1"/>
  <c r="L80" i="10"/>
  <c r="L60" i="10" s="1"/>
  <c r="L81" i="10"/>
  <c r="N44" i="9"/>
  <c r="N43" i="9"/>
  <c r="R29" i="10"/>
  <c r="P35" i="10"/>
  <c r="P30" i="10"/>
  <c r="R30" i="10"/>
  <c r="P31" i="10"/>
  <c r="R31" i="10"/>
  <c r="P32" i="10"/>
  <c r="R32" i="10"/>
  <c r="P33" i="10"/>
  <c r="R33" i="10"/>
  <c r="P34" i="10"/>
  <c r="R34" i="10"/>
  <c r="P29" i="10"/>
  <c r="J3" i="10"/>
  <c r="I3" i="10"/>
  <c r="Q34" i="10" s="1"/>
  <c r="O34" i="10" s="1"/>
  <c r="O53" i="10" s="1"/>
  <c r="K3" i="10"/>
  <c r="I4" i="10"/>
  <c r="J4" i="10"/>
  <c r="K4" i="10"/>
  <c r="I5" i="10"/>
  <c r="J5" i="10"/>
  <c r="J19" i="10" s="1"/>
  <c r="K5" i="10"/>
  <c r="I6" i="10"/>
  <c r="J6" i="10"/>
  <c r="K6" i="10"/>
  <c r="H6" i="10"/>
  <c r="H5" i="10"/>
  <c r="H19" i="10" s="1"/>
  <c r="H4" i="10"/>
  <c r="H3" i="10"/>
  <c r="I44" i="10"/>
  <c r="J44" i="10"/>
  <c r="K44" i="10"/>
  <c r="G17" i="10"/>
  <c r="H17" i="10"/>
  <c r="G18" i="10"/>
  <c r="G19" i="10"/>
  <c r="O19" i="10" s="1"/>
  <c r="G20" i="10"/>
  <c r="H20" i="10"/>
  <c r="G14" i="10"/>
  <c r="H14" i="10"/>
  <c r="H2" i="4" s="1"/>
  <c r="I10" i="10"/>
  <c r="I17" i="10" s="1"/>
  <c r="J10" i="10"/>
  <c r="K10" i="10"/>
  <c r="K17" i="10" s="1"/>
  <c r="I11" i="10"/>
  <c r="J11" i="10"/>
  <c r="J18" i="10" s="1"/>
  <c r="K11" i="10"/>
  <c r="I12" i="10"/>
  <c r="J12" i="10"/>
  <c r="K12" i="10"/>
  <c r="I13" i="10"/>
  <c r="J13" i="10"/>
  <c r="K13" i="10"/>
  <c r="K20" i="10" s="1"/>
  <c r="H11" i="10"/>
  <c r="H13" i="10"/>
  <c r="H12" i="10"/>
  <c r="H10" i="10"/>
  <c r="G7" i="10"/>
  <c r="G2" i="4" s="1"/>
  <c r="G68" i="10"/>
  <c r="H68" i="10"/>
  <c r="I68" i="10"/>
  <c r="J68" i="10"/>
  <c r="K68" i="10"/>
  <c r="G69" i="10"/>
  <c r="H69" i="10"/>
  <c r="I69" i="10"/>
  <c r="J69" i="10"/>
  <c r="K69" i="10"/>
  <c r="G70" i="10"/>
  <c r="H70" i="10"/>
  <c r="I70" i="10"/>
  <c r="J70" i="10"/>
  <c r="K70" i="10"/>
  <c r="G71" i="10"/>
  <c r="H71" i="10"/>
  <c r="I71" i="10"/>
  <c r="J71" i="10"/>
  <c r="K71" i="10"/>
  <c r="G72" i="10"/>
  <c r="H72" i="10"/>
  <c r="I72" i="10"/>
  <c r="J72" i="10"/>
  <c r="K72" i="10"/>
  <c r="G73" i="10"/>
  <c r="H73" i="10"/>
  <c r="I73" i="10"/>
  <c r="J73" i="10"/>
  <c r="K73" i="10"/>
  <c r="G75" i="10"/>
  <c r="H75" i="10"/>
  <c r="I75" i="10"/>
  <c r="J75" i="10"/>
  <c r="K75" i="10"/>
  <c r="G76" i="10"/>
  <c r="H76" i="10"/>
  <c r="I76" i="10"/>
  <c r="J76" i="10"/>
  <c r="K76" i="10"/>
  <c r="G77" i="10"/>
  <c r="H77" i="10"/>
  <c r="I77" i="10"/>
  <c r="J77" i="10"/>
  <c r="K77" i="10"/>
  <c r="G78" i="10"/>
  <c r="H78" i="10"/>
  <c r="I78" i="10"/>
  <c r="J78" i="10"/>
  <c r="K78" i="10"/>
  <c r="G79" i="10"/>
  <c r="H79" i="10"/>
  <c r="I79" i="10"/>
  <c r="J79" i="10"/>
  <c r="K79" i="10"/>
  <c r="G80" i="10"/>
  <c r="H80" i="10"/>
  <c r="I80" i="10"/>
  <c r="J80" i="10"/>
  <c r="K80" i="10"/>
  <c r="G81" i="10"/>
  <c r="H81" i="10"/>
  <c r="I81" i="10"/>
  <c r="J81" i="10"/>
  <c r="K81" i="10"/>
  <c r="G82" i="10"/>
  <c r="H82" i="10"/>
  <c r="I82" i="10"/>
  <c r="J82" i="10"/>
  <c r="K82" i="10"/>
  <c r="I64" i="10"/>
  <c r="J64" i="10"/>
  <c r="H44" i="10"/>
  <c r="H64" i="10"/>
  <c r="E64" i="10"/>
  <c r="E44" i="10"/>
  <c r="F22" i="9"/>
  <c r="G22" i="9"/>
  <c r="H22" i="9"/>
  <c r="I22" i="9"/>
  <c r="J22" i="9"/>
  <c r="K22" i="9"/>
  <c r="L22" i="9"/>
  <c r="F23" i="9"/>
  <c r="G23" i="9"/>
  <c r="H23" i="9"/>
  <c r="I23" i="9"/>
  <c r="J23" i="9"/>
  <c r="K23" i="9"/>
  <c r="L23" i="9"/>
  <c r="F24" i="9"/>
  <c r="G24" i="9"/>
  <c r="H24" i="9"/>
  <c r="I24" i="9"/>
  <c r="J24" i="9"/>
  <c r="K24" i="9"/>
  <c r="L24" i="9"/>
  <c r="F25" i="9"/>
  <c r="G25" i="9"/>
  <c r="H25" i="9"/>
  <c r="I25" i="9"/>
  <c r="J25" i="9"/>
  <c r="N25" i="9" s="1"/>
  <c r="K25" i="9"/>
  <c r="L25" i="9"/>
  <c r="E23" i="9"/>
  <c r="E24" i="9"/>
  <c r="E25" i="9"/>
  <c r="E22" i="9"/>
  <c r="G33" i="9"/>
  <c r="G14" i="9"/>
  <c r="G7" i="9"/>
  <c r="I43" i="9"/>
  <c r="I44" i="9"/>
  <c r="I45" i="9"/>
  <c r="I46" i="9"/>
  <c r="I33" i="9"/>
  <c r="I14" i="9"/>
  <c r="I7" i="9"/>
  <c r="F48" i="9"/>
  <c r="H48" i="9"/>
  <c r="J48" i="9"/>
  <c r="K48" i="9"/>
  <c r="F49" i="9"/>
  <c r="H49" i="9"/>
  <c r="J49" i="9"/>
  <c r="K49" i="9"/>
  <c r="F50" i="9"/>
  <c r="H50" i="9"/>
  <c r="J50" i="9"/>
  <c r="K50" i="9"/>
  <c r="H43" i="9"/>
  <c r="J43" i="9"/>
  <c r="K43" i="9"/>
  <c r="H44" i="9"/>
  <c r="J44" i="9"/>
  <c r="K44" i="9"/>
  <c r="H45" i="9"/>
  <c r="J45" i="9"/>
  <c r="K45" i="9"/>
  <c r="H46" i="9"/>
  <c r="J46" i="9"/>
  <c r="K46" i="9"/>
  <c r="J14" i="9"/>
  <c r="H7" i="9"/>
  <c r="J7" i="9"/>
  <c r="K7" i="9"/>
  <c r="H33" i="9"/>
  <c r="J33" i="9"/>
  <c r="K33" i="9"/>
  <c r="H39" i="9"/>
  <c r="J39" i="9"/>
  <c r="K39" i="9"/>
  <c r="H20" i="9"/>
  <c r="J20" i="9"/>
  <c r="K20" i="9"/>
  <c r="H14" i="9"/>
  <c r="K14" i="9"/>
  <c r="I16" i="3" l="1"/>
  <c r="I18" i="3" s="1"/>
  <c r="I20" i="3"/>
  <c r="G16" i="3"/>
  <c r="G18" i="3" s="1"/>
  <c r="G20" i="3"/>
  <c r="H16" i="3"/>
  <c r="H18" i="3" s="1"/>
  <c r="H20" i="3"/>
  <c r="J16" i="3"/>
  <c r="J18" i="3" s="1"/>
  <c r="J20" i="3"/>
  <c r="K18" i="10"/>
  <c r="J14" i="10"/>
  <c r="K19" i="10"/>
  <c r="I14" i="10"/>
  <c r="I2" i="4" s="1"/>
  <c r="Q30" i="10"/>
  <c r="O30" i="10" s="1"/>
  <c r="O49" i="10" s="1"/>
  <c r="Q32" i="10"/>
  <c r="O32" i="10" s="1"/>
  <c r="O51" i="10" s="1"/>
  <c r="I7" i="10"/>
  <c r="N24" i="9"/>
  <c r="K26" i="9"/>
  <c r="N50" i="9"/>
  <c r="I26" i="9"/>
  <c r="J40" i="9"/>
  <c r="J26" i="9"/>
  <c r="T5" i="10" s="1"/>
  <c r="N22" i="9"/>
  <c r="N16" i="9" s="1"/>
  <c r="Q3" i="9" s="1"/>
  <c r="N23" i="9"/>
  <c r="N11" i="9" s="1"/>
  <c r="N45" i="9"/>
  <c r="I19" i="10"/>
  <c r="K14" i="10"/>
  <c r="K2" i="4" s="1"/>
  <c r="J20" i="10"/>
  <c r="I20" i="10"/>
  <c r="L26" i="9"/>
  <c r="V5" i="10" s="1"/>
  <c r="N19" i="9"/>
  <c r="N38" i="9" s="1"/>
  <c r="G26" i="9"/>
  <c r="R3" i="10" s="1"/>
  <c r="F26" i="9"/>
  <c r="Q3" i="10" s="1"/>
  <c r="N46" i="9"/>
  <c r="Q46" i="9" s="1"/>
  <c r="N18" i="9"/>
  <c r="U4" i="10"/>
  <c r="U3" i="10"/>
  <c r="N13" i="9"/>
  <c r="V6" i="10"/>
  <c r="N12" i="9"/>
  <c r="E26" i="9"/>
  <c r="P3" i="10" s="1"/>
  <c r="K40" i="9"/>
  <c r="H26" i="9"/>
  <c r="W19" i="3"/>
  <c r="L75" i="10" s="1"/>
  <c r="H5" i="4"/>
  <c r="T6" i="10"/>
  <c r="S33" i="10"/>
  <c r="S31" i="10"/>
  <c r="S29" i="10"/>
  <c r="Q36" i="10"/>
  <c r="I18" i="10"/>
  <c r="U5" i="10"/>
  <c r="Q33" i="10"/>
  <c r="O33" i="10" s="1"/>
  <c r="O52" i="10" s="1"/>
  <c r="Q31" i="10"/>
  <c r="O31" i="10" s="1"/>
  <c r="O50" i="10" s="1"/>
  <c r="Q29" i="10"/>
  <c r="P36" i="10"/>
  <c r="S36" i="10" s="1"/>
  <c r="Q37" i="10"/>
  <c r="S34" i="10"/>
  <c r="S32" i="10"/>
  <c r="S30" i="10"/>
  <c r="U6" i="10"/>
  <c r="J7" i="10"/>
  <c r="P37" i="10" s="1"/>
  <c r="S37" i="10" s="1"/>
  <c r="J17" i="10"/>
  <c r="H7" i="10"/>
  <c r="H18" i="10"/>
  <c r="H40" i="9"/>
  <c r="C20" i="10"/>
  <c r="D20" i="10"/>
  <c r="E20" i="10"/>
  <c r="F20" i="10"/>
  <c r="B20" i="10"/>
  <c r="T3" i="10" l="1"/>
  <c r="O29" i="10"/>
  <c r="V4" i="10"/>
  <c r="V3" i="10"/>
  <c r="N6" i="9"/>
  <c r="N5" i="9"/>
  <c r="N17" i="9"/>
  <c r="N4" i="9" s="1"/>
  <c r="N35" i="9"/>
  <c r="T4" i="10"/>
  <c r="N10" i="9"/>
  <c r="N26" i="9"/>
  <c r="N31" i="9"/>
  <c r="N30" i="9"/>
  <c r="S5" i="10"/>
  <c r="S3" i="10"/>
  <c r="S6" i="10"/>
  <c r="S4" i="10"/>
  <c r="O44" i="10" l="1"/>
  <c r="O48" i="10"/>
  <c r="N29" i="9"/>
  <c r="Q35" i="9"/>
  <c r="L3" i="10"/>
  <c r="N3" i="9"/>
  <c r="L4" i="10"/>
  <c r="L5" i="10"/>
  <c r="L6" i="10"/>
  <c r="L36" i="10" s="1"/>
  <c r="L13" i="4"/>
  <c r="N36" i="9"/>
  <c r="L7" i="10" l="1"/>
  <c r="W4" i="10"/>
  <c r="L39" i="10"/>
  <c r="L58" i="10" s="1"/>
  <c r="L11" i="10" s="1"/>
  <c r="O64" i="10"/>
  <c r="O10" i="10"/>
  <c r="L31" i="10"/>
  <c r="L50" i="10" s="1"/>
  <c r="L35" i="10"/>
  <c r="L54" i="10" s="1"/>
  <c r="L29" i="10"/>
  <c r="L48" i="10" s="1"/>
  <c r="L33" i="10"/>
  <c r="L52" i="10" s="1"/>
  <c r="Q31" i="9"/>
  <c r="L16" i="4"/>
  <c r="L4" i="4" s="1"/>
  <c r="O16" i="4"/>
  <c r="O4" i="4" s="1"/>
  <c r="W3" i="10"/>
  <c r="L34" i="10"/>
  <c r="L53" i="10" s="1"/>
  <c r="L32" i="10"/>
  <c r="L51" i="10" s="1"/>
  <c r="Q19" i="9"/>
  <c r="Q38" i="9" s="1"/>
  <c r="R37" i="10"/>
  <c r="L30" i="10"/>
  <c r="L49" i="10" s="1"/>
  <c r="W6" i="10"/>
  <c r="W5" i="10"/>
  <c r="L43" i="10"/>
  <c r="L62" i="10" s="1"/>
  <c r="L12" i="10" s="1"/>
  <c r="C68" i="10"/>
  <c r="D68" i="10"/>
  <c r="E68" i="10"/>
  <c r="F68" i="10"/>
  <c r="C69" i="10"/>
  <c r="D69" i="10"/>
  <c r="E69" i="10"/>
  <c r="F69" i="10"/>
  <c r="C70" i="10"/>
  <c r="D70" i="10"/>
  <c r="E70" i="10"/>
  <c r="F70" i="10"/>
  <c r="C71" i="10"/>
  <c r="D71" i="10"/>
  <c r="E71" i="10"/>
  <c r="F71" i="10"/>
  <c r="C72" i="10"/>
  <c r="D72" i="10"/>
  <c r="E72" i="10"/>
  <c r="F72" i="10"/>
  <c r="C73" i="10"/>
  <c r="D73" i="10"/>
  <c r="E73" i="10"/>
  <c r="F73" i="10"/>
  <c r="C75" i="10"/>
  <c r="D75" i="10"/>
  <c r="E75" i="10"/>
  <c r="F75" i="10"/>
  <c r="C76" i="10"/>
  <c r="D76" i="10"/>
  <c r="E76" i="10"/>
  <c r="F76" i="10"/>
  <c r="C77" i="10"/>
  <c r="D77" i="10"/>
  <c r="E77" i="10"/>
  <c r="F77" i="10"/>
  <c r="C78" i="10"/>
  <c r="D78" i="10"/>
  <c r="E78" i="10"/>
  <c r="F78" i="10"/>
  <c r="C79" i="10"/>
  <c r="D79" i="10"/>
  <c r="E79" i="10"/>
  <c r="F79" i="10"/>
  <c r="C80" i="10"/>
  <c r="D80" i="10"/>
  <c r="E80" i="10"/>
  <c r="F80" i="10"/>
  <c r="C81" i="10"/>
  <c r="D81" i="10"/>
  <c r="E81" i="10"/>
  <c r="F81" i="10"/>
  <c r="C82" i="10"/>
  <c r="D82" i="10"/>
  <c r="E82" i="10"/>
  <c r="F82" i="10"/>
  <c r="B69" i="10"/>
  <c r="B70" i="10"/>
  <c r="B71" i="10"/>
  <c r="B72" i="10"/>
  <c r="B73" i="10"/>
  <c r="B75" i="10"/>
  <c r="B76" i="10"/>
  <c r="B77" i="10"/>
  <c r="B78" i="10"/>
  <c r="B79" i="10"/>
  <c r="B80" i="10"/>
  <c r="B81" i="10"/>
  <c r="B82" i="10"/>
  <c r="B68" i="10"/>
  <c r="B17" i="10"/>
  <c r="C64" i="10"/>
  <c r="D64" i="10"/>
  <c r="F64" i="10"/>
  <c r="K64" i="10"/>
  <c r="B64" i="10"/>
  <c r="B44" i="10"/>
  <c r="C44" i="10"/>
  <c r="D44" i="10"/>
  <c r="F44" i="10"/>
  <c r="O17" i="10" l="1"/>
  <c r="O14" i="10"/>
  <c r="O2" i="4" s="1"/>
  <c r="O6" i="4" s="1"/>
  <c r="P3" i="3" s="1"/>
  <c r="L10" i="10"/>
  <c r="L17" i="10" s="1"/>
  <c r="Q6" i="9"/>
  <c r="Q32" i="9"/>
  <c r="L44" i="10"/>
  <c r="Q5" i="9"/>
  <c r="Q37" i="9"/>
  <c r="Q4" i="9"/>
  <c r="Q30" i="9"/>
  <c r="Q36" i="9"/>
  <c r="Q20" i="9"/>
  <c r="L55" i="10"/>
  <c r="R36" i="10"/>
  <c r="C14" i="9"/>
  <c r="Q7" i="9" l="1"/>
  <c r="Q39" i="9"/>
  <c r="Q33" i="9"/>
  <c r="L13" i="10"/>
  <c r="L64" i="10"/>
  <c r="D7" i="10"/>
  <c r="C7" i="10"/>
  <c r="E7" i="10"/>
  <c r="F7" i="10"/>
  <c r="B7" i="10"/>
  <c r="F14" i="10"/>
  <c r="B14" i="10"/>
  <c r="C14" i="10"/>
  <c r="D14" i="10"/>
  <c r="E14" i="10"/>
  <c r="B39" i="9"/>
  <c r="B33" i="9"/>
  <c r="F4" i="3"/>
  <c r="F8" i="3" s="1"/>
  <c r="F12" i="3" s="1"/>
  <c r="F14" i="3" s="1"/>
  <c r="B4" i="3"/>
  <c r="B8" i="3" s="1"/>
  <c r="B12" i="3" s="1"/>
  <c r="B14" i="3" s="1"/>
  <c r="F16" i="3" l="1"/>
  <c r="F20" i="3"/>
  <c r="B16" i="3"/>
  <c r="B20" i="3"/>
  <c r="Q40" i="9"/>
  <c r="P2" i="3" s="1"/>
  <c r="L20" i="10"/>
  <c r="L14" i="10"/>
  <c r="L2" i="4" s="1"/>
  <c r="L20" i="3"/>
  <c r="B40" i="9"/>
  <c r="B18" i="3"/>
  <c r="C18" i="3"/>
  <c r="D18" i="3"/>
  <c r="E18" i="3"/>
  <c r="H7" i="2"/>
  <c r="H6" i="2"/>
  <c r="H4" i="2"/>
  <c r="B9" i="2"/>
  <c r="C9" i="2"/>
  <c r="D9" i="2"/>
  <c r="E9" i="2"/>
  <c r="P4" i="3" l="1"/>
  <c r="L12" i="4"/>
  <c r="F43" i="9"/>
  <c r="F14" i="9"/>
  <c r="F20" i="9"/>
  <c r="D33" i="9"/>
  <c r="P8" i="3" l="1"/>
  <c r="C2" i="5"/>
  <c r="M6" i="3" l="1"/>
  <c r="K6" i="4" l="1"/>
  <c r="N20" i="9"/>
  <c r="N14" i="9"/>
  <c r="N7" i="9"/>
  <c r="L50" i="9"/>
  <c r="L49" i="9"/>
  <c r="L48" i="9"/>
  <c r="L46" i="9"/>
  <c r="N37" i="9" s="1"/>
  <c r="N39" i="9" s="1"/>
  <c r="L45" i="9"/>
  <c r="L44" i="9"/>
  <c r="L43" i="9"/>
  <c r="L39" i="9"/>
  <c r="L33" i="9"/>
  <c r="L20" i="9"/>
  <c r="L14" i="9"/>
  <c r="L7" i="9"/>
  <c r="L40" i="9" l="1"/>
  <c r="F18" i="3"/>
  <c r="F19" i="10" l="1"/>
  <c r="L19" i="10" s="1"/>
  <c r="E19" i="10"/>
  <c r="D19" i="10"/>
  <c r="C19" i="10"/>
  <c r="F18" i="10"/>
  <c r="O18" i="10" s="1"/>
  <c r="E18" i="10"/>
  <c r="L18" i="10" s="1"/>
  <c r="D18" i="10"/>
  <c r="C18" i="10"/>
  <c r="F17" i="10"/>
  <c r="E17" i="10"/>
  <c r="D17" i="10"/>
  <c r="C17" i="10"/>
  <c r="B18" i="10"/>
  <c r="B19" i="10"/>
  <c r="E50" i="9"/>
  <c r="D50" i="9"/>
  <c r="C50" i="9"/>
  <c r="E49" i="9"/>
  <c r="D49" i="9"/>
  <c r="C49" i="9"/>
  <c r="E48" i="9"/>
  <c r="D48" i="9"/>
  <c r="C48" i="9"/>
  <c r="B49" i="9"/>
  <c r="B50" i="9"/>
  <c r="B48" i="9"/>
  <c r="D43" i="9"/>
  <c r="F46" i="9"/>
  <c r="N32" i="9" s="1"/>
  <c r="N33" i="9" s="1"/>
  <c r="N40" i="9" s="1"/>
  <c r="E46" i="9"/>
  <c r="D46" i="9"/>
  <c r="C46" i="9"/>
  <c r="F45" i="9"/>
  <c r="E45" i="9"/>
  <c r="D45" i="9"/>
  <c r="C45" i="9"/>
  <c r="F44" i="9"/>
  <c r="E44" i="9"/>
  <c r="D44" i="9"/>
  <c r="C44" i="9"/>
  <c r="E43" i="9"/>
  <c r="C43" i="9"/>
  <c r="B44" i="9"/>
  <c r="B45" i="9"/>
  <c r="B46" i="9"/>
  <c r="B43" i="9"/>
  <c r="F39" i="9"/>
  <c r="E39" i="9"/>
  <c r="D39" i="9"/>
  <c r="C39" i="9"/>
  <c r="E33" i="9"/>
  <c r="E20" i="9"/>
  <c r="B20" i="9"/>
  <c r="C20" i="9"/>
  <c r="C26" i="9" s="1"/>
  <c r="D20" i="9"/>
  <c r="B14" i="9"/>
  <c r="D14" i="9"/>
  <c r="E14" i="9"/>
  <c r="D26" i="9" l="1"/>
  <c r="B26" i="9"/>
  <c r="E40" i="9"/>
  <c r="F6" i="4"/>
  <c r="E6" i="4"/>
  <c r="D6" i="4"/>
  <c r="C6" i="4"/>
  <c r="B6" i="4"/>
  <c r="B7" i="9" l="1"/>
  <c r="C7" i="9"/>
  <c r="D7" i="9"/>
  <c r="E7" i="9"/>
  <c r="F7" i="9"/>
  <c r="C33" i="9"/>
  <c r="C40" i="9" s="1"/>
  <c r="D40" i="9"/>
  <c r="F33" i="9"/>
  <c r="F40" i="9" s="1"/>
  <c r="M2" i="3" l="1"/>
  <c r="H2" i="2" l="1"/>
  <c r="M5" i="3"/>
  <c r="L6" i="4"/>
  <c r="M3" i="3" s="1"/>
  <c r="P9" i="3" s="1"/>
  <c r="M4" i="3" l="1"/>
  <c r="M8" i="3" s="1"/>
  <c r="M12" i="3" s="1"/>
  <c r="M14" i="3" s="1"/>
  <c r="P12" i="3"/>
  <c r="P14" i="3" s="1"/>
  <c r="P15" i="3" l="1"/>
  <c r="P16" i="3" s="1"/>
  <c r="P18" i="3" s="1"/>
  <c r="M15" i="3"/>
  <c r="M16" i="3" s="1"/>
  <c r="M18" i="3" s="1"/>
</calcChain>
</file>

<file path=xl/comments1.xml><?xml version="1.0" encoding="utf-8"?>
<comments xmlns="http://schemas.openxmlformats.org/spreadsheetml/2006/main">
  <authors>
    <author>amin sahlolbei</author>
  </authors>
  <commentList>
    <comment ref="W7" authorId="0" shapeId="0">
      <text>
        <r>
          <rPr>
            <b/>
            <sz val="9"/>
            <color indexed="81"/>
            <rFont val="Tahoma"/>
            <family val="2"/>
          </rPr>
          <t>amin sahlolbei:</t>
        </r>
        <r>
          <rPr>
            <sz val="9"/>
            <color indexed="81"/>
            <rFont val="Tahoma"/>
            <family val="2"/>
          </rPr>
          <t xml:space="preserve">
platts</t>
        </r>
      </text>
    </comment>
    <comment ref="W8" authorId="0" shapeId="0">
      <text>
        <r>
          <rPr>
            <b/>
            <sz val="9"/>
            <color indexed="81"/>
            <rFont val="Tahoma"/>
            <family val="2"/>
          </rPr>
          <t>amin sahlolbei:</t>
        </r>
        <r>
          <rPr>
            <sz val="9"/>
            <color indexed="81"/>
            <rFont val="Tahoma"/>
            <family val="2"/>
          </rPr>
          <t xml:space="preserve">
میانگین 6 ماهه دوم 95 بورس کالا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>amin sahlolbei:</t>
        </r>
        <r>
          <rPr>
            <sz val="9"/>
            <color indexed="81"/>
            <rFont val="Tahoma"/>
            <family val="2"/>
          </rPr>
          <t xml:space="preserve">
platts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amin sahlolbei:</t>
        </r>
        <r>
          <rPr>
            <sz val="9"/>
            <color indexed="81"/>
            <rFont val="Tahoma"/>
            <family val="2"/>
          </rPr>
          <t xml:space="preserve">
میانگین 6 ماهه دوم 95 بورس کالا</t>
        </r>
      </text>
    </comment>
  </commentList>
</comments>
</file>

<file path=xl/sharedStrings.xml><?xml version="1.0" encoding="utf-8"?>
<sst xmlns="http://schemas.openxmlformats.org/spreadsheetml/2006/main" count="244" uniqueCount="146">
  <si>
    <t>سود ناخالص</t>
  </si>
  <si>
    <t>EPS</t>
  </si>
  <si>
    <t>مجموع فروش (میلیون ریال)</t>
  </si>
  <si>
    <t>سایر</t>
  </si>
  <si>
    <t>مجموع فروش (تن)</t>
  </si>
  <si>
    <t xml:space="preserve"> تولید کل (تن)</t>
  </si>
  <si>
    <t>میزان تولید (تن)</t>
  </si>
  <si>
    <t>مقدار مصرف مواد اولیه (تن)</t>
  </si>
  <si>
    <t>جمع مصرف مواد اولیه</t>
  </si>
  <si>
    <t>مبلغ مصرف مواد اولیه (میلیون ریال)</t>
  </si>
  <si>
    <t>جمع مبلغ مصرف مواد اولیه (میلیون ریال)</t>
  </si>
  <si>
    <t>نرخ مواد اولیه مصرفی (ریال)</t>
  </si>
  <si>
    <t>فروش</t>
  </si>
  <si>
    <t>قيمت تمام شده كالاي فروش رفته</t>
  </si>
  <si>
    <t>سود و زيان حاصل از سرمايه‏گذاري در شركت فرعي</t>
  </si>
  <si>
    <t>خالص ساير درآمدها (هزينه‌هاي) عملياتي</t>
  </si>
  <si>
    <t>سود (زيان) عملياتي</t>
  </si>
  <si>
    <t>خالص درآمد (هزينه‏هاي متفرقه)</t>
  </si>
  <si>
    <t>سود (زيان) قبل از اقلام غير مترقبه</t>
  </si>
  <si>
    <t>اقلام غير مترقبه</t>
  </si>
  <si>
    <t>سود و زيان قبل از كسر ماليات</t>
  </si>
  <si>
    <t>سود (زيان) خالص</t>
  </si>
  <si>
    <t>مجموع فروش داخلی (تن)</t>
  </si>
  <si>
    <t>مجموع فروش صادراتی (تن)</t>
  </si>
  <si>
    <t>مجموع فروش داخلی (میلیون ریال)</t>
  </si>
  <si>
    <t>مجموع فروش صادراتی (میلیون ریال)</t>
  </si>
  <si>
    <t xml:space="preserve">مواد مستقیم </t>
  </si>
  <si>
    <t>دستمزد مستقیم</t>
  </si>
  <si>
    <t>سربار تولید</t>
  </si>
  <si>
    <t>مجموع بهای تمام شده (میلیون ریال)</t>
  </si>
  <si>
    <t>حقوق و دستمزد</t>
  </si>
  <si>
    <t>تعمیر و نگهداری</t>
  </si>
  <si>
    <t>جمع سربار (میلیون ریال)</t>
  </si>
  <si>
    <t xml:space="preserve">هزينه‏هاي عمومي، اداري و تشكيلاتي </t>
  </si>
  <si>
    <t xml:space="preserve">هزينه‏هاي مالي-اداري </t>
  </si>
  <si>
    <t>درآمد حاصل از سرمايه‏گذاري‏ها</t>
  </si>
  <si>
    <t xml:space="preserve">ماليات </t>
  </si>
  <si>
    <t xml:space="preserve">مبلغ فروش  صادراتی </t>
  </si>
  <si>
    <t xml:space="preserve">مبلغ فروش داخلی </t>
  </si>
  <si>
    <t xml:space="preserve">میزان فروش  داخلی </t>
  </si>
  <si>
    <t xml:space="preserve">میزان فروش  صادراتی </t>
  </si>
  <si>
    <t>نرخ فروش داخلی (ریال)</t>
  </si>
  <si>
    <t>نرخ فروش صادراتی (ریال)</t>
  </si>
  <si>
    <t xml:space="preserve"> </t>
  </si>
  <si>
    <t>مفروضات</t>
  </si>
  <si>
    <t>نرخ ارز</t>
  </si>
  <si>
    <t>پ. ب سال 94 بر اساس عملکرد 3ماهه</t>
  </si>
  <si>
    <t>پیش یبنی 1</t>
  </si>
  <si>
    <t>سرمایه</t>
  </si>
  <si>
    <t>محصولات گرم</t>
  </si>
  <si>
    <t>محصولات سرد</t>
  </si>
  <si>
    <t>محصولات پوشش دار</t>
  </si>
  <si>
    <t xml:space="preserve">سایر </t>
  </si>
  <si>
    <t>استهلاک</t>
  </si>
  <si>
    <t>هزینه انرژی</t>
  </si>
  <si>
    <t>قطعات و لوازم مصرفی</t>
  </si>
  <si>
    <t xml:space="preserve">سنگ آهن </t>
  </si>
  <si>
    <t>آهن قراضه</t>
  </si>
  <si>
    <t>گندله مصرفی</t>
  </si>
  <si>
    <t>سنگ آهن چادرملو</t>
  </si>
  <si>
    <t>سنگ آهن گل گهر</t>
  </si>
  <si>
    <t>سنگ آهن سیرجان</t>
  </si>
  <si>
    <t>سنگ آهن چغارت</t>
  </si>
  <si>
    <t>سنگ آهن جلال آباد</t>
  </si>
  <si>
    <t>سنگ آهن سنگان</t>
  </si>
  <si>
    <t>گندله خریداری داخلی</t>
  </si>
  <si>
    <t>گندله خریداری خارجی</t>
  </si>
  <si>
    <t>گندله خريداري تبدیلی</t>
  </si>
  <si>
    <t>چدن</t>
  </si>
  <si>
    <t>آهن اسفنجي</t>
  </si>
  <si>
    <t>تختال خريداري</t>
  </si>
  <si>
    <t>جمع</t>
  </si>
  <si>
    <t>فروآلیاژ</t>
  </si>
  <si>
    <t>مقدار مصرف مواد اولیه (هزارتن)</t>
  </si>
  <si>
    <t>تغییر قیمت جهانی ورق</t>
  </si>
  <si>
    <t>قیمت دلاری ورق گرم</t>
  </si>
  <si>
    <t>قیمت دلاری ورق سرد</t>
  </si>
  <si>
    <t>قیمت دلاری بیلت</t>
  </si>
  <si>
    <t>قیمت ورق گرم داخلی</t>
  </si>
  <si>
    <t>قیمت ورق سرد داخلی</t>
  </si>
  <si>
    <t>قیمت ورق گرم صادراتی</t>
  </si>
  <si>
    <t>قیمت ورق سرد صادراتی</t>
  </si>
  <si>
    <t>نرخ تورم</t>
  </si>
  <si>
    <t>نرخ خرید گندله</t>
  </si>
  <si>
    <t>قیمت خرید گندله</t>
  </si>
  <si>
    <t>قیمت شمش فخوز</t>
  </si>
  <si>
    <t>نرخ خرید کنسانتره</t>
  </si>
  <si>
    <t>قیمت خرید کنسانتره</t>
  </si>
  <si>
    <t>افزایش قیمت حامل های انرژی</t>
  </si>
  <si>
    <t>بیلت</t>
  </si>
  <si>
    <t>ورق گرم</t>
  </si>
  <si>
    <t>اسلب</t>
  </si>
  <si>
    <t>کارشناسی 95</t>
  </si>
  <si>
    <t xml:space="preserve">میزان فروش  کل </t>
  </si>
  <si>
    <t>سنگ آهن زنجان</t>
  </si>
  <si>
    <t>مواد غیر مستقیم</t>
  </si>
  <si>
    <t>ومعادن</t>
  </si>
  <si>
    <t>کگل</t>
  </si>
  <si>
    <t>کچاد</t>
  </si>
  <si>
    <t>وتوکا</t>
  </si>
  <si>
    <t>فجر</t>
  </si>
  <si>
    <t>هرمز</t>
  </si>
  <si>
    <t>سود خالص</t>
  </si>
  <si>
    <t>درصد تقسیم سود</t>
  </si>
  <si>
    <t>سهم فولاد</t>
  </si>
  <si>
    <t>سود تقسیمی</t>
  </si>
  <si>
    <t>سهم فولاد از سود نقدی</t>
  </si>
  <si>
    <t>سود حاصل از وجوه نزد بانکها</t>
  </si>
  <si>
    <t xml:space="preserve">جرايم مالياتي تکليفي </t>
  </si>
  <si>
    <t xml:space="preserve">جرايم محيط زيست </t>
  </si>
  <si>
    <t xml:space="preserve">درآمد حاصل از فروش محصولات فرعي </t>
  </si>
  <si>
    <t>سود و زیان تسعیر ارز</t>
  </si>
  <si>
    <t>تغییر قیمت جهانی بیلت</t>
  </si>
  <si>
    <t>تعرفه واردات</t>
  </si>
  <si>
    <t>هزینه حمل کنسانتره از گل گهر</t>
  </si>
  <si>
    <t>هزینه حمل کنسانتره چادرملو</t>
  </si>
  <si>
    <t>کارشناسی 96</t>
  </si>
  <si>
    <t>هزینه حمل</t>
  </si>
  <si>
    <t>سهامداران/دارندگان (در پایان روز)</t>
  </si>
  <si>
    <t>درصد</t>
  </si>
  <si>
    <t>ظرفیت اسمی-تولید محصولات سرد</t>
  </si>
  <si>
    <t>ظرفیت اسمی-تولید محصولات گرم</t>
  </si>
  <si>
    <t>ظرفیت اسمی- تولید محصولات پوشش دار</t>
  </si>
  <si>
    <t>ظرفیت اسمی- تولید تختال (مبارکه و سبا)</t>
  </si>
  <si>
    <t>سازمان توسعه ونوسازي معادن وصنايع معدني ايران</t>
  </si>
  <si>
    <t>شركت سرمايه گذاري صدرتاءمين-سهامي عام-</t>
  </si>
  <si>
    <t>بانك رفاه كارگران-سهامي عام-</t>
  </si>
  <si>
    <t>شركت س اتهران س.خ-م ك م ف ع-</t>
  </si>
  <si>
    <t>بانك تجارت</t>
  </si>
  <si>
    <t>شركت س اخراسان رضوي س.خ-م ك م ف ع-</t>
  </si>
  <si>
    <t>شركت س افارس س.خ-م ك م ف ع-</t>
  </si>
  <si>
    <t>شركت س ااصفهان س.خ-م ك م ف ع-</t>
  </si>
  <si>
    <t>شركت س اخوزستان س.خ-م ك م ف ع-</t>
  </si>
  <si>
    <t>موسسه صندوق بيمه اجتماعي روستائيان وعشاير</t>
  </si>
  <si>
    <t>شركت گروه مديريت سرمايه گذاري اميد-سهامي خاص-</t>
  </si>
  <si>
    <t>شركت س اآذربايجان شرقي س.خ-م ك م ف ع-</t>
  </si>
  <si>
    <t>شركت س امازندران س.خ-م ك م ف ع-</t>
  </si>
  <si>
    <t>شركت س اكرمان س.خ-م ك م ف ع-</t>
  </si>
  <si>
    <t>شركت توسعه ومديريت سرمايه صبا-سهامي خاص-</t>
  </si>
  <si>
    <t>شركت س اگيلان س.خ-م ك م ف ع-</t>
  </si>
  <si>
    <t>شركت س اآذربايجان غربي س.خ-م ك م ف ع-</t>
  </si>
  <si>
    <t>شركت س اسيستان وبلوچستان س.خ-م ك م ف ع-</t>
  </si>
  <si>
    <t>بانك رفاه كارگران-سهامي عام-بخش3</t>
  </si>
  <si>
    <t>صندوق بازنشستگي كشوري بخش8</t>
  </si>
  <si>
    <t>هزار تن</t>
  </si>
  <si>
    <t>محصول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</si>
</sst>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#,##0_ ;[Red]\-#,##0\ "/>
    <numFmt numFmtId="166" formatCode="_-* #,##0_-;_-* #,##0\-;_-* &quot;-&quot;??_-;_-@_-"/>
    <numFmt numFmtId="167" formatCode="#,##0.000000"/>
  </numFmts>
  <fonts count="2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1"/>
      <name val="B Mitra"/>
      <charset val="178"/>
    </font>
    <font>
      <sz val="10"/>
      <name val="Arial"/>
      <family val="2"/>
    </font>
    <font>
      <sz val="8"/>
      <color rgb="FFFF0000"/>
      <name val="B Titr"/>
      <charset val="178"/>
    </font>
    <font>
      <b/>
      <sz val="9"/>
      <name val="B Mitra"/>
      <charset val="178"/>
    </font>
    <font>
      <sz val="11"/>
      <color indexed="8"/>
      <name val="Calibri"/>
      <family val="2"/>
      <charset val="178"/>
    </font>
    <font>
      <b/>
      <sz val="11"/>
      <color theme="1"/>
      <name val="B Mitra"/>
      <charset val="178"/>
    </font>
    <font>
      <b/>
      <i/>
      <sz val="11"/>
      <color theme="1"/>
      <name val="B Mitra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B Mitra"/>
      <charset val="178"/>
    </font>
    <font>
      <sz val="1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color theme="3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6F9FC"/>
        <bgColor indexed="64"/>
      </patternFill>
    </fill>
    <fill>
      <patternFill patternType="solid">
        <fgColor rgb="FFB8FEE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A49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165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indent="1"/>
    </xf>
    <xf numFmtId="9" fontId="0" fillId="0" borderId="0" xfId="1" applyFont="1"/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right" indent="1"/>
    </xf>
    <xf numFmtId="0" fontId="6" fillId="2" borderId="0" xfId="0" applyFont="1" applyFill="1"/>
    <xf numFmtId="3" fontId="3" fillId="3" borderId="2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indent="1"/>
    </xf>
    <xf numFmtId="0" fontId="3" fillId="0" borderId="9" xfId="0" applyFont="1" applyFill="1" applyBorder="1" applyAlignment="1">
      <alignment horizontal="right" indent="1"/>
    </xf>
    <xf numFmtId="2" fontId="0" fillId="0" borderId="0" xfId="1" applyNumberFormat="1" applyFont="1"/>
    <xf numFmtId="3" fontId="0" fillId="0" borderId="0" xfId="0" applyNumberFormat="1"/>
    <xf numFmtId="0" fontId="7" fillId="4" borderId="11" xfId="5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right" vertical="center"/>
    </xf>
    <xf numFmtId="165" fontId="9" fillId="5" borderId="1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12" xfId="0" applyBorder="1"/>
    <xf numFmtId="3" fontId="4" fillId="0" borderId="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5" xfId="0" applyFont="1" applyFill="1" applyBorder="1"/>
    <xf numFmtId="165" fontId="3" fillId="0" borderId="13" xfId="0" applyNumberFormat="1" applyFont="1" applyBorder="1" applyAlignment="1">
      <alignment horizontal="center" vertical="center"/>
    </xf>
    <xf numFmtId="0" fontId="3" fillId="0" borderId="15" xfId="0" applyFont="1" applyFill="1" applyBorder="1"/>
    <xf numFmtId="0" fontId="10" fillId="6" borderId="6" xfId="0" applyFont="1" applyFill="1" applyBorder="1"/>
    <xf numFmtId="165" fontId="9" fillId="6" borderId="11" xfId="0" applyNumberFormat="1" applyFont="1" applyFill="1" applyBorder="1" applyAlignment="1">
      <alignment horizontal="center" vertical="center"/>
    </xf>
    <xf numFmtId="0" fontId="4" fillId="0" borderId="3" xfId="0" applyFont="1" applyFill="1" applyBorder="1"/>
    <xf numFmtId="165" fontId="3" fillId="0" borderId="7" xfId="0" applyNumberFormat="1" applyFont="1" applyBorder="1" applyAlignment="1">
      <alignment horizontal="center" vertical="center"/>
    </xf>
    <xf numFmtId="0" fontId="3" fillId="0" borderId="3" xfId="0" applyFont="1" applyFill="1" applyBorder="1"/>
    <xf numFmtId="0" fontId="3" fillId="0" borderId="6" xfId="0" applyFont="1" applyFill="1" applyBorder="1"/>
    <xf numFmtId="165" fontId="3" fillId="0" borderId="11" xfId="0" applyNumberFormat="1" applyFont="1" applyBorder="1" applyAlignment="1">
      <alignment horizontal="center" vertical="center"/>
    </xf>
    <xf numFmtId="0" fontId="10" fillId="7" borderId="6" xfId="0" applyFont="1" applyFill="1" applyBorder="1"/>
    <xf numFmtId="165" fontId="9" fillId="7" borderId="11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9" fillId="8" borderId="6" xfId="0" applyNumberFormat="1" applyFont="1" applyFill="1" applyBorder="1" applyAlignment="1">
      <alignment horizontal="right" vertical="center"/>
    </xf>
    <xf numFmtId="165" fontId="9" fillId="8" borderId="1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indent="1"/>
    </xf>
    <xf numFmtId="3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/>
    <xf numFmtId="0" fontId="7" fillId="4" borderId="11" xfId="5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Fill="1" applyBorder="1"/>
    <xf numFmtId="1" fontId="0" fillId="0" borderId="0" xfId="1" applyNumberFormat="1" applyFont="1"/>
    <xf numFmtId="3" fontId="3" fillId="0" borderId="2" xfId="0" applyNumberFormat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6" fontId="3" fillId="0" borderId="14" xfId="15" applyNumberFormat="1" applyFont="1" applyBorder="1" applyAlignment="1">
      <alignment horizontal="center"/>
    </xf>
    <xf numFmtId="9" fontId="3" fillId="0" borderId="14" xfId="1" applyFont="1" applyFill="1" applyBorder="1" applyAlignment="1">
      <alignment horizontal="center"/>
    </xf>
    <xf numFmtId="165" fontId="3" fillId="0" borderId="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9" borderId="8" xfId="0" applyFont="1" applyFill="1" applyBorder="1" applyAlignment="1">
      <alignment horizontal="right" indent="1"/>
    </xf>
    <xf numFmtId="3" fontId="3" fillId="9" borderId="2" xfId="0" applyNumberFormat="1" applyFont="1" applyFill="1" applyBorder="1" applyAlignment="1">
      <alignment horizontal="center" vertic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14" fontId="0" fillId="0" borderId="0" xfId="0" applyNumberFormat="1"/>
    <xf numFmtId="9" fontId="3" fillId="0" borderId="14" xfId="1" applyFont="1" applyBorder="1" applyAlignment="1">
      <alignment horizontal="center"/>
    </xf>
    <xf numFmtId="0" fontId="3" fillId="0" borderId="20" xfId="0" applyFont="1" applyFill="1" applyBorder="1" applyAlignment="1">
      <alignment horizontal="right" indent="1"/>
    </xf>
    <xf numFmtId="0" fontId="13" fillId="0" borderId="0" xfId="0" applyFont="1"/>
    <xf numFmtId="166" fontId="3" fillId="10" borderId="14" xfId="15" applyNumberFormat="1" applyFont="1" applyFill="1" applyBorder="1" applyAlignment="1">
      <alignment horizontal="center"/>
    </xf>
    <xf numFmtId="166" fontId="13" fillId="0" borderId="0" xfId="0" applyNumberFormat="1" applyFont="1"/>
    <xf numFmtId="0" fontId="9" fillId="0" borderId="15" xfId="0" applyFont="1" applyFill="1" applyBorder="1"/>
    <xf numFmtId="165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166" fontId="4" fillId="0" borderId="14" xfId="15" applyNumberFormat="1" applyFont="1" applyBorder="1" applyAlignment="1">
      <alignment horizontal="center"/>
    </xf>
    <xf numFmtId="43" fontId="3" fillId="0" borderId="14" xfId="15" applyNumberFormat="1" applyFont="1" applyBorder="1" applyAlignment="1">
      <alignment horizontal="center"/>
    </xf>
    <xf numFmtId="167" fontId="3" fillId="0" borderId="10" xfId="0" applyNumberFormat="1" applyFont="1" applyFill="1" applyBorder="1" applyAlignment="1">
      <alignment horizontal="center" vertical="center"/>
    </xf>
    <xf numFmtId="166" fontId="3" fillId="0" borderId="14" xfId="15" applyNumberFormat="1" applyFont="1" applyFill="1" applyBorder="1" applyAlignment="1">
      <alignment horizontal="center"/>
    </xf>
    <xf numFmtId="0" fontId="3" fillId="0" borderId="21" xfId="0" applyFont="1" applyFill="1" applyBorder="1"/>
    <xf numFmtId="0" fontId="9" fillId="0" borderId="21" xfId="0" applyFont="1" applyFill="1" applyBorder="1"/>
    <xf numFmtId="0" fontId="7" fillId="4" borderId="6" xfId="5" applyFont="1" applyFill="1" applyBorder="1" applyAlignment="1">
      <alignment horizontal="center" vertical="center"/>
    </xf>
    <xf numFmtId="0" fontId="7" fillId="4" borderId="25" xfId="5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9" fillId="0" borderId="28" xfId="1" applyFont="1" applyBorder="1" applyAlignment="1">
      <alignment horizontal="center" vertical="center"/>
    </xf>
    <xf numFmtId="0" fontId="3" fillId="0" borderId="0" xfId="0" applyFont="1" applyFill="1" applyBorder="1"/>
    <xf numFmtId="166" fontId="3" fillId="0" borderId="0" xfId="15" applyNumberFormat="1" applyFont="1" applyFill="1" applyBorder="1"/>
    <xf numFmtId="9" fontId="3" fillId="0" borderId="0" xfId="1" applyFont="1" applyFill="1" applyBorder="1"/>
    <xf numFmtId="165" fontId="0" fillId="0" borderId="0" xfId="0" applyNumberFormat="1"/>
    <xf numFmtId="165" fontId="13" fillId="0" borderId="0" xfId="0" applyNumberFormat="1" applyFont="1"/>
    <xf numFmtId="165" fontId="14" fillId="0" borderId="0" xfId="0" applyNumberFormat="1" applyFont="1"/>
    <xf numFmtId="0" fontId="3" fillId="2" borderId="14" xfId="0" applyFont="1" applyFill="1" applyBorder="1"/>
    <xf numFmtId="0" fontId="15" fillId="2" borderId="0" xfId="0" applyFont="1" applyFill="1" applyAlignment="1">
      <alignment horizontal="center" vertical="center"/>
    </xf>
    <xf numFmtId="0" fontId="16" fillId="2" borderId="14" xfId="0" applyFont="1" applyFill="1" applyBorder="1"/>
    <xf numFmtId="166" fontId="3" fillId="0" borderId="14" xfId="15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12" xfId="0" applyFont="1" applyBorder="1"/>
    <xf numFmtId="0" fontId="19" fillId="0" borderId="12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readingOrder="2"/>
    </xf>
    <xf numFmtId="3" fontId="19" fillId="0" borderId="0" xfId="0" applyNumberFormat="1" applyFont="1"/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</cellXfs>
  <cellStyles count="17">
    <cellStyle name="Comma" xfId="15" builtinId="3"/>
    <cellStyle name="Comma 2" xfId="3"/>
    <cellStyle name="Comma 3" xfId="6"/>
    <cellStyle name="Comma 4" xfId="14"/>
    <cellStyle name="Normal" xfId="0" builtinId="0"/>
    <cellStyle name="Normal 12" xfId="16"/>
    <cellStyle name="Normal 2" xfId="2"/>
    <cellStyle name="Normal 2 2" xfId="4"/>
    <cellStyle name="Normal 3" xfId="7"/>
    <cellStyle name="Normal 4" xfId="5"/>
    <cellStyle name="Normal 5" xfId="8"/>
    <cellStyle name="Percent" xfId="1" builtinId="5"/>
    <cellStyle name="Percent 2" xfId="9"/>
    <cellStyle name="Percent 3" xfId="10"/>
    <cellStyle name="Percent 4" xfId="11"/>
    <cellStyle name="Percent 4 2" xfId="12"/>
    <cellStyle name="Percent 4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208609</xdr:colOff>
      <xdr:row>24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162591" y="0"/>
          <a:ext cx="7523809" cy="4704762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476250</xdr:colOff>
      <xdr:row>0</xdr:row>
      <xdr:rowOff>0</xdr:rowOff>
    </xdr:from>
    <xdr:to>
      <xdr:col>22</xdr:col>
      <xdr:colOff>227869</xdr:colOff>
      <xdr:row>26</xdr:row>
      <xdr:rowOff>18429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4047331" y="0"/>
          <a:ext cx="5847619" cy="49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11</xdr:col>
      <xdr:colOff>46781</xdr:colOff>
      <xdr:row>50</xdr:row>
      <xdr:rowOff>113738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80934019" y="5143500"/>
          <a:ext cx="6752381" cy="4495238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27</xdr:row>
      <xdr:rowOff>38100</xdr:rowOff>
    </xdr:from>
    <xdr:to>
      <xdr:col>22</xdr:col>
      <xdr:colOff>142040</xdr:colOff>
      <xdr:row>50</xdr:row>
      <xdr:rowOff>189933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74133160" y="5181600"/>
          <a:ext cx="6676190" cy="45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152400</xdr:rowOff>
    </xdr:from>
    <xdr:to>
      <xdr:col>11</xdr:col>
      <xdr:colOff>75352</xdr:colOff>
      <xdr:row>75</xdr:row>
      <xdr:rowOff>189924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80905448" y="9867900"/>
          <a:ext cx="6780952" cy="46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180975</xdr:colOff>
      <xdr:row>51</xdr:row>
      <xdr:rowOff>180975</xdr:rowOff>
    </xdr:from>
    <xdr:to>
      <xdr:col>20</xdr:col>
      <xdr:colOff>418461</xdr:colOff>
      <xdr:row>80</xdr:row>
      <xdr:rowOff>56475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75075939" y="9896475"/>
          <a:ext cx="5114286" cy="5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79</xdr:row>
      <xdr:rowOff>152400</xdr:rowOff>
    </xdr:from>
    <xdr:to>
      <xdr:col>12</xdr:col>
      <xdr:colOff>130280</xdr:colOff>
      <xdr:row>99</xdr:row>
      <xdr:rowOff>114300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0240920" y="15201900"/>
          <a:ext cx="7445479" cy="3771900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80</xdr:row>
      <xdr:rowOff>177670</xdr:rowOff>
    </xdr:from>
    <xdr:to>
      <xdr:col>25</xdr:col>
      <xdr:colOff>8475</xdr:colOff>
      <xdr:row>103</xdr:row>
      <xdr:rowOff>189895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972437925" y="15417670"/>
          <a:ext cx="7628475" cy="4393725"/>
        </a:xfrm>
        <a:prstGeom prst="rect">
          <a:avLst/>
        </a:prstGeom>
      </xdr:spPr>
    </xdr:pic>
    <xdr:clientData/>
  </xdr:twoCellAnchor>
  <xdr:twoCellAnchor editAs="oneCell">
    <xdr:from>
      <xdr:col>22</xdr:col>
      <xdr:colOff>291353</xdr:colOff>
      <xdr:row>1</xdr:row>
      <xdr:rowOff>145677</xdr:rowOff>
    </xdr:from>
    <xdr:to>
      <xdr:col>31</xdr:col>
      <xdr:colOff>569103</xdr:colOff>
      <xdr:row>25</xdr:row>
      <xdr:rowOff>107010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894919779" y="336177"/>
          <a:ext cx="5723809" cy="45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180975</xdr:colOff>
      <xdr:row>0</xdr:row>
      <xdr:rowOff>0</xdr:rowOff>
    </xdr:from>
    <xdr:to>
      <xdr:col>30</xdr:col>
      <xdr:colOff>389508</xdr:colOff>
      <xdr:row>20</xdr:row>
      <xdr:rowOff>142306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0228092" y="0"/>
          <a:ext cx="8133333" cy="4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rightToLeft="1" zoomScale="85" zoomScaleNormal="85" workbookViewId="0">
      <selection activeCell="I7" sqref="I7"/>
    </sheetView>
  </sheetViews>
  <sheetFormatPr defaultRowHeight="31.5" customHeight="1" x14ac:dyDescent="0.45"/>
  <cols>
    <col min="1" max="1" width="42.42578125" style="61" bestFit="1" customWidth="1"/>
    <col min="2" max="2" width="20.85546875" style="61" customWidth="1"/>
    <col min="3" max="8" width="9.140625" style="61"/>
    <col min="9" max="9" width="36.42578125" style="61" bestFit="1" customWidth="1"/>
    <col min="10" max="16384" width="9.140625" style="61"/>
  </cols>
  <sheetData>
    <row r="1" spans="1:10" ht="18.75" customHeight="1" x14ac:dyDescent="0.45">
      <c r="A1" s="94" t="s">
        <v>118</v>
      </c>
      <c r="B1" s="95" t="s">
        <v>119</v>
      </c>
      <c r="I1" s="94" t="s">
        <v>145</v>
      </c>
      <c r="J1" s="95" t="s">
        <v>144</v>
      </c>
    </row>
    <row r="2" spans="1:10" ht="18.75" x14ac:dyDescent="0.45">
      <c r="A2" s="96" t="s">
        <v>124</v>
      </c>
      <c r="B2" s="96">
        <v>17.190000000000001</v>
      </c>
      <c r="I2" s="96" t="s">
        <v>120</v>
      </c>
      <c r="J2" s="98">
        <v>1550</v>
      </c>
    </row>
    <row r="3" spans="1:10" ht="18.75" x14ac:dyDescent="0.45">
      <c r="A3" s="96" t="s">
        <v>125</v>
      </c>
      <c r="B3" s="96">
        <v>9.51</v>
      </c>
      <c r="I3" s="96" t="s">
        <v>121</v>
      </c>
      <c r="J3" s="98">
        <v>6700</v>
      </c>
    </row>
    <row r="4" spans="1:10" ht="18.75" x14ac:dyDescent="0.45">
      <c r="A4" s="96" t="s">
        <v>126</v>
      </c>
      <c r="B4" s="96">
        <v>3.19</v>
      </c>
      <c r="I4" s="96" t="s">
        <v>122</v>
      </c>
      <c r="J4" s="96">
        <v>400</v>
      </c>
    </row>
    <row r="5" spans="1:10" ht="18.75" x14ac:dyDescent="0.45">
      <c r="A5" s="96" t="s">
        <v>127</v>
      </c>
      <c r="B5" s="96">
        <v>3.07</v>
      </c>
      <c r="I5" s="97" t="s">
        <v>123</v>
      </c>
      <c r="J5" s="98">
        <v>8700</v>
      </c>
    </row>
    <row r="6" spans="1:10" ht="18.75" x14ac:dyDescent="0.45">
      <c r="A6" s="96" t="s">
        <v>128</v>
      </c>
      <c r="B6" s="96">
        <v>2.75</v>
      </c>
    </row>
    <row r="7" spans="1:10" ht="18.75" x14ac:dyDescent="0.45">
      <c r="A7" s="96" t="s">
        <v>129</v>
      </c>
      <c r="B7" s="96">
        <v>2.4500000000000002</v>
      </c>
    </row>
    <row r="8" spans="1:10" ht="18.75" x14ac:dyDescent="0.45">
      <c r="A8" s="96" t="s">
        <v>130</v>
      </c>
      <c r="B8" s="96">
        <v>2.0699999999999998</v>
      </c>
    </row>
    <row r="9" spans="1:10" ht="18.75" x14ac:dyDescent="0.45">
      <c r="A9" s="96" t="s">
        <v>131</v>
      </c>
      <c r="B9" s="96">
        <v>1.89</v>
      </c>
    </row>
    <row r="10" spans="1:10" ht="18.75" x14ac:dyDescent="0.45">
      <c r="A10" s="96" t="s">
        <v>132</v>
      </c>
      <c r="B10" s="96">
        <v>1.85</v>
      </c>
    </row>
    <row r="11" spans="1:10" ht="18.75" x14ac:dyDescent="0.45">
      <c r="A11" s="96" t="s">
        <v>133</v>
      </c>
      <c r="B11" s="96">
        <v>1.79</v>
      </c>
    </row>
    <row r="12" spans="1:10" ht="18.75" x14ac:dyDescent="0.45">
      <c r="A12" s="96" t="s">
        <v>134</v>
      </c>
      <c r="B12" s="96">
        <v>1.68</v>
      </c>
    </row>
    <row r="13" spans="1:10" ht="18.75" x14ac:dyDescent="0.45">
      <c r="A13" s="96" t="s">
        <v>135</v>
      </c>
      <c r="B13" s="96">
        <v>1.56</v>
      </c>
    </row>
    <row r="14" spans="1:10" ht="18.75" x14ac:dyDescent="0.45">
      <c r="A14" s="96" t="s">
        <v>136</v>
      </c>
      <c r="B14" s="96">
        <v>1.46</v>
      </c>
    </row>
    <row r="15" spans="1:10" ht="18.75" x14ac:dyDescent="0.45">
      <c r="A15" s="96" t="s">
        <v>137</v>
      </c>
      <c r="B15" s="96">
        <v>1.42</v>
      </c>
    </row>
    <row r="16" spans="1:10" ht="18.75" x14ac:dyDescent="0.45">
      <c r="A16" s="96" t="s">
        <v>138</v>
      </c>
      <c r="B16" s="96">
        <v>1.32</v>
      </c>
    </row>
    <row r="17" spans="1:2" ht="18.75" x14ac:dyDescent="0.45">
      <c r="A17" s="96" t="s">
        <v>139</v>
      </c>
      <c r="B17" s="96">
        <v>1.31</v>
      </c>
    </row>
    <row r="18" spans="1:2" ht="18.75" x14ac:dyDescent="0.45">
      <c r="A18" s="96" t="s">
        <v>140</v>
      </c>
      <c r="B18" s="96">
        <v>1.1399999999999999</v>
      </c>
    </row>
    <row r="19" spans="1:2" ht="18.75" x14ac:dyDescent="0.45">
      <c r="A19" s="96" t="s">
        <v>141</v>
      </c>
      <c r="B19" s="96">
        <v>1.1000000000000001</v>
      </c>
    </row>
    <row r="20" spans="1:2" ht="18.75" x14ac:dyDescent="0.45">
      <c r="A20" s="96" t="s">
        <v>142</v>
      </c>
      <c r="B20" s="96">
        <v>1.03</v>
      </c>
    </row>
    <row r="21" spans="1:2" ht="18.75" x14ac:dyDescent="0.45">
      <c r="A21" s="96" t="s">
        <v>143</v>
      </c>
      <c r="B21" s="96">
        <v>1.01</v>
      </c>
    </row>
    <row r="22" spans="1:2" ht="18.75" x14ac:dyDescent="0.45">
      <c r="A22" s="96" t="s">
        <v>3</v>
      </c>
      <c r="B22" s="96">
        <f>100-SUM(B2:B21)</f>
        <v>41.209999999999987</v>
      </c>
    </row>
    <row r="23" spans="1:2" ht="18" x14ac:dyDescent="0.45"/>
    <row r="24" spans="1:2" ht="18" x14ac:dyDescent="0.45"/>
    <row r="25" spans="1:2" ht="18" x14ac:dyDescent="0.45"/>
    <row r="26" spans="1:2" ht="18" x14ac:dyDescent="0.45"/>
    <row r="27" spans="1:2" ht="18" x14ac:dyDescent="0.45"/>
    <row r="28" spans="1:2" ht="18" x14ac:dyDescent="0.45"/>
    <row r="29" spans="1:2" ht="18" x14ac:dyDescent="0.45"/>
    <row r="30" spans="1:2" ht="18" x14ac:dyDescent="0.45"/>
    <row r="31" spans="1:2" ht="18" x14ac:dyDescent="0.45"/>
    <row r="32" spans="1:2" ht="18" x14ac:dyDescent="0.45"/>
    <row r="33" ht="18" x14ac:dyDescent="0.45"/>
    <row r="34" ht="18" x14ac:dyDescent="0.4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6"/>
  <sheetViews>
    <sheetView rightToLeft="1" workbookViewId="0"/>
  </sheetViews>
  <sheetFormatPr defaultRowHeight="15" x14ac:dyDescent="0.25"/>
  <sheetData>
    <row r="2" spans="1:3" x14ac:dyDescent="0.25">
      <c r="A2">
        <v>13940103</v>
      </c>
      <c r="B2">
        <v>6100</v>
      </c>
      <c r="C2">
        <f>AVERAGE(B2:B106)</f>
        <v>5834.4708737864075</v>
      </c>
    </row>
    <row r="3" spans="1:3" x14ac:dyDescent="0.25">
      <c r="A3">
        <v>13940104</v>
      </c>
      <c r="B3">
        <v>6130</v>
      </c>
    </row>
    <row r="4" spans="1:3" x14ac:dyDescent="0.25">
      <c r="A4">
        <v>13940105</v>
      </c>
      <c r="B4">
        <v>6130</v>
      </c>
    </row>
    <row r="5" spans="1:3" x14ac:dyDescent="0.25">
      <c r="A5">
        <v>13940106</v>
      </c>
      <c r="B5">
        <v>6220</v>
      </c>
    </row>
    <row r="6" spans="1:3" x14ac:dyDescent="0.25">
      <c r="A6">
        <v>13940107</v>
      </c>
      <c r="B6">
        <v>6146</v>
      </c>
    </row>
    <row r="7" spans="1:3" x14ac:dyDescent="0.25">
      <c r="A7">
        <v>1394010</v>
      </c>
      <c r="B7">
        <v>6110</v>
      </c>
    </row>
    <row r="8" spans="1:3" x14ac:dyDescent="0.25">
      <c r="A8">
        <v>1394011</v>
      </c>
    </row>
    <row r="9" spans="1:3" x14ac:dyDescent="0.25">
      <c r="A9">
        <v>1394012</v>
      </c>
    </row>
    <row r="10" spans="1:3" x14ac:dyDescent="0.25">
      <c r="A10">
        <v>1394013</v>
      </c>
      <c r="B10">
        <v>6001.5</v>
      </c>
    </row>
    <row r="11" spans="1:3" x14ac:dyDescent="0.25">
      <c r="A11">
        <v>1394014</v>
      </c>
      <c r="B11">
        <v>6001.5</v>
      </c>
    </row>
    <row r="12" spans="1:3" x14ac:dyDescent="0.25">
      <c r="A12">
        <v>13940117</v>
      </c>
      <c r="B12">
        <v>6001.5</v>
      </c>
    </row>
    <row r="13" spans="1:3" x14ac:dyDescent="0.25">
      <c r="A13">
        <v>13940118</v>
      </c>
      <c r="B13">
        <v>6041</v>
      </c>
    </row>
    <row r="14" spans="1:3" x14ac:dyDescent="0.25">
      <c r="A14">
        <v>13940119</v>
      </c>
      <c r="B14">
        <v>6050</v>
      </c>
    </row>
    <row r="15" spans="1:3" x14ac:dyDescent="0.25">
      <c r="A15">
        <v>13940120</v>
      </c>
      <c r="B15">
        <v>6049.5</v>
      </c>
    </row>
    <row r="16" spans="1:3" x14ac:dyDescent="0.25">
      <c r="A16">
        <v>13940121</v>
      </c>
      <c r="B16">
        <v>6055</v>
      </c>
    </row>
    <row r="17" spans="1:2" x14ac:dyDescent="0.25">
      <c r="A17">
        <v>13940124</v>
      </c>
      <c r="B17">
        <v>6011.5</v>
      </c>
    </row>
    <row r="18" spans="1:2" x14ac:dyDescent="0.25">
      <c r="A18">
        <v>13940125</v>
      </c>
      <c r="B18">
        <v>5916.5</v>
      </c>
    </row>
    <row r="19" spans="1:2" x14ac:dyDescent="0.25">
      <c r="A19">
        <v>13940126</v>
      </c>
      <c r="B19">
        <v>5930</v>
      </c>
    </row>
    <row r="20" spans="1:2" x14ac:dyDescent="0.25">
      <c r="A20">
        <v>13940127</v>
      </c>
      <c r="B20">
        <v>6070</v>
      </c>
    </row>
    <row r="21" spans="1:2" x14ac:dyDescent="0.25">
      <c r="A21">
        <v>13940128</v>
      </c>
      <c r="B21">
        <v>6081</v>
      </c>
    </row>
    <row r="22" spans="1:2" x14ac:dyDescent="0.25">
      <c r="A22">
        <v>13940131</v>
      </c>
      <c r="B22">
        <v>6000</v>
      </c>
    </row>
    <row r="23" spans="1:2" x14ac:dyDescent="0.25">
      <c r="A23">
        <v>13940201</v>
      </c>
      <c r="B23">
        <v>5975</v>
      </c>
    </row>
    <row r="24" spans="1:2" x14ac:dyDescent="0.25">
      <c r="A24">
        <v>13940202</v>
      </c>
      <c r="B24">
        <v>5925</v>
      </c>
    </row>
    <row r="25" spans="1:2" x14ac:dyDescent="0.25">
      <c r="A25">
        <v>13940203</v>
      </c>
      <c r="B25">
        <v>5930</v>
      </c>
    </row>
    <row r="26" spans="1:2" x14ac:dyDescent="0.25">
      <c r="A26">
        <v>13940204</v>
      </c>
      <c r="B26">
        <v>6025.5</v>
      </c>
    </row>
    <row r="27" spans="1:2" x14ac:dyDescent="0.25">
      <c r="A27">
        <v>13940207</v>
      </c>
      <c r="B27">
        <v>6061</v>
      </c>
    </row>
    <row r="28" spans="1:2" x14ac:dyDescent="0.25">
      <c r="A28">
        <v>13940208</v>
      </c>
      <c r="B28">
        <v>6095</v>
      </c>
    </row>
    <row r="29" spans="1:2" x14ac:dyDescent="0.25">
      <c r="A29">
        <v>13940209</v>
      </c>
      <c r="B29">
        <v>6100</v>
      </c>
    </row>
    <row r="30" spans="1:2" x14ac:dyDescent="0.25">
      <c r="A30">
        <v>13940210</v>
      </c>
      <c r="B30">
        <v>6245</v>
      </c>
    </row>
    <row r="31" spans="1:2" x14ac:dyDescent="0.25">
      <c r="A31">
        <v>13940211</v>
      </c>
      <c r="B31">
        <v>6362</v>
      </c>
    </row>
    <row r="32" spans="1:2" x14ac:dyDescent="0.25">
      <c r="A32">
        <v>13940214</v>
      </c>
      <c r="B32">
        <v>6408</v>
      </c>
    </row>
    <row r="33" spans="1:2" x14ac:dyDescent="0.25">
      <c r="A33">
        <v>13940215</v>
      </c>
      <c r="B33">
        <v>6410</v>
      </c>
    </row>
    <row r="34" spans="1:2" x14ac:dyDescent="0.25">
      <c r="A34">
        <v>13940216</v>
      </c>
      <c r="B34">
        <v>6400</v>
      </c>
    </row>
    <row r="35" spans="1:2" x14ac:dyDescent="0.25">
      <c r="A35">
        <v>13940217</v>
      </c>
      <c r="B35">
        <v>6438</v>
      </c>
    </row>
    <row r="36" spans="1:2" x14ac:dyDescent="0.25">
      <c r="A36">
        <v>13940218</v>
      </c>
      <c r="B36">
        <v>6396.5</v>
      </c>
    </row>
    <row r="37" spans="1:2" x14ac:dyDescent="0.25">
      <c r="A37">
        <v>13940221</v>
      </c>
      <c r="B37">
        <v>6360</v>
      </c>
    </row>
    <row r="38" spans="1:2" x14ac:dyDescent="0.25">
      <c r="A38">
        <v>13940222</v>
      </c>
      <c r="B38">
        <v>6448</v>
      </c>
    </row>
    <row r="39" spans="1:2" x14ac:dyDescent="0.25">
      <c r="A39">
        <v>13940223</v>
      </c>
      <c r="B39">
        <v>6418</v>
      </c>
    </row>
    <row r="40" spans="1:2" x14ac:dyDescent="0.25">
      <c r="A40">
        <v>13940224</v>
      </c>
      <c r="B40">
        <v>6400</v>
      </c>
    </row>
    <row r="41" spans="1:2" x14ac:dyDescent="0.25">
      <c r="A41">
        <v>13940225</v>
      </c>
      <c r="B41">
        <v>6356</v>
      </c>
    </row>
    <row r="42" spans="1:2" x14ac:dyDescent="0.25">
      <c r="A42">
        <v>13940228</v>
      </c>
      <c r="B42">
        <v>6383</v>
      </c>
    </row>
    <row r="43" spans="1:2" x14ac:dyDescent="0.25">
      <c r="A43">
        <v>13940229</v>
      </c>
      <c r="B43">
        <v>6270</v>
      </c>
    </row>
    <row r="44" spans="1:2" x14ac:dyDescent="0.25">
      <c r="A44">
        <v>13940230</v>
      </c>
      <c r="B44">
        <v>6200</v>
      </c>
    </row>
    <row r="45" spans="1:2" x14ac:dyDescent="0.25">
      <c r="A45">
        <v>13940231</v>
      </c>
      <c r="B45">
        <v>6240</v>
      </c>
    </row>
    <row r="46" spans="1:2" x14ac:dyDescent="0.25">
      <c r="A46">
        <v>13940301</v>
      </c>
      <c r="B46">
        <v>6197.5</v>
      </c>
    </row>
    <row r="47" spans="1:2" x14ac:dyDescent="0.25">
      <c r="A47">
        <v>13940304</v>
      </c>
      <c r="B47">
        <v>6135</v>
      </c>
    </row>
    <row r="48" spans="1:2" x14ac:dyDescent="0.25">
      <c r="A48">
        <v>13940305</v>
      </c>
      <c r="B48">
        <v>6134.5</v>
      </c>
    </row>
    <row r="49" spans="1:2" x14ac:dyDescent="0.25">
      <c r="A49">
        <v>13940306</v>
      </c>
      <c r="B49">
        <v>6090</v>
      </c>
    </row>
    <row r="50" spans="1:2" x14ac:dyDescent="0.25">
      <c r="A50">
        <v>13940307</v>
      </c>
      <c r="B50">
        <v>6115</v>
      </c>
    </row>
    <row r="51" spans="1:2" x14ac:dyDescent="0.25">
      <c r="A51">
        <v>13940308</v>
      </c>
      <c r="B51">
        <v>6088.5</v>
      </c>
    </row>
    <row r="52" spans="1:2" x14ac:dyDescent="0.25">
      <c r="A52">
        <v>13940311</v>
      </c>
      <c r="B52">
        <v>5970</v>
      </c>
    </row>
    <row r="53" spans="1:2" x14ac:dyDescent="0.25">
      <c r="A53">
        <v>13940312</v>
      </c>
      <c r="B53">
        <v>5998</v>
      </c>
    </row>
    <row r="54" spans="1:2" x14ac:dyDescent="0.25">
      <c r="A54">
        <v>13940313</v>
      </c>
      <c r="B54">
        <v>5990</v>
      </c>
    </row>
    <row r="55" spans="1:2" x14ac:dyDescent="0.25">
      <c r="A55">
        <v>13940314</v>
      </c>
      <c r="B55">
        <v>5955</v>
      </c>
    </row>
    <row r="56" spans="1:2" x14ac:dyDescent="0.25">
      <c r="A56">
        <v>13940315</v>
      </c>
      <c r="B56">
        <v>5924.5</v>
      </c>
    </row>
    <row r="57" spans="1:2" x14ac:dyDescent="0.25">
      <c r="A57">
        <v>13940318</v>
      </c>
      <c r="B57">
        <v>5915</v>
      </c>
    </row>
    <row r="58" spans="1:2" x14ac:dyDescent="0.25">
      <c r="A58">
        <v>13940319</v>
      </c>
      <c r="B58">
        <v>5989</v>
      </c>
    </row>
    <row r="59" spans="1:2" x14ac:dyDescent="0.25">
      <c r="A59">
        <v>13940320</v>
      </c>
      <c r="B59">
        <v>6047</v>
      </c>
    </row>
    <row r="60" spans="1:2" x14ac:dyDescent="0.25">
      <c r="A60">
        <v>13940321</v>
      </c>
      <c r="B60">
        <v>5900</v>
      </c>
    </row>
    <row r="61" spans="1:2" x14ac:dyDescent="0.25">
      <c r="A61">
        <v>13940322</v>
      </c>
      <c r="B61">
        <v>5888.5</v>
      </c>
    </row>
    <row r="62" spans="1:2" x14ac:dyDescent="0.25">
      <c r="A62">
        <v>13940325</v>
      </c>
      <c r="B62">
        <v>5760</v>
      </c>
    </row>
    <row r="63" spans="1:2" x14ac:dyDescent="0.25">
      <c r="A63">
        <v>13940326</v>
      </c>
      <c r="B63">
        <v>5750</v>
      </c>
    </row>
    <row r="64" spans="1:2" x14ac:dyDescent="0.25">
      <c r="A64">
        <v>13940327</v>
      </c>
      <c r="B64">
        <v>5752</v>
      </c>
    </row>
    <row r="65" spans="1:2" x14ac:dyDescent="0.25">
      <c r="A65">
        <v>13940328</v>
      </c>
      <c r="B65">
        <v>5760</v>
      </c>
    </row>
    <row r="66" spans="1:2" x14ac:dyDescent="0.25">
      <c r="A66">
        <v>13940329</v>
      </c>
      <c r="B66">
        <v>5670</v>
      </c>
    </row>
    <row r="67" spans="1:2" x14ac:dyDescent="0.25">
      <c r="A67">
        <v>13940401</v>
      </c>
      <c r="B67">
        <v>5650</v>
      </c>
    </row>
    <row r="68" spans="1:2" x14ac:dyDescent="0.25">
      <c r="A68">
        <v>13940402</v>
      </c>
      <c r="B68">
        <v>5710</v>
      </c>
    </row>
    <row r="69" spans="1:2" x14ac:dyDescent="0.25">
      <c r="A69">
        <v>13940403</v>
      </c>
      <c r="B69">
        <v>5790</v>
      </c>
    </row>
    <row r="70" spans="1:2" x14ac:dyDescent="0.25">
      <c r="A70">
        <v>13940404</v>
      </c>
      <c r="B70">
        <v>5700</v>
      </c>
    </row>
    <row r="71" spans="1:2" x14ac:dyDescent="0.25">
      <c r="A71">
        <v>13940405</v>
      </c>
      <c r="B71">
        <v>5720</v>
      </c>
    </row>
    <row r="72" spans="1:2" x14ac:dyDescent="0.25">
      <c r="A72">
        <v>13940408</v>
      </c>
      <c r="B72">
        <v>5750</v>
      </c>
    </row>
    <row r="73" spans="1:2" x14ac:dyDescent="0.25">
      <c r="A73">
        <v>13940409</v>
      </c>
      <c r="B73">
        <v>5710</v>
      </c>
    </row>
    <row r="74" spans="1:2" x14ac:dyDescent="0.25">
      <c r="A74">
        <v>13940410</v>
      </c>
      <c r="B74">
        <v>5750</v>
      </c>
    </row>
    <row r="75" spans="1:2" x14ac:dyDescent="0.25">
      <c r="A75">
        <v>13940411</v>
      </c>
      <c r="B75">
        <v>5760</v>
      </c>
    </row>
    <row r="76" spans="1:2" x14ac:dyDescent="0.25">
      <c r="A76">
        <v>13940412</v>
      </c>
      <c r="B76">
        <v>5755</v>
      </c>
    </row>
    <row r="77" spans="1:2" x14ac:dyDescent="0.25">
      <c r="A77">
        <v>13940415</v>
      </c>
      <c r="B77">
        <v>5530</v>
      </c>
    </row>
    <row r="78" spans="1:2" x14ac:dyDescent="0.25">
      <c r="A78">
        <v>13940416</v>
      </c>
      <c r="B78">
        <v>5490</v>
      </c>
    </row>
    <row r="79" spans="1:2" x14ac:dyDescent="0.25">
      <c r="A79">
        <v>13940417</v>
      </c>
      <c r="B79">
        <v>5360</v>
      </c>
    </row>
    <row r="80" spans="1:2" x14ac:dyDescent="0.25">
      <c r="A80">
        <v>13940418</v>
      </c>
      <c r="B80">
        <v>5550</v>
      </c>
    </row>
    <row r="81" spans="1:2" x14ac:dyDescent="0.25">
      <c r="A81">
        <v>13940419</v>
      </c>
      <c r="B81">
        <v>5560</v>
      </c>
    </row>
    <row r="82" spans="1:2" x14ac:dyDescent="0.25">
      <c r="A82">
        <v>13940422</v>
      </c>
      <c r="B82">
        <v>5600</v>
      </c>
    </row>
    <row r="83" spans="1:2" x14ac:dyDescent="0.25">
      <c r="A83">
        <v>13940423</v>
      </c>
      <c r="B83">
        <v>5500</v>
      </c>
    </row>
    <row r="84" spans="1:2" x14ac:dyDescent="0.25">
      <c r="A84">
        <v>13940424</v>
      </c>
      <c r="B84">
        <v>5595</v>
      </c>
    </row>
    <row r="85" spans="1:2" x14ac:dyDescent="0.25">
      <c r="A85">
        <v>13940425</v>
      </c>
      <c r="B85">
        <v>5525</v>
      </c>
    </row>
    <row r="86" spans="1:2" x14ac:dyDescent="0.25">
      <c r="A86">
        <v>13940426</v>
      </c>
      <c r="B86">
        <v>5470</v>
      </c>
    </row>
    <row r="87" spans="1:2" x14ac:dyDescent="0.25">
      <c r="A87">
        <v>13940429</v>
      </c>
      <c r="B87">
        <v>5425</v>
      </c>
    </row>
    <row r="88" spans="1:2" x14ac:dyDescent="0.25">
      <c r="A88">
        <v>13940430</v>
      </c>
      <c r="B88">
        <v>5475</v>
      </c>
    </row>
    <row r="89" spans="1:2" x14ac:dyDescent="0.25">
      <c r="A89">
        <v>13940431</v>
      </c>
      <c r="B89">
        <v>5350</v>
      </c>
    </row>
    <row r="90" spans="1:2" x14ac:dyDescent="0.25">
      <c r="A90">
        <v>13940501</v>
      </c>
      <c r="B90">
        <v>5330</v>
      </c>
    </row>
    <row r="91" spans="1:2" x14ac:dyDescent="0.25">
      <c r="A91">
        <v>13940502</v>
      </c>
      <c r="B91">
        <v>5228</v>
      </c>
    </row>
    <row r="92" spans="1:2" x14ac:dyDescent="0.25">
      <c r="A92">
        <v>13940505</v>
      </c>
      <c r="B92">
        <v>5190</v>
      </c>
    </row>
    <row r="93" spans="1:2" x14ac:dyDescent="0.25">
      <c r="A93">
        <v>13940506</v>
      </c>
      <c r="B93">
        <v>5240</v>
      </c>
    </row>
    <row r="94" spans="1:2" x14ac:dyDescent="0.25">
      <c r="A94">
        <v>13940507</v>
      </c>
      <c r="B94">
        <v>5300</v>
      </c>
    </row>
    <row r="95" spans="1:2" x14ac:dyDescent="0.25">
      <c r="A95">
        <v>13940508</v>
      </c>
      <c r="B95">
        <v>5240</v>
      </c>
    </row>
    <row r="96" spans="1:2" x14ac:dyDescent="0.25">
      <c r="A96">
        <v>13940509</v>
      </c>
      <c r="B96">
        <v>5217</v>
      </c>
    </row>
    <row r="97" spans="1:2" x14ac:dyDescent="0.25">
      <c r="A97">
        <v>13940512</v>
      </c>
      <c r="B97">
        <v>5178</v>
      </c>
    </row>
    <row r="98" spans="1:2" x14ac:dyDescent="0.25">
      <c r="A98">
        <v>13940513</v>
      </c>
      <c r="B98">
        <v>5215.5</v>
      </c>
    </row>
    <row r="99" spans="1:2" x14ac:dyDescent="0.25">
      <c r="A99">
        <v>13940514</v>
      </c>
      <c r="B99">
        <v>5170</v>
      </c>
    </row>
    <row r="100" spans="1:2" x14ac:dyDescent="0.25">
      <c r="A100">
        <v>13940515</v>
      </c>
      <c r="B100">
        <v>5165</v>
      </c>
    </row>
    <row r="101" spans="1:2" x14ac:dyDescent="0.25">
      <c r="A101">
        <v>13940516</v>
      </c>
      <c r="B101">
        <v>5135.5</v>
      </c>
    </row>
    <row r="102" spans="1:2" x14ac:dyDescent="0.25">
      <c r="A102">
        <v>13940519</v>
      </c>
      <c r="B102">
        <v>5150</v>
      </c>
    </row>
    <row r="103" spans="1:2" x14ac:dyDescent="0.25">
      <c r="A103">
        <v>13940520</v>
      </c>
      <c r="B103">
        <v>5140</v>
      </c>
    </row>
    <row r="104" spans="1:2" x14ac:dyDescent="0.25">
      <c r="A104">
        <v>13940521</v>
      </c>
      <c r="B104">
        <v>5103</v>
      </c>
    </row>
    <row r="105" spans="1:2" x14ac:dyDescent="0.25">
      <c r="A105">
        <v>13940522</v>
      </c>
      <c r="B105">
        <v>5147</v>
      </c>
    </row>
    <row r="106" spans="1:2" x14ac:dyDescent="0.25">
      <c r="A106">
        <v>13940523</v>
      </c>
      <c r="B106">
        <v>5156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rightToLeft="1" workbookViewId="0"/>
  </sheetViews>
  <sheetFormatPr defaultRowHeight="15" x14ac:dyDescent="0.25"/>
  <cols>
    <col min="1" max="1" width="9.85546875" bestFit="1" customWidth="1"/>
  </cols>
  <sheetData>
    <row r="2" spans="1:6" x14ac:dyDescent="0.25">
      <c r="B2" t="s">
        <v>90</v>
      </c>
      <c r="E2" t="s">
        <v>89</v>
      </c>
      <c r="F2" t="s">
        <v>91</v>
      </c>
    </row>
    <row r="3" spans="1:6" x14ac:dyDescent="0.25">
      <c r="A3" s="58">
        <v>42230</v>
      </c>
      <c r="B3">
        <v>310</v>
      </c>
      <c r="E3">
        <v>322.5</v>
      </c>
      <c r="F3">
        <v>277.5</v>
      </c>
    </row>
    <row r="4" spans="1:6" x14ac:dyDescent="0.25">
      <c r="A4">
        <v>22.5</v>
      </c>
      <c r="B4">
        <v>361.5</v>
      </c>
      <c r="E4">
        <v>375</v>
      </c>
      <c r="F4">
        <v>317.5</v>
      </c>
    </row>
    <row r="5" spans="1:6" x14ac:dyDescent="0.25">
      <c r="B5">
        <v>375</v>
      </c>
      <c r="E5">
        <v>350</v>
      </c>
      <c r="F5">
        <v>340</v>
      </c>
    </row>
    <row r="6" spans="1:6" x14ac:dyDescent="0.25">
      <c r="B6">
        <v>455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rightToLeft="1" topLeftCell="A28" zoomScale="85" zoomScaleNormal="85" workbookViewId="0">
      <selection activeCell="X5" sqref="X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"/>
  <sheetViews>
    <sheetView rightToLeft="1" topLeftCell="H1" zoomScaleNormal="100" workbookViewId="0">
      <selection activeCell="O6" sqref="O6"/>
    </sheetView>
  </sheetViews>
  <sheetFormatPr defaultRowHeight="15" x14ac:dyDescent="0.25"/>
  <cols>
    <col min="1" max="1" width="36" customWidth="1"/>
    <col min="2" max="7" width="15.5703125" hidden="1" customWidth="1"/>
    <col min="8" max="10" width="15.5703125" customWidth="1"/>
    <col min="11" max="11" width="12.7109375" bestFit="1" customWidth="1"/>
    <col min="12" max="12" width="24.85546875" hidden="1" customWidth="1"/>
    <col min="13" max="13" width="11.42578125" hidden="1" customWidth="1"/>
    <col min="14" max="15" width="15.5703125" customWidth="1"/>
    <col min="16" max="16" width="12.5703125" bestFit="1" customWidth="1"/>
    <col min="22" max="22" width="25.7109375" customWidth="1"/>
    <col min="23" max="23" width="10.85546875" hidden="1" customWidth="1"/>
    <col min="24" max="24" width="11.7109375" bestFit="1" customWidth="1"/>
  </cols>
  <sheetData>
    <row r="1" spans="1:24" ht="27.75" customHeight="1" thickBot="1" x14ac:dyDescent="0.6">
      <c r="B1" s="14">
        <v>9212</v>
      </c>
      <c r="C1" s="14">
        <v>9306</v>
      </c>
      <c r="D1" s="14">
        <v>9309</v>
      </c>
      <c r="E1" s="14">
        <v>9312</v>
      </c>
      <c r="F1" s="14">
        <v>9403</v>
      </c>
      <c r="G1" s="14">
        <v>9406</v>
      </c>
      <c r="H1" s="14">
        <v>9412</v>
      </c>
      <c r="I1" s="14">
        <v>9506</v>
      </c>
      <c r="J1" s="14">
        <v>951206</v>
      </c>
      <c r="K1" s="14">
        <v>9512</v>
      </c>
      <c r="L1" s="41" t="s">
        <v>46</v>
      </c>
      <c r="M1" s="14" t="s">
        <v>92</v>
      </c>
      <c r="N1" s="14">
        <v>961200</v>
      </c>
      <c r="O1" s="14"/>
      <c r="P1" s="14" t="s">
        <v>116</v>
      </c>
      <c r="V1" s="90" t="s">
        <v>44</v>
      </c>
      <c r="W1" s="88"/>
      <c r="X1" s="89">
        <v>9612</v>
      </c>
    </row>
    <row r="2" spans="1:24" ht="17.25" x14ac:dyDescent="0.4">
      <c r="A2" s="21" t="s">
        <v>12</v>
      </c>
      <c r="B2" s="22">
        <v>97278523</v>
      </c>
      <c r="C2" s="22">
        <v>52988150</v>
      </c>
      <c r="D2" s="22">
        <v>78886050</v>
      </c>
      <c r="E2" s="22">
        <v>101999244</v>
      </c>
      <c r="F2" s="22">
        <v>21634306</v>
      </c>
      <c r="G2" s="22">
        <v>42553680</v>
      </c>
      <c r="H2" s="22">
        <v>78166967</v>
      </c>
      <c r="I2" s="22">
        <v>46853932</v>
      </c>
      <c r="J2" s="22">
        <v>94805951</v>
      </c>
      <c r="K2" s="22">
        <v>101083653</v>
      </c>
      <c r="L2" s="22">
        <v>89136285</v>
      </c>
      <c r="M2" s="22">
        <f>'تولید و فروش'!N40</f>
        <v>112087089.49839815</v>
      </c>
      <c r="N2" s="22">
        <v>119937201</v>
      </c>
      <c r="O2" s="22"/>
      <c r="P2" s="22">
        <f>'تولید و فروش'!Q40</f>
        <v>136518340.29619646</v>
      </c>
      <c r="V2" s="43" t="s">
        <v>45</v>
      </c>
      <c r="W2" s="48">
        <v>36000</v>
      </c>
      <c r="X2" s="48">
        <v>39000</v>
      </c>
    </row>
    <row r="3" spans="1:24" ht="18" thickBot="1" x14ac:dyDescent="0.45">
      <c r="A3" s="23" t="s">
        <v>13</v>
      </c>
      <c r="B3" s="1">
        <v>-56201638</v>
      </c>
      <c r="C3" s="1">
        <v>-34507632</v>
      </c>
      <c r="D3" s="1">
        <v>-52527491</v>
      </c>
      <c r="E3" s="1">
        <v>-69696950</v>
      </c>
      <c r="F3" s="1">
        <v>-14675902</v>
      </c>
      <c r="G3" s="1">
        <v>-29893290</v>
      </c>
      <c r="H3" s="1">
        <v>-56476516</v>
      </c>
      <c r="I3" s="1">
        <v>-33832812</v>
      </c>
      <c r="J3" s="1">
        <v>-68423847</v>
      </c>
      <c r="K3" s="1">
        <v>-66160253</v>
      </c>
      <c r="L3" s="1">
        <v>-66833123</v>
      </c>
      <c r="M3" s="1">
        <f>-'بهای تمام شده'!L6</f>
        <v>-72396658.061679304</v>
      </c>
      <c r="N3" s="1">
        <v>-83599831</v>
      </c>
      <c r="O3" s="1"/>
      <c r="P3" s="1">
        <f>-'بهای تمام شده'!O6</f>
        <v>-85084082.242495537</v>
      </c>
      <c r="V3" s="43" t="s">
        <v>112</v>
      </c>
      <c r="W3" s="49">
        <v>0</v>
      </c>
      <c r="X3" s="49">
        <v>0</v>
      </c>
    </row>
    <row r="4" spans="1:24" ht="18.75" thickBot="1" x14ac:dyDescent="0.5">
      <c r="A4" s="24" t="s">
        <v>0</v>
      </c>
      <c r="B4" s="25">
        <f t="shared" ref="B4" si="0">SUM(B2:B3)</f>
        <v>41076885</v>
      </c>
      <c r="C4" s="25">
        <v>18480518</v>
      </c>
      <c r="D4" s="25">
        <v>26358559</v>
      </c>
      <c r="E4" s="25">
        <v>32302294</v>
      </c>
      <c r="F4" s="25">
        <f t="shared" ref="F4:N4" si="1">SUM(F2:F3)</f>
        <v>6958404</v>
      </c>
      <c r="G4" s="25">
        <f t="shared" si="1"/>
        <v>12660390</v>
      </c>
      <c r="H4" s="25">
        <f>SUM(H2:H3)</f>
        <v>21690451</v>
      </c>
      <c r="I4" s="25">
        <f t="shared" si="1"/>
        <v>13021120</v>
      </c>
      <c r="J4" s="25">
        <f t="shared" si="1"/>
        <v>26382104</v>
      </c>
      <c r="K4" s="25">
        <f t="shared" si="1"/>
        <v>34923400</v>
      </c>
      <c r="L4" s="25">
        <f t="shared" si="1"/>
        <v>22303162</v>
      </c>
      <c r="M4" s="25">
        <f t="shared" si="1"/>
        <v>39690431.436718851</v>
      </c>
      <c r="N4" s="25">
        <f t="shared" si="1"/>
        <v>36337370</v>
      </c>
      <c r="O4" s="25"/>
      <c r="P4" s="25">
        <f t="shared" ref="P4" si="2">SUM(P2:P3)</f>
        <v>51434258.053700924</v>
      </c>
      <c r="V4" s="43" t="s">
        <v>74</v>
      </c>
      <c r="W4" s="49">
        <v>0</v>
      </c>
      <c r="X4" s="49">
        <v>0</v>
      </c>
    </row>
    <row r="5" spans="1:24" ht="17.25" x14ac:dyDescent="0.4">
      <c r="A5" s="21" t="s">
        <v>33</v>
      </c>
      <c r="B5" s="22">
        <v>-5021132</v>
      </c>
      <c r="C5" s="22">
        <v>-2929028</v>
      </c>
      <c r="D5" s="22">
        <v>-4101052</v>
      </c>
      <c r="E5" s="22">
        <v>-5849147</v>
      </c>
      <c r="F5" s="22">
        <v>-1339915</v>
      </c>
      <c r="G5" s="22">
        <v>-3231972</v>
      </c>
      <c r="H5" s="22">
        <v>-6255342</v>
      </c>
      <c r="I5" s="22">
        <v>-3271897</v>
      </c>
      <c r="J5" s="22">
        <v>-6577739</v>
      </c>
      <c r="K5" s="22">
        <v>-6693722</v>
      </c>
      <c r="L5" s="22">
        <v>-6241699</v>
      </c>
      <c r="M5" s="22">
        <f>-0.08*M2</f>
        <v>-8966967.159871852</v>
      </c>
      <c r="N5" s="22">
        <v>-6546821</v>
      </c>
      <c r="O5" s="22"/>
      <c r="P5" s="22">
        <f>N5*1.25</f>
        <v>-8183526.25</v>
      </c>
      <c r="V5" s="43" t="s">
        <v>117</v>
      </c>
      <c r="W5" s="49">
        <v>0.09</v>
      </c>
      <c r="X5" s="91">
        <v>20</v>
      </c>
    </row>
    <row r="6" spans="1:24" ht="17.25" x14ac:dyDescent="0.4">
      <c r="A6" s="26" t="s">
        <v>14</v>
      </c>
      <c r="B6" s="27"/>
      <c r="C6" s="17"/>
      <c r="D6" s="27"/>
      <c r="E6" s="27"/>
      <c r="F6" s="27"/>
      <c r="G6" s="27"/>
      <c r="H6" s="27"/>
      <c r="I6" s="27"/>
      <c r="J6" s="27"/>
      <c r="K6" s="27"/>
      <c r="L6" s="27"/>
      <c r="M6" s="42">
        <f>'هزنیه های عمومی'!H3</f>
        <v>0</v>
      </c>
      <c r="N6" s="42"/>
      <c r="O6" s="42"/>
      <c r="P6" s="42">
        <f>'هزنیه های عمومی'!I3</f>
        <v>0</v>
      </c>
      <c r="V6" s="55" t="s">
        <v>113</v>
      </c>
      <c r="W6" s="59">
        <v>0.1</v>
      </c>
      <c r="X6" s="59">
        <v>0.1</v>
      </c>
    </row>
    <row r="7" spans="1:24" ht="18" thickBot="1" x14ac:dyDescent="0.45">
      <c r="A7" s="28" t="s">
        <v>15</v>
      </c>
      <c r="B7" s="27">
        <v>3609598</v>
      </c>
      <c r="C7" s="27">
        <v>558084</v>
      </c>
      <c r="D7" s="27">
        <v>956898</v>
      </c>
      <c r="E7" s="27">
        <v>732135</v>
      </c>
      <c r="F7" s="27">
        <v>332725</v>
      </c>
      <c r="G7" s="27">
        <v>-766217</v>
      </c>
      <c r="H7" s="27">
        <v>106199</v>
      </c>
      <c r="I7" s="27">
        <v>-576987</v>
      </c>
      <c r="J7" s="27">
        <v>-1533559</v>
      </c>
      <c r="K7" s="27">
        <v>525201</v>
      </c>
      <c r="L7" s="27">
        <v>332725</v>
      </c>
      <c r="M7" s="27">
        <f>J7</f>
        <v>-1533559</v>
      </c>
      <c r="N7" s="27">
        <v>-273742</v>
      </c>
      <c r="O7" s="27"/>
      <c r="P7" s="27">
        <f>N7</f>
        <v>-273742</v>
      </c>
      <c r="V7" s="56" t="s">
        <v>75</v>
      </c>
      <c r="W7" s="48">
        <v>480</v>
      </c>
      <c r="X7" s="48">
        <v>445</v>
      </c>
    </row>
    <row r="8" spans="1:24" ht="18.75" thickBot="1" x14ac:dyDescent="0.5">
      <c r="A8" s="24" t="s">
        <v>16</v>
      </c>
      <c r="B8" s="25">
        <f>SUM(B4:B7)</f>
        <v>39665351</v>
      </c>
      <c r="C8" s="25">
        <v>16109574</v>
      </c>
      <c r="D8" s="25">
        <v>23214405</v>
      </c>
      <c r="E8" s="25">
        <v>27185282</v>
      </c>
      <c r="F8" s="25">
        <f t="shared" ref="F8:N8" si="3">SUM(F4:F7)</f>
        <v>5951214</v>
      </c>
      <c r="G8" s="25">
        <f t="shared" si="3"/>
        <v>8662201</v>
      </c>
      <c r="H8" s="25">
        <f t="shared" si="3"/>
        <v>15541308</v>
      </c>
      <c r="I8" s="25">
        <f t="shared" si="3"/>
        <v>9172236</v>
      </c>
      <c r="J8" s="25">
        <f t="shared" si="3"/>
        <v>18270806</v>
      </c>
      <c r="K8" s="25">
        <f t="shared" si="3"/>
        <v>28754879</v>
      </c>
      <c r="L8" s="25">
        <f t="shared" si="3"/>
        <v>16394188</v>
      </c>
      <c r="M8" s="25">
        <f t="shared" si="3"/>
        <v>29189905.276846997</v>
      </c>
      <c r="N8" s="25">
        <f t="shared" si="3"/>
        <v>29516807</v>
      </c>
      <c r="O8" s="25"/>
      <c r="P8" s="25">
        <f t="shared" ref="P8" si="4">SUM(P4:P7)</f>
        <v>42976989.803700924</v>
      </c>
      <c r="V8" s="55" t="s">
        <v>78</v>
      </c>
      <c r="W8" s="62">
        <f>16244944.1071593*(1+W5)</f>
        <v>17706989.07680364</v>
      </c>
      <c r="X8" s="62">
        <f>(X5+X7)*X2*(1+X6)</f>
        <v>19948500</v>
      </c>
    </row>
    <row r="9" spans="1:24" ht="17.25" x14ac:dyDescent="0.4">
      <c r="A9" s="21" t="s">
        <v>34</v>
      </c>
      <c r="B9" s="22">
        <v>-6319767</v>
      </c>
      <c r="C9" s="22">
        <v>-4239024</v>
      </c>
      <c r="D9" s="22">
        <v>-5526322</v>
      </c>
      <c r="E9" s="22">
        <v>-7910993</v>
      </c>
      <c r="F9" s="22">
        <v>-2420244</v>
      </c>
      <c r="G9" s="22">
        <v>-4454637</v>
      </c>
      <c r="H9" s="22">
        <v>-8921334</v>
      </c>
      <c r="I9" s="22">
        <v>-5060818</v>
      </c>
      <c r="J9" s="22">
        <v>-10000000</v>
      </c>
      <c r="K9" s="22">
        <v>-8923398</v>
      </c>
      <c r="L9" s="22">
        <v>-10000000</v>
      </c>
      <c r="M9" s="22">
        <f>I9*2</f>
        <v>-10121636</v>
      </c>
      <c r="N9" s="22">
        <v>-10971428</v>
      </c>
      <c r="O9" s="22"/>
      <c r="P9" s="22">
        <f>M9*P3/M3</f>
        <v>-11895440.106073696</v>
      </c>
      <c r="V9" s="55" t="s">
        <v>80</v>
      </c>
      <c r="W9" s="48">
        <f>W7*W2*(1+W4)</f>
        <v>17280000</v>
      </c>
      <c r="X9" s="48">
        <f>X8</f>
        <v>19948500</v>
      </c>
    </row>
    <row r="10" spans="1:24" ht="17.25" x14ac:dyDescent="0.4">
      <c r="A10" s="26" t="s">
        <v>35</v>
      </c>
      <c r="B10" s="27"/>
      <c r="C10" s="27">
        <v>4522586</v>
      </c>
      <c r="D10" s="27"/>
      <c r="E10" s="27"/>
      <c r="F10" s="27">
        <v>137950</v>
      </c>
      <c r="G10" s="27">
        <v>3585810</v>
      </c>
      <c r="H10" s="27"/>
      <c r="I10" s="27">
        <v>1792080</v>
      </c>
      <c r="J10" s="27">
        <v>1933970</v>
      </c>
      <c r="K10" s="27"/>
      <c r="L10" s="27">
        <v>3727127</v>
      </c>
      <c r="M10" s="27">
        <f>'سرمایه گذاریها'!F9</f>
        <v>1769744.2</v>
      </c>
      <c r="N10" s="27">
        <v>1616046</v>
      </c>
      <c r="O10" s="27"/>
      <c r="P10" s="27">
        <f>'سرمایه گذاریها'!K9</f>
        <v>1911034.85075</v>
      </c>
      <c r="S10" s="85"/>
      <c r="V10" s="56" t="s">
        <v>76</v>
      </c>
      <c r="W10" s="67">
        <v>458</v>
      </c>
      <c r="X10" s="67">
        <v>575</v>
      </c>
    </row>
    <row r="11" spans="1:24" ht="18" thickBot="1" x14ac:dyDescent="0.45">
      <c r="A11" s="28" t="s">
        <v>17</v>
      </c>
      <c r="B11" s="27">
        <v>1918659</v>
      </c>
      <c r="C11" s="27">
        <v>301597</v>
      </c>
      <c r="D11" s="27">
        <v>4849307</v>
      </c>
      <c r="E11" s="27">
        <v>7562256</v>
      </c>
      <c r="F11" s="27">
        <v>-124728</v>
      </c>
      <c r="G11" s="27">
        <v>803163</v>
      </c>
      <c r="H11" s="27">
        <v>2141446</v>
      </c>
      <c r="I11" s="27">
        <v>1222575</v>
      </c>
      <c r="J11" s="27">
        <v>1664155</v>
      </c>
      <c r="K11" s="27">
        <v>3085080</v>
      </c>
      <c r="L11" s="27">
        <v>1248171</v>
      </c>
      <c r="M11" s="27">
        <f>'سایر درآمدها (هزینه‌ها)'!F8</f>
        <v>1666067</v>
      </c>
      <c r="N11" s="27">
        <v>1507276</v>
      </c>
      <c r="O11" s="27"/>
      <c r="P11" s="27">
        <f>M11</f>
        <v>1666067</v>
      </c>
      <c r="V11" s="55" t="s">
        <v>79</v>
      </c>
      <c r="W11" s="62">
        <f>18980000*(1+W5)</f>
        <v>20688200</v>
      </c>
      <c r="X11" s="62">
        <f>(X10+X5)*X2*(1+X6)</f>
        <v>25525500.000000004</v>
      </c>
    </row>
    <row r="12" spans="1:24" ht="18.75" thickBot="1" x14ac:dyDescent="0.5">
      <c r="A12" s="24" t="s">
        <v>18</v>
      </c>
      <c r="B12" s="25">
        <f t="shared" ref="B12" si="5">SUM(B8:B11)</f>
        <v>35264243</v>
      </c>
      <c r="C12" s="25">
        <v>16694733</v>
      </c>
      <c r="D12" s="25">
        <v>22537390</v>
      </c>
      <c r="E12" s="25">
        <v>26836545</v>
      </c>
      <c r="F12" s="25">
        <f t="shared" ref="F12:M12" si="6">SUM(F8:F11)</f>
        <v>3544192</v>
      </c>
      <c r="G12" s="25">
        <f t="shared" si="6"/>
        <v>8596537</v>
      </c>
      <c r="H12" s="25">
        <f t="shared" si="6"/>
        <v>8761420</v>
      </c>
      <c r="I12" s="25">
        <f t="shared" si="6"/>
        <v>7126073</v>
      </c>
      <c r="J12" s="25">
        <f t="shared" si="6"/>
        <v>11868931</v>
      </c>
      <c r="K12" s="25">
        <f t="shared" si="6"/>
        <v>22916561</v>
      </c>
      <c r="L12" s="25">
        <f t="shared" si="6"/>
        <v>11369486</v>
      </c>
      <c r="M12" s="25">
        <f t="shared" si="6"/>
        <v>22504080.476846997</v>
      </c>
      <c r="N12" s="25">
        <f>SUM(N8:N11)</f>
        <v>21668701</v>
      </c>
      <c r="O12" s="25"/>
      <c r="P12" s="25">
        <f>SUM(P8:P11)</f>
        <v>34658651.548377231</v>
      </c>
      <c r="V12" s="55" t="s">
        <v>81</v>
      </c>
      <c r="W12" s="48">
        <f>W10*W2*(1+W4)</f>
        <v>16488000</v>
      </c>
      <c r="X12" s="48">
        <f>X11</f>
        <v>25525500.000000004</v>
      </c>
    </row>
    <row r="13" spans="1:24" ht="18" thickBot="1" x14ac:dyDescent="0.45">
      <c r="A13" s="29" t="s">
        <v>19</v>
      </c>
      <c r="B13" s="30"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V13" s="55" t="s">
        <v>77</v>
      </c>
      <c r="W13" s="48">
        <v>380</v>
      </c>
      <c r="X13" s="48">
        <v>400</v>
      </c>
    </row>
    <row r="14" spans="1:24" ht="18.75" thickBot="1" x14ac:dyDescent="0.5">
      <c r="A14" s="24" t="s">
        <v>20</v>
      </c>
      <c r="B14" s="25">
        <f t="shared" ref="B14" si="7">SUM(B12:B13)</f>
        <v>35264243</v>
      </c>
      <c r="C14" s="25">
        <v>16694733</v>
      </c>
      <c r="D14" s="25">
        <v>22537390</v>
      </c>
      <c r="E14" s="25">
        <v>26836545</v>
      </c>
      <c r="F14" s="25">
        <f t="shared" ref="F14:N14" si="8">SUM(F12:F13)</f>
        <v>3544192</v>
      </c>
      <c r="G14" s="25">
        <f t="shared" si="8"/>
        <v>8596537</v>
      </c>
      <c r="H14" s="25">
        <f t="shared" si="8"/>
        <v>8761420</v>
      </c>
      <c r="I14" s="25">
        <f t="shared" si="8"/>
        <v>7126073</v>
      </c>
      <c r="J14" s="25">
        <f t="shared" si="8"/>
        <v>11868931</v>
      </c>
      <c r="K14" s="25">
        <f t="shared" si="8"/>
        <v>22916561</v>
      </c>
      <c r="L14" s="25">
        <f t="shared" si="8"/>
        <v>11369486</v>
      </c>
      <c r="M14" s="25">
        <f t="shared" si="8"/>
        <v>22504080.476846997</v>
      </c>
      <c r="N14" s="25">
        <f t="shared" si="8"/>
        <v>21668701</v>
      </c>
      <c r="O14" s="25"/>
      <c r="P14" s="25">
        <f t="shared" ref="P14" si="9">SUM(P12:P13)</f>
        <v>34658651.548377231</v>
      </c>
      <c r="V14" s="56" t="s">
        <v>85</v>
      </c>
      <c r="W14" s="48">
        <f>W2*W13*(1+W6)</f>
        <v>15048000.000000002</v>
      </c>
      <c r="X14" s="48">
        <f>X13*X2*1.05</f>
        <v>16380000</v>
      </c>
    </row>
    <row r="15" spans="1:24" ht="18" thickBot="1" x14ac:dyDescent="0.45">
      <c r="A15" s="29" t="s">
        <v>36</v>
      </c>
      <c r="B15" s="30">
        <v>-4376767</v>
      </c>
      <c r="C15" s="30">
        <v>-1742944</v>
      </c>
      <c r="D15" s="30">
        <v>-2817174</v>
      </c>
      <c r="E15" s="30">
        <v>-3075814</v>
      </c>
      <c r="F15" s="30">
        <v>-425303</v>
      </c>
      <c r="G15" s="30">
        <v>-1031584</v>
      </c>
      <c r="H15" s="30">
        <v>-829704</v>
      </c>
      <c r="I15" s="30">
        <v>-926390</v>
      </c>
      <c r="J15" s="30">
        <v>-1450129</v>
      </c>
      <c r="K15" s="30">
        <v>-2671575</v>
      </c>
      <c r="L15" s="30">
        <v>-1142052</v>
      </c>
      <c r="M15" s="30">
        <f>I20*M14</f>
        <v>-2925532.0725659546</v>
      </c>
      <c r="N15" s="30">
        <v>-2677228</v>
      </c>
      <c r="O15" s="30"/>
      <c r="P15" s="30">
        <f>K20*P14</f>
        <v>-4040448.608774934</v>
      </c>
      <c r="V15" s="55" t="s">
        <v>86</v>
      </c>
      <c r="W15" s="49">
        <v>0.122</v>
      </c>
      <c r="X15" s="49">
        <v>0.13</v>
      </c>
    </row>
    <row r="16" spans="1:24" ht="18.75" thickBot="1" x14ac:dyDescent="0.5">
      <c r="A16" s="31" t="s">
        <v>21</v>
      </c>
      <c r="B16" s="32">
        <f t="shared" ref="B16" si="10">SUM(B14:B15)</f>
        <v>30887476</v>
      </c>
      <c r="C16" s="32">
        <v>14951789</v>
      </c>
      <c r="D16" s="32">
        <v>19720216</v>
      </c>
      <c r="E16" s="32">
        <v>23760731</v>
      </c>
      <c r="F16" s="32">
        <f t="shared" ref="F16:N16" si="11">SUM(F14:F15)</f>
        <v>3118889</v>
      </c>
      <c r="G16" s="32">
        <f t="shared" si="11"/>
        <v>7564953</v>
      </c>
      <c r="H16" s="32">
        <f t="shared" si="11"/>
        <v>7931716</v>
      </c>
      <c r="I16" s="32">
        <f t="shared" si="11"/>
        <v>6199683</v>
      </c>
      <c r="J16" s="32">
        <f t="shared" si="11"/>
        <v>10418802</v>
      </c>
      <c r="K16" s="32">
        <f t="shared" si="11"/>
        <v>20244986</v>
      </c>
      <c r="L16" s="32">
        <f t="shared" si="11"/>
        <v>10227434</v>
      </c>
      <c r="M16" s="32">
        <f t="shared" si="11"/>
        <v>19578548.404281043</v>
      </c>
      <c r="N16" s="32">
        <f t="shared" si="11"/>
        <v>18991473</v>
      </c>
      <c r="O16" s="32"/>
      <c r="P16" s="32">
        <f t="shared" ref="P16" si="12">SUM(P14:P15)</f>
        <v>30618202.939602297</v>
      </c>
      <c r="V16" s="55" t="s">
        <v>114</v>
      </c>
      <c r="W16" s="70">
        <v>640000</v>
      </c>
      <c r="X16" s="70">
        <f>640000*(1+X21)</f>
        <v>736000</v>
      </c>
    </row>
    <row r="17" spans="1:24" ht="18" thickBot="1" x14ac:dyDescent="0.45">
      <c r="A17" s="29" t="s">
        <v>48</v>
      </c>
      <c r="B17" s="27">
        <v>36000000</v>
      </c>
      <c r="C17" s="27">
        <v>36000000</v>
      </c>
      <c r="D17" s="27">
        <v>36000000</v>
      </c>
      <c r="E17" s="27">
        <v>50000000</v>
      </c>
      <c r="F17" s="27">
        <v>50000000</v>
      </c>
      <c r="G17" s="27">
        <v>50000000</v>
      </c>
      <c r="H17" s="27">
        <v>50000000</v>
      </c>
      <c r="I17" s="27">
        <v>75000000</v>
      </c>
      <c r="J17" s="27">
        <v>75000000</v>
      </c>
      <c r="K17" s="27">
        <v>75000000</v>
      </c>
      <c r="L17" s="27">
        <v>75000000</v>
      </c>
      <c r="M17" s="27">
        <v>75000000</v>
      </c>
      <c r="N17" s="27">
        <v>75000000</v>
      </c>
      <c r="O17" s="27"/>
      <c r="P17" s="27">
        <v>75000000</v>
      </c>
      <c r="V17" s="55" t="s">
        <v>115</v>
      </c>
      <c r="W17" s="70">
        <v>330000</v>
      </c>
      <c r="X17" s="70">
        <f>330000*(1+X21)</f>
        <v>379499.99999999994</v>
      </c>
    </row>
    <row r="18" spans="1:24" ht="17.25" x14ac:dyDescent="0.4">
      <c r="A18" s="50" t="s">
        <v>1</v>
      </c>
      <c r="B18" s="27">
        <f t="shared" ref="B18:I18" si="13">B16/B17*1000</f>
        <v>857.98544444444451</v>
      </c>
      <c r="C18" s="27">
        <f t="shared" si="13"/>
        <v>415.32747222222224</v>
      </c>
      <c r="D18" s="27">
        <f t="shared" si="13"/>
        <v>547.7837777777778</v>
      </c>
      <c r="E18" s="27">
        <f t="shared" si="13"/>
        <v>475.21461999999997</v>
      </c>
      <c r="F18" s="27">
        <f t="shared" si="13"/>
        <v>62.377780000000001</v>
      </c>
      <c r="G18" s="27">
        <f t="shared" si="13"/>
        <v>151.29906000000003</v>
      </c>
      <c r="H18" s="27">
        <f t="shared" si="13"/>
        <v>158.63432</v>
      </c>
      <c r="I18" s="27">
        <f t="shared" si="13"/>
        <v>82.662440000000004</v>
      </c>
      <c r="J18" s="27">
        <f>J16/J17*1000</f>
        <v>138.91736</v>
      </c>
      <c r="K18" s="27">
        <f>K16/K17*1000</f>
        <v>269.93314666666669</v>
      </c>
      <c r="L18" s="27">
        <f t="shared" ref="L18:N18" si="14">L16/L17*1000</f>
        <v>136.36578666666665</v>
      </c>
      <c r="M18" s="27">
        <f t="shared" si="14"/>
        <v>261.0473120570806</v>
      </c>
      <c r="N18" s="27">
        <f t="shared" si="14"/>
        <v>253.21964000000003</v>
      </c>
      <c r="O18" s="27"/>
      <c r="P18" s="27">
        <f>P16/P17*1000</f>
        <v>408.24270586136396</v>
      </c>
      <c r="V18" s="55" t="s">
        <v>83</v>
      </c>
      <c r="W18" s="49">
        <v>0.21</v>
      </c>
      <c r="X18" s="49">
        <v>0.23499999999999999</v>
      </c>
    </row>
    <row r="19" spans="1:24" ht="17.25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V19" s="55" t="s">
        <v>84</v>
      </c>
      <c r="W19" s="48">
        <f>W18*W14</f>
        <v>3160080.0000000005</v>
      </c>
      <c r="X19" s="48">
        <f>X18*X14</f>
        <v>3849300</v>
      </c>
    </row>
    <row r="20" spans="1:24" ht="17.25" x14ac:dyDescent="0.4">
      <c r="A20" s="93"/>
      <c r="B20" s="93">
        <f t="shared" ref="B20:I20" si="15">B15/B14</f>
        <v>-0.12411345395958166</v>
      </c>
      <c r="C20" s="93">
        <f t="shared" si="15"/>
        <v>-0.10440083108846365</v>
      </c>
      <c r="D20" s="93">
        <f t="shared" si="15"/>
        <v>-0.12500001109267755</v>
      </c>
      <c r="E20" s="93">
        <f t="shared" si="15"/>
        <v>-0.11461289074282849</v>
      </c>
      <c r="F20" s="93">
        <f t="shared" si="15"/>
        <v>-0.11999998871392972</v>
      </c>
      <c r="G20" s="93">
        <f t="shared" si="15"/>
        <v>-0.11999994881659906</v>
      </c>
      <c r="H20" s="93">
        <f t="shared" si="15"/>
        <v>-9.4699717625681676E-2</v>
      </c>
      <c r="I20" s="93">
        <f t="shared" si="15"/>
        <v>-0.13000007156816945</v>
      </c>
      <c r="J20" s="93">
        <f>J15/J14</f>
        <v>-0.12217856856695855</v>
      </c>
      <c r="K20" s="93">
        <f>K15/K14</f>
        <v>-0.11657835571401835</v>
      </c>
      <c r="L20" s="93">
        <f t="shared" ref="L20" si="16">L15/L14</f>
        <v>-0.10044886813704683</v>
      </c>
      <c r="M20" s="93"/>
      <c r="N20" s="93"/>
      <c r="O20" s="93"/>
      <c r="V20" s="57" t="s">
        <v>87</v>
      </c>
      <c r="W20" s="68">
        <f>W14*W15</f>
        <v>1835856.0000000002</v>
      </c>
      <c r="X20" s="68">
        <f>X14*X15</f>
        <v>2129400</v>
      </c>
    </row>
    <row r="21" spans="1:24" ht="17.25" x14ac:dyDescent="0.4">
      <c r="V21" s="43" t="s">
        <v>82</v>
      </c>
      <c r="W21" s="49">
        <v>0.15</v>
      </c>
      <c r="X21" s="49">
        <v>0.15</v>
      </c>
    </row>
    <row r="22" spans="1:24" ht="17.25" x14ac:dyDescent="0.4">
      <c r="V22" s="44" t="s">
        <v>88</v>
      </c>
      <c r="W22" s="49">
        <v>0</v>
      </c>
      <c r="X22" s="49">
        <v>0</v>
      </c>
    </row>
    <row r="24" spans="1:24" ht="17.25" x14ac:dyDescent="0.4">
      <c r="V24" s="82"/>
    </row>
    <row r="25" spans="1:24" ht="17.25" x14ac:dyDescent="0.4">
      <c r="V25" s="82"/>
      <c r="W25" s="83"/>
    </row>
    <row r="26" spans="1:24" ht="17.25" x14ac:dyDescent="0.4">
      <c r="V26" s="82"/>
      <c r="W26" s="83"/>
    </row>
    <row r="27" spans="1:24" ht="17.25" x14ac:dyDescent="0.4">
      <c r="V27" s="82"/>
      <c r="W27" s="83"/>
    </row>
    <row r="28" spans="1:24" ht="17.25" x14ac:dyDescent="0.4">
      <c r="V28" s="82"/>
      <c r="W28" s="84"/>
    </row>
    <row r="29" spans="1:24" ht="17.25" x14ac:dyDescent="0.4">
      <c r="V29" s="82"/>
      <c r="W29" s="83"/>
    </row>
    <row r="30" spans="1:24" ht="17.25" x14ac:dyDescent="0.4">
      <c r="V30" s="82"/>
      <c r="W30" s="83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rightToLeft="1" tabSelected="1" workbookViewId="0">
      <pane xSplit="1" ySplit="1" topLeftCell="J17" activePane="bottomRight" state="frozen"/>
      <selection pane="topRight" activeCell="B1" sqref="B1"/>
      <selection pane="bottomLeft" activeCell="A2" sqref="A2"/>
      <selection pane="bottomRight" activeCell="R25" sqref="R25"/>
    </sheetView>
  </sheetViews>
  <sheetFormatPr defaultRowHeight="15" x14ac:dyDescent="0.25"/>
  <cols>
    <col min="1" max="1" width="26.140625" customWidth="1"/>
    <col min="2" max="13" width="16.5703125" customWidth="1"/>
    <col min="14" max="15" width="16.5703125" hidden="1" customWidth="1"/>
    <col min="16" max="17" width="16.5703125" customWidth="1"/>
    <col min="18" max="18" width="9.140625" customWidth="1"/>
    <col min="19" max="19" width="12.7109375" customWidth="1"/>
    <col min="20" max="20" width="11.42578125" bestFit="1" customWidth="1"/>
  </cols>
  <sheetData>
    <row r="1" spans="1:22" ht="27.75" customHeight="1" thickBot="1" x14ac:dyDescent="0.3">
      <c r="B1" s="14">
        <v>9212</v>
      </c>
      <c r="C1" s="14">
        <v>9306</v>
      </c>
      <c r="D1" s="14">
        <v>9309</v>
      </c>
      <c r="E1" s="14">
        <v>9312</v>
      </c>
      <c r="F1" s="14">
        <v>9403</v>
      </c>
      <c r="G1" s="14">
        <v>9406</v>
      </c>
      <c r="H1" s="14">
        <v>9412</v>
      </c>
      <c r="I1" s="14">
        <v>9503</v>
      </c>
      <c r="J1" s="14">
        <v>9506</v>
      </c>
      <c r="K1" s="14">
        <v>951206</v>
      </c>
      <c r="L1" s="41" t="s">
        <v>46</v>
      </c>
      <c r="M1" s="41">
        <v>9512</v>
      </c>
      <c r="N1" s="14" t="s">
        <v>92</v>
      </c>
      <c r="O1" s="14">
        <v>9603</v>
      </c>
      <c r="P1" s="14">
        <v>961200</v>
      </c>
      <c r="Q1" s="14" t="s">
        <v>116</v>
      </c>
    </row>
    <row r="2" spans="1:22" ht="18.75" x14ac:dyDescent="0.5">
      <c r="A2" s="7" t="s">
        <v>6</v>
      </c>
    </row>
    <row r="3" spans="1:22" ht="17.25" x14ac:dyDescent="0.4">
      <c r="A3" s="11" t="s">
        <v>49</v>
      </c>
      <c r="B3" s="5">
        <v>4170000</v>
      </c>
      <c r="C3" s="5">
        <v>2214000</v>
      </c>
      <c r="D3" s="5">
        <v>3238000</v>
      </c>
      <c r="E3" s="5">
        <v>4038000</v>
      </c>
      <c r="F3" s="5">
        <v>1038000</v>
      </c>
      <c r="G3" s="5">
        <v>2109000</v>
      </c>
      <c r="H3" s="5">
        <v>3961000</v>
      </c>
      <c r="I3" s="5">
        <v>1008000</v>
      </c>
      <c r="J3" s="5">
        <v>2004000</v>
      </c>
      <c r="K3" s="5">
        <v>3637000</v>
      </c>
      <c r="L3" s="5">
        <v>4056000</v>
      </c>
      <c r="M3" s="5">
        <v>4492000</v>
      </c>
      <c r="N3" s="5">
        <f>N10+N16</f>
        <v>4426794.8273776798</v>
      </c>
      <c r="O3" s="5"/>
      <c r="P3" s="5">
        <v>5900000</v>
      </c>
      <c r="Q3" s="5">
        <f>Q10+Q16</f>
        <v>4030000</v>
      </c>
    </row>
    <row r="4" spans="1:22" ht="17.25" x14ac:dyDescent="0.4">
      <c r="A4" s="10" t="s">
        <v>50</v>
      </c>
      <c r="B4" s="2">
        <v>1325000</v>
      </c>
      <c r="C4" s="2">
        <v>707000</v>
      </c>
      <c r="D4" s="2">
        <v>1071000</v>
      </c>
      <c r="E4" s="2">
        <v>1467000</v>
      </c>
      <c r="F4" s="2">
        <v>358000</v>
      </c>
      <c r="G4" s="2">
        <v>664000</v>
      </c>
      <c r="H4" s="2">
        <v>1167000</v>
      </c>
      <c r="I4" s="2">
        <v>272000</v>
      </c>
      <c r="J4" s="2">
        <v>599000</v>
      </c>
      <c r="K4" s="2">
        <v>1334000</v>
      </c>
      <c r="L4" s="2">
        <v>1426000</v>
      </c>
      <c r="M4" s="2">
        <v>1295000</v>
      </c>
      <c r="N4" s="2">
        <f>N11+N17</f>
        <v>1113887.8895705522</v>
      </c>
      <c r="O4" s="2"/>
      <c r="P4" s="2">
        <v>1455000</v>
      </c>
      <c r="Q4" s="2">
        <f>Q11+Q17</f>
        <v>1860000</v>
      </c>
    </row>
    <row r="5" spans="1:22" ht="17.25" x14ac:dyDescent="0.4">
      <c r="A5" s="10" t="s">
        <v>51</v>
      </c>
      <c r="B5" s="2">
        <v>299000</v>
      </c>
      <c r="C5" s="2">
        <v>156000</v>
      </c>
      <c r="D5" s="2">
        <v>216000</v>
      </c>
      <c r="E5" s="2">
        <v>285000</v>
      </c>
      <c r="F5" s="2">
        <v>64000</v>
      </c>
      <c r="G5" s="2">
        <v>124000</v>
      </c>
      <c r="H5" s="2">
        <v>267000</v>
      </c>
      <c r="I5" s="2">
        <v>72000</v>
      </c>
      <c r="J5" s="2">
        <v>144000</v>
      </c>
      <c r="K5" s="2">
        <v>285000</v>
      </c>
      <c r="L5" s="2">
        <v>260000</v>
      </c>
      <c r="M5" s="2">
        <v>284000</v>
      </c>
      <c r="N5" s="2">
        <f>N12+N18</f>
        <v>289840.69767441857</v>
      </c>
      <c r="O5" s="2"/>
      <c r="P5" s="2">
        <v>401000</v>
      </c>
      <c r="Q5" s="2">
        <f>Q12+Q18</f>
        <v>288281.84320654819</v>
      </c>
    </row>
    <row r="6" spans="1:22" ht="18" thickBot="1" x14ac:dyDescent="0.45">
      <c r="A6" s="10" t="s">
        <v>52</v>
      </c>
      <c r="B6" s="2">
        <v>168000</v>
      </c>
      <c r="C6" s="2">
        <v>31000</v>
      </c>
      <c r="D6" s="2">
        <v>47000</v>
      </c>
      <c r="E6" s="2">
        <v>55000</v>
      </c>
      <c r="F6" s="2">
        <v>20000</v>
      </c>
      <c r="G6" s="2">
        <v>4000</v>
      </c>
      <c r="H6" s="2">
        <v>193000</v>
      </c>
      <c r="I6" s="2">
        <v>162000</v>
      </c>
      <c r="J6" s="2">
        <v>223000</v>
      </c>
      <c r="K6" s="2">
        <v>785000</v>
      </c>
      <c r="L6" s="2">
        <v>238000</v>
      </c>
      <c r="M6" s="2">
        <v>0</v>
      </c>
      <c r="N6" s="2">
        <f>N13+N19</f>
        <v>360000</v>
      </c>
      <c r="O6" s="2"/>
      <c r="P6" s="2"/>
      <c r="Q6" s="2">
        <f>Q13+Q19</f>
        <v>0</v>
      </c>
    </row>
    <row r="7" spans="1:22" ht="18" thickBot="1" x14ac:dyDescent="0.3">
      <c r="A7" s="9" t="s">
        <v>5</v>
      </c>
      <c r="B7" s="8">
        <f t="shared" ref="B7:N7" si="0">SUM(B3:B6)</f>
        <v>5962000</v>
      </c>
      <c r="C7" s="8">
        <f t="shared" si="0"/>
        <v>3108000</v>
      </c>
      <c r="D7" s="8">
        <f t="shared" si="0"/>
        <v>4572000</v>
      </c>
      <c r="E7" s="8">
        <f t="shared" si="0"/>
        <v>5845000</v>
      </c>
      <c r="F7" s="8">
        <f t="shared" si="0"/>
        <v>1480000</v>
      </c>
      <c r="G7" s="8">
        <f t="shared" si="0"/>
        <v>2901000</v>
      </c>
      <c r="H7" s="8">
        <f t="shared" si="0"/>
        <v>5588000</v>
      </c>
      <c r="I7" s="8">
        <f t="shared" si="0"/>
        <v>1514000</v>
      </c>
      <c r="J7" s="8">
        <f t="shared" si="0"/>
        <v>2970000</v>
      </c>
      <c r="K7" s="8">
        <f t="shared" si="0"/>
        <v>6041000</v>
      </c>
      <c r="L7" s="8">
        <f t="shared" si="0"/>
        <v>5980000</v>
      </c>
      <c r="M7" s="8">
        <f t="shared" si="0"/>
        <v>6071000</v>
      </c>
      <c r="N7" s="8">
        <f t="shared" si="0"/>
        <v>6190523.4146226505</v>
      </c>
      <c r="O7" s="8"/>
      <c r="P7" s="8">
        <f>SUM(P3:P6)</f>
        <v>7756000</v>
      </c>
      <c r="Q7" s="8">
        <f>SUM(Q3:Q6)</f>
        <v>6178281.8432065481</v>
      </c>
    </row>
    <row r="9" spans="1:22" ht="18.75" x14ac:dyDescent="0.5">
      <c r="A9" s="7" t="s">
        <v>39</v>
      </c>
    </row>
    <row r="10" spans="1:22" ht="17.25" x14ac:dyDescent="0.4">
      <c r="A10" s="10" t="s">
        <v>49</v>
      </c>
      <c r="B10" s="5">
        <v>3224181</v>
      </c>
      <c r="C10" s="5">
        <v>1524000</v>
      </c>
      <c r="D10" s="5">
        <v>3166000</v>
      </c>
      <c r="E10" s="5">
        <v>2764177</v>
      </c>
      <c r="F10" s="5">
        <v>851000</v>
      </c>
      <c r="G10" s="5">
        <v>1819000</v>
      </c>
      <c r="H10" s="5">
        <v>2094293</v>
      </c>
      <c r="I10" s="5">
        <v>983000</v>
      </c>
      <c r="J10" s="5">
        <v>2179000</v>
      </c>
      <c r="K10" s="5">
        <v>3837000</v>
      </c>
      <c r="L10" s="5">
        <v>3916000</v>
      </c>
      <c r="M10" s="5">
        <v>3206459</v>
      </c>
      <c r="N10" s="5">
        <f>H10/H22*N22</f>
        <v>2508776.4964266079</v>
      </c>
      <c r="O10" s="5">
        <v>994000</v>
      </c>
      <c r="P10" s="5">
        <v>3041000</v>
      </c>
      <c r="Q10" s="5">
        <f>M10/M22*Q22</f>
        <v>2851300.827431384</v>
      </c>
      <c r="S10" s="12"/>
      <c r="T10" s="4"/>
      <c r="U10" s="13"/>
      <c r="V10" s="4"/>
    </row>
    <row r="11" spans="1:22" ht="17.25" x14ac:dyDescent="0.4">
      <c r="A11" s="10" t="s">
        <v>50</v>
      </c>
      <c r="B11" s="2">
        <v>1167273</v>
      </c>
      <c r="C11" s="2">
        <v>628000</v>
      </c>
      <c r="D11" s="2">
        <v>1093000</v>
      </c>
      <c r="E11" s="2">
        <v>1340440</v>
      </c>
      <c r="F11" s="2">
        <v>332000</v>
      </c>
      <c r="G11" s="2">
        <v>652000</v>
      </c>
      <c r="H11" s="2">
        <v>978005</v>
      </c>
      <c r="I11" s="2">
        <v>286000</v>
      </c>
      <c r="J11" s="2">
        <v>659000</v>
      </c>
      <c r="K11" s="2">
        <v>1415000</v>
      </c>
      <c r="L11" s="2">
        <v>1412000</v>
      </c>
      <c r="M11" s="2">
        <v>1187872</v>
      </c>
      <c r="N11" s="5">
        <f>H11/H23*N23</f>
        <v>988505.05368098163</v>
      </c>
      <c r="O11" s="5">
        <v>380000</v>
      </c>
      <c r="P11" s="5">
        <v>1344000</v>
      </c>
      <c r="Q11" s="5">
        <f>M11/M23*Q23</f>
        <v>1600889.42088232</v>
      </c>
      <c r="S11" s="12"/>
      <c r="T11" s="4"/>
      <c r="U11" s="13"/>
      <c r="V11" s="4"/>
    </row>
    <row r="12" spans="1:22" ht="17.25" x14ac:dyDescent="0.4">
      <c r="A12" s="10" t="s">
        <v>51</v>
      </c>
      <c r="B12" s="2">
        <v>283510</v>
      </c>
      <c r="C12" s="2">
        <v>143000</v>
      </c>
      <c r="D12" s="2">
        <v>213000</v>
      </c>
      <c r="E12" s="2">
        <v>265768</v>
      </c>
      <c r="F12" s="2">
        <v>64000</v>
      </c>
      <c r="G12" s="2">
        <v>129000</v>
      </c>
      <c r="H12" s="2">
        <v>235536</v>
      </c>
      <c r="I12" s="2">
        <v>72000</v>
      </c>
      <c r="J12" s="2">
        <v>147000</v>
      </c>
      <c r="K12" s="2">
        <v>298000</v>
      </c>
      <c r="L12" s="2">
        <v>265000</v>
      </c>
      <c r="M12" s="2">
        <v>265735</v>
      </c>
      <c r="N12" s="5">
        <f>H12/H24*N24</f>
        <v>268401.48837209301</v>
      </c>
      <c r="O12" s="5">
        <v>72000</v>
      </c>
      <c r="P12" s="5">
        <v>234000</v>
      </c>
      <c r="Q12" s="5">
        <f>M12/M24*Q24</f>
        <v>265717.34265400429</v>
      </c>
      <c r="S12" s="12"/>
      <c r="T12" s="4"/>
      <c r="U12" s="13"/>
      <c r="V12" s="4"/>
    </row>
    <row r="13" spans="1:22" ht="18" thickBot="1" x14ac:dyDescent="0.45">
      <c r="A13" s="10" t="s">
        <v>3</v>
      </c>
      <c r="B13" s="2">
        <v>55711</v>
      </c>
      <c r="C13" s="2">
        <v>35000</v>
      </c>
      <c r="D13" s="2">
        <v>40000</v>
      </c>
      <c r="E13" s="2">
        <v>41528</v>
      </c>
      <c r="F13" s="2">
        <v>3000</v>
      </c>
      <c r="G13" s="2"/>
      <c r="H13" s="2">
        <v>143199</v>
      </c>
      <c r="I13" s="2">
        <v>69000</v>
      </c>
      <c r="J13" s="2">
        <v>180000</v>
      </c>
      <c r="K13" s="2">
        <v>732000</v>
      </c>
      <c r="L13" s="2">
        <v>243000</v>
      </c>
      <c r="M13" s="2"/>
      <c r="N13" s="5">
        <f t="shared" ref="N13" si="1">H13/H25*N25</f>
        <v>267490.85475008172</v>
      </c>
      <c r="O13" s="5">
        <v>240000</v>
      </c>
      <c r="P13" s="5">
        <v>660000</v>
      </c>
      <c r="Q13" s="5">
        <v>0</v>
      </c>
      <c r="S13" s="12"/>
      <c r="T13" s="4"/>
      <c r="U13" s="13"/>
      <c r="V13" s="4"/>
    </row>
    <row r="14" spans="1:22" ht="18" thickBot="1" x14ac:dyDescent="0.3">
      <c r="A14" s="9" t="s">
        <v>22</v>
      </c>
      <c r="B14" s="8">
        <f t="shared" ref="B14:M14" si="2">SUM(B10:B13)</f>
        <v>4730675</v>
      </c>
      <c r="C14" s="8">
        <f t="shared" si="2"/>
        <v>2330000</v>
      </c>
      <c r="D14" s="8">
        <f t="shared" si="2"/>
        <v>4512000</v>
      </c>
      <c r="E14" s="8">
        <f t="shared" si="2"/>
        <v>4411913</v>
      </c>
      <c r="F14" s="8">
        <f t="shared" si="2"/>
        <v>1250000</v>
      </c>
      <c r="G14" s="8">
        <f t="shared" si="2"/>
        <v>2600000</v>
      </c>
      <c r="H14" s="8">
        <f t="shared" si="2"/>
        <v>3451033</v>
      </c>
      <c r="I14" s="8">
        <f t="shared" si="2"/>
        <v>1410000</v>
      </c>
      <c r="J14" s="8">
        <f t="shared" si="2"/>
        <v>3165000</v>
      </c>
      <c r="K14" s="8">
        <f t="shared" si="2"/>
        <v>6282000</v>
      </c>
      <c r="L14" s="8">
        <f t="shared" si="2"/>
        <v>5836000</v>
      </c>
      <c r="M14" s="8">
        <f t="shared" si="2"/>
        <v>4660066</v>
      </c>
      <c r="N14" s="8">
        <f>SUM(N10:N13)</f>
        <v>4033173.8932297644</v>
      </c>
      <c r="O14" s="8"/>
      <c r="P14" s="8">
        <f>SUM(P10:P13)</f>
        <v>5279000</v>
      </c>
      <c r="Q14" s="8">
        <f>SUM(Q10:Q13)</f>
        <v>4717907.5909677092</v>
      </c>
    </row>
    <row r="15" spans="1:22" ht="18.75" x14ac:dyDescent="0.5">
      <c r="A15" s="7" t="s">
        <v>40</v>
      </c>
    </row>
    <row r="16" spans="1:22" ht="17.25" x14ac:dyDescent="0.4">
      <c r="A16" s="11" t="s">
        <v>49</v>
      </c>
      <c r="B16" s="5">
        <v>859737</v>
      </c>
      <c r="C16" s="5">
        <v>619000</v>
      </c>
      <c r="D16" s="5"/>
      <c r="E16" s="5">
        <v>1332778</v>
      </c>
      <c r="F16" s="5"/>
      <c r="G16" s="5"/>
      <c r="H16" s="5">
        <v>1601136</v>
      </c>
      <c r="I16" s="5"/>
      <c r="J16" s="5"/>
      <c r="K16" s="5"/>
      <c r="L16" s="5"/>
      <c r="M16" s="5">
        <v>1325518</v>
      </c>
      <c r="N16" s="5">
        <f>H16/H22*N22</f>
        <v>1918018.3309510718</v>
      </c>
      <c r="O16" s="5"/>
      <c r="P16" s="5">
        <v>1074000</v>
      </c>
      <c r="Q16" s="5">
        <f>M16/M22*Q22</f>
        <v>1178699.1725686162</v>
      </c>
    </row>
    <row r="17" spans="1:20" ht="17.25" x14ac:dyDescent="0.4">
      <c r="A17" s="10" t="s">
        <v>50</v>
      </c>
      <c r="B17" s="2">
        <v>101029</v>
      </c>
      <c r="C17" s="2">
        <v>91000</v>
      </c>
      <c r="D17" s="2"/>
      <c r="E17" s="2">
        <v>119522</v>
      </c>
      <c r="F17" s="2"/>
      <c r="G17" s="2"/>
      <c r="H17" s="2">
        <v>124051</v>
      </c>
      <c r="I17" s="2"/>
      <c r="J17" s="2"/>
      <c r="K17" s="2"/>
      <c r="L17" s="2"/>
      <c r="M17" s="2">
        <v>192262</v>
      </c>
      <c r="N17" s="5">
        <f t="shared" ref="N17:N18" si="3">H17/H23*N23</f>
        <v>125382.83588957056</v>
      </c>
      <c r="O17" s="5"/>
      <c r="P17" s="5">
        <v>84000</v>
      </c>
      <c r="Q17" s="5">
        <f t="shared" ref="Q17:Q18" si="4">M17/M23*Q23</f>
        <v>259110.57911767985</v>
      </c>
      <c r="S17" s="13"/>
    </row>
    <row r="18" spans="1:20" ht="17.25" x14ac:dyDescent="0.4">
      <c r="A18" s="10" t="s">
        <v>51</v>
      </c>
      <c r="B18" s="2">
        <v>48618</v>
      </c>
      <c r="C18" s="2">
        <v>7000</v>
      </c>
      <c r="D18" s="2"/>
      <c r="E18" s="2">
        <v>23007</v>
      </c>
      <c r="F18" s="2"/>
      <c r="G18" s="2"/>
      <c r="H18" s="2">
        <v>18814</v>
      </c>
      <c r="I18" s="2"/>
      <c r="J18" s="2"/>
      <c r="K18" s="2"/>
      <c r="L18" s="2"/>
      <c r="M18" s="2">
        <v>22566</v>
      </c>
      <c r="N18" s="5">
        <f t="shared" si="3"/>
        <v>21439.209302325584</v>
      </c>
      <c r="O18" s="5"/>
      <c r="P18" s="5">
        <v>52000</v>
      </c>
      <c r="Q18" s="5">
        <f t="shared" si="4"/>
        <v>22564.50055254393</v>
      </c>
      <c r="S18" s="4"/>
      <c r="T18" s="45"/>
    </row>
    <row r="19" spans="1:20" ht="18" thickBot="1" x14ac:dyDescent="0.45">
      <c r="A19" s="10" t="s">
        <v>3</v>
      </c>
      <c r="B19" s="2"/>
      <c r="C19" s="2">
        <v>0</v>
      </c>
      <c r="D19" s="2"/>
      <c r="E19" s="2"/>
      <c r="F19" s="2"/>
      <c r="G19" s="2"/>
      <c r="H19" s="2">
        <v>49524</v>
      </c>
      <c r="I19" s="2"/>
      <c r="J19" s="2"/>
      <c r="K19" s="2"/>
      <c r="L19" s="2"/>
      <c r="M19" s="2"/>
      <c r="N19" s="5">
        <f>H19/H25*N25</f>
        <v>92509.145249918278</v>
      </c>
      <c r="O19" s="5"/>
      <c r="P19" s="5">
        <v>490000</v>
      </c>
      <c r="Q19" s="5">
        <f>N19/N25*Q25</f>
        <v>0</v>
      </c>
      <c r="S19" s="4"/>
      <c r="T19" s="4"/>
    </row>
    <row r="20" spans="1:20" ht="18" thickBot="1" x14ac:dyDescent="0.3">
      <c r="A20" s="9" t="s">
        <v>23</v>
      </c>
      <c r="B20" s="8">
        <f t="shared" ref="B20:N20" si="5">SUM(B16:B19)</f>
        <v>1009384</v>
      </c>
      <c r="C20" s="8">
        <f t="shared" si="5"/>
        <v>717000</v>
      </c>
      <c r="D20" s="8">
        <f t="shared" si="5"/>
        <v>0</v>
      </c>
      <c r="E20" s="8">
        <f t="shared" si="5"/>
        <v>1475307</v>
      </c>
      <c r="F20" s="8">
        <f t="shared" si="5"/>
        <v>0</v>
      </c>
      <c r="G20" s="8"/>
      <c r="H20" s="8">
        <f t="shared" ref="H20:K20" si="6">SUM(H16:H19)</f>
        <v>1793525</v>
      </c>
      <c r="I20" s="8"/>
      <c r="J20" s="8">
        <f t="shared" si="6"/>
        <v>0</v>
      </c>
      <c r="K20" s="8">
        <f t="shared" si="6"/>
        <v>0</v>
      </c>
      <c r="L20" s="8">
        <f t="shared" si="5"/>
        <v>0</v>
      </c>
      <c r="M20" s="8">
        <f t="shared" si="5"/>
        <v>1540346</v>
      </c>
      <c r="N20" s="8">
        <f t="shared" si="5"/>
        <v>2157349.5213928861</v>
      </c>
      <c r="O20" s="8"/>
      <c r="P20" s="8">
        <f t="shared" ref="P20:Q20" si="7">SUM(P16:P19)</f>
        <v>1700000</v>
      </c>
      <c r="Q20" s="8">
        <f t="shared" si="7"/>
        <v>1460374.2522388399</v>
      </c>
      <c r="T20" s="12"/>
    </row>
    <row r="21" spans="1:20" ht="18.75" x14ac:dyDescent="0.5">
      <c r="A21" s="7" t="s">
        <v>93</v>
      </c>
    </row>
    <row r="22" spans="1:20" ht="17.25" x14ac:dyDescent="0.4">
      <c r="A22" s="11" t="s">
        <v>49</v>
      </c>
      <c r="B22" s="5">
        <v>859737</v>
      </c>
      <c r="C22" s="5">
        <v>619000</v>
      </c>
      <c r="D22" s="5"/>
      <c r="E22" s="5">
        <f t="shared" ref="E22:L24" si="8">E16+E10</f>
        <v>4096955</v>
      </c>
      <c r="F22" s="5">
        <f t="shared" si="8"/>
        <v>851000</v>
      </c>
      <c r="G22" s="5">
        <f t="shared" si="8"/>
        <v>1819000</v>
      </c>
      <c r="H22" s="5">
        <f t="shared" si="8"/>
        <v>3695429</v>
      </c>
      <c r="I22" s="5">
        <f t="shared" si="8"/>
        <v>983000</v>
      </c>
      <c r="J22" s="5">
        <f t="shared" si="8"/>
        <v>2179000</v>
      </c>
      <c r="K22" s="5">
        <f t="shared" si="8"/>
        <v>3837000</v>
      </c>
      <c r="L22" s="5">
        <f t="shared" si="8"/>
        <v>3916000</v>
      </c>
      <c r="M22" s="5">
        <f>M16+M10</f>
        <v>4531977</v>
      </c>
      <c r="N22" s="5">
        <f>H22/G22*J22</f>
        <v>4426794.8273776798</v>
      </c>
      <c r="O22" s="5">
        <v>994000</v>
      </c>
      <c r="P22" s="5">
        <f>P16+P10</f>
        <v>4115000</v>
      </c>
      <c r="Q22" s="5">
        <f>0.65*Q26</f>
        <v>4030000</v>
      </c>
    </row>
    <row r="23" spans="1:20" ht="17.25" x14ac:dyDescent="0.4">
      <c r="A23" s="10" t="s">
        <v>50</v>
      </c>
      <c r="B23" s="2">
        <v>101029</v>
      </c>
      <c r="C23" s="2">
        <v>91000</v>
      </c>
      <c r="D23" s="2"/>
      <c r="E23" s="5">
        <f t="shared" si="8"/>
        <v>1459962</v>
      </c>
      <c r="F23" s="2">
        <f t="shared" si="8"/>
        <v>332000</v>
      </c>
      <c r="G23" s="2">
        <f t="shared" si="8"/>
        <v>652000</v>
      </c>
      <c r="H23" s="2">
        <f t="shared" si="8"/>
        <v>1102056</v>
      </c>
      <c r="I23" s="2">
        <f t="shared" si="8"/>
        <v>286000</v>
      </c>
      <c r="J23" s="2">
        <f t="shared" si="8"/>
        <v>659000</v>
      </c>
      <c r="K23" s="2">
        <f t="shared" si="8"/>
        <v>1415000</v>
      </c>
      <c r="L23" s="2">
        <f t="shared" si="8"/>
        <v>1412000</v>
      </c>
      <c r="M23" s="2">
        <f t="shared" ref="M23" si="9">M17+M11</f>
        <v>1380134</v>
      </c>
      <c r="N23" s="5">
        <f>H23/G23*J23</f>
        <v>1113887.8895705522</v>
      </c>
      <c r="O23" s="5">
        <v>380000</v>
      </c>
      <c r="P23" s="2">
        <f t="shared" ref="P23:P25" si="10">P17+P11</f>
        <v>1428000</v>
      </c>
      <c r="Q23" s="5">
        <f>0.3*Q26</f>
        <v>1860000</v>
      </c>
      <c r="S23" s="13"/>
    </row>
    <row r="24" spans="1:20" ht="17.25" x14ac:dyDescent="0.4">
      <c r="A24" s="10" t="s">
        <v>51</v>
      </c>
      <c r="B24" s="2">
        <v>48618</v>
      </c>
      <c r="C24" s="2">
        <v>7000</v>
      </c>
      <c r="D24" s="2"/>
      <c r="E24" s="5">
        <f t="shared" si="8"/>
        <v>288775</v>
      </c>
      <c r="F24" s="2">
        <f t="shared" si="8"/>
        <v>64000</v>
      </c>
      <c r="G24" s="2">
        <f t="shared" si="8"/>
        <v>129000</v>
      </c>
      <c r="H24" s="2">
        <f t="shared" si="8"/>
        <v>254350</v>
      </c>
      <c r="I24" s="2">
        <f t="shared" si="8"/>
        <v>72000</v>
      </c>
      <c r="J24" s="2">
        <f t="shared" si="8"/>
        <v>147000</v>
      </c>
      <c r="K24" s="2">
        <f t="shared" si="8"/>
        <v>298000</v>
      </c>
      <c r="L24" s="2">
        <f t="shared" si="8"/>
        <v>265000</v>
      </c>
      <c r="M24" s="2">
        <f t="shared" ref="M24" si="11">M18+M12</f>
        <v>288301</v>
      </c>
      <c r="N24" s="5">
        <f>H24/G24*J24</f>
        <v>289840.69767441862</v>
      </c>
      <c r="O24" s="5">
        <v>72000</v>
      </c>
      <c r="P24" s="2">
        <f t="shared" si="10"/>
        <v>286000</v>
      </c>
      <c r="Q24" s="5">
        <f>M24/$M$26*$Q$26</f>
        <v>288281.84320654825</v>
      </c>
      <c r="S24" s="4"/>
      <c r="T24" s="45"/>
    </row>
    <row r="25" spans="1:20" ht="18" thickBot="1" x14ac:dyDescent="0.45">
      <c r="A25" s="10" t="s">
        <v>3</v>
      </c>
      <c r="B25" s="2"/>
      <c r="C25" s="2">
        <v>0</v>
      </c>
      <c r="D25" s="2"/>
      <c r="E25" s="5">
        <f t="shared" ref="E25" si="12">E19+E13</f>
        <v>41528</v>
      </c>
      <c r="F25" s="2">
        <f t="shared" ref="F25:L25" si="13">F19+F13</f>
        <v>3000</v>
      </c>
      <c r="G25" s="2">
        <f t="shared" si="13"/>
        <v>0</v>
      </c>
      <c r="H25" s="2">
        <f t="shared" si="13"/>
        <v>192723</v>
      </c>
      <c r="I25" s="2">
        <f t="shared" si="13"/>
        <v>69000</v>
      </c>
      <c r="J25" s="2">
        <f t="shared" si="13"/>
        <v>180000</v>
      </c>
      <c r="K25" s="2">
        <f t="shared" si="13"/>
        <v>732000</v>
      </c>
      <c r="L25" s="2">
        <f t="shared" si="13"/>
        <v>243000</v>
      </c>
      <c r="M25" s="2">
        <f t="shared" ref="M25" si="14">M19+M13</f>
        <v>0</v>
      </c>
      <c r="N25" s="5">
        <f>J25*2</f>
        <v>360000</v>
      </c>
      <c r="O25" s="5">
        <v>240000</v>
      </c>
      <c r="P25" s="2">
        <f t="shared" si="10"/>
        <v>1150000</v>
      </c>
      <c r="Q25" s="5">
        <f>M25/$M$26*$Q$26</f>
        <v>0</v>
      </c>
      <c r="S25" s="4"/>
      <c r="T25" s="4"/>
    </row>
    <row r="26" spans="1:20" ht="18" thickBot="1" x14ac:dyDescent="0.3">
      <c r="A26" s="9" t="s">
        <v>4</v>
      </c>
      <c r="B26" s="8">
        <f t="shared" ref="B26:D26" si="15">B20+B14</f>
        <v>5740059</v>
      </c>
      <c r="C26" s="8">
        <f t="shared" si="15"/>
        <v>3047000</v>
      </c>
      <c r="D26" s="8">
        <f t="shared" si="15"/>
        <v>4512000</v>
      </c>
      <c r="E26" s="8">
        <f t="shared" ref="E26:O26" si="16">SUM(E22:E25)</f>
        <v>5887220</v>
      </c>
      <c r="F26" s="8">
        <f t="shared" si="16"/>
        <v>1250000</v>
      </c>
      <c r="G26" s="8">
        <f t="shared" si="16"/>
        <v>2600000</v>
      </c>
      <c r="H26" s="8">
        <f t="shared" si="16"/>
        <v>5244558</v>
      </c>
      <c r="I26" s="8">
        <f t="shared" si="16"/>
        <v>1410000</v>
      </c>
      <c r="J26" s="8">
        <f t="shared" si="16"/>
        <v>3165000</v>
      </c>
      <c r="K26" s="8">
        <f t="shared" si="16"/>
        <v>6282000</v>
      </c>
      <c r="L26" s="8">
        <f t="shared" si="16"/>
        <v>5836000</v>
      </c>
      <c r="M26" s="8">
        <f>SUM(M22:M25)</f>
        <v>6200412</v>
      </c>
      <c r="N26" s="8">
        <f t="shared" si="16"/>
        <v>6190523.4146226505</v>
      </c>
      <c r="O26" s="8">
        <f t="shared" si="16"/>
        <v>1686000</v>
      </c>
      <c r="P26" s="8">
        <f>SUM(P22:P25)</f>
        <v>6979000</v>
      </c>
      <c r="Q26" s="8">
        <v>6200000</v>
      </c>
      <c r="T26" s="12"/>
    </row>
    <row r="28" spans="1:20" ht="18.75" x14ac:dyDescent="0.5">
      <c r="A28" s="7" t="s">
        <v>38</v>
      </c>
    </row>
    <row r="29" spans="1:20" ht="17.25" x14ac:dyDescent="0.4">
      <c r="A29" s="10" t="s">
        <v>49</v>
      </c>
      <c r="B29" s="5">
        <v>53555732</v>
      </c>
      <c r="C29" s="5">
        <v>25971161</v>
      </c>
      <c r="D29" s="5">
        <v>51061696</v>
      </c>
      <c r="E29" s="5">
        <v>47482620</v>
      </c>
      <c r="F29" s="5">
        <v>13093944</v>
      </c>
      <c r="G29" s="5">
        <v>26770534</v>
      </c>
      <c r="H29" s="5">
        <v>32380662</v>
      </c>
      <c r="I29" s="5">
        <v>12334183</v>
      </c>
      <c r="J29" s="5">
        <v>30433044</v>
      </c>
      <c r="K29" s="5">
        <v>55440727</v>
      </c>
      <c r="L29" s="5">
        <v>54109461</v>
      </c>
      <c r="M29" s="5">
        <v>51890940</v>
      </c>
      <c r="N29" s="5">
        <f>N10*N43/1000000</f>
        <v>44422878.018367648</v>
      </c>
      <c r="O29" s="5">
        <v>17613185</v>
      </c>
      <c r="P29" s="5"/>
      <c r="Q29" s="5">
        <f>Q10*Q43/1000000</f>
        <v>56879174.556014962</v>
      </c>
      <c r="S29" s="4"/>
      <c r="T29" s="4"/>
    </row>
    <row r="30" spans="1:20" ht="17.25" x14ac:dyDescent="0.4">
      <c r="A30" s="10" t="s">
        <v>50</v>
      </c>
      <c r="B30" s="2">
        <v>22602643</v>
      </c>
      <c r="C30" s="2">
        <v>12592935</v>
      </c>
      <c r="D30" s="2">
        <v>21564018</v>
      </c>
      <c r="E30" s="2">
        <v>27194570</v>
      </c>
      <c r="F30" s="46">
        <v>6807429</v>
      </c>
      <c r="G30" s="46">
        <v>13043955</v>
      </c>
      <c r="H30" s="46">
        <v>18827006</v>
      </c>
      <c r="I30" s="46">
        <v>4555615</v>
      </c>
      <c r="J30" s="46">
        <v>11187545</v>
      </c>
      <c r="K30" s="46">
        <v>24290932</v>
      </c>
      <c r="L30" s="46">
        <v>25509020</v>
      </c>
      <c r="M30" s="46">
        <v>22967985</v>
      </c>
      <c r="N30" s="5">
        <f>N11*N44/1000000</f>
        <v>20450390.251562882</v>
      </c>
      <c r="O30" s="5">
        <v>9291970</v>
      </c>
      <c r="P30" s="5"/>
      <c r="Q30" s="5">
        <f>Q11*Q44/1000000</f>
        <v>40863502.912731662</v>
      </c>
      <c r="S30" s="12"/>
      <c r="T30" s="4"/>
    </row>
    <row r="31" spans="1:20" ht="17.25" x14ac:dyDescent="0.4">
      <c r="A31" s="10" t="s">
        <v>51</v>
      </c>
      <c r="B31" s="2">
        <v>7797743</v>
      </c>
      <c r="C31" s="2">
        <v>3890173</v>
      </c>
      <c r="D31" s="2">
        <v>5656589</v>
      </c>
      <c r="E31" s="2">
        <v>7114594</v>
      </c>
      <c r="F31" s="2">
        <v>1693856</v>
      </c>
      <c r="G31" s="2">
        <v>3316191</v>
      </c>
      <c r="H31" s="2">
        <v>5927020</v>
      </c>
      <c r="I31" s="2">
        <v>1670568</v>
      </c>
      <c r="J31" s="2">
        <v>3494803</v>
      </c>
      <c r="K31" s="2">
        <v>7059708</v>
      </c>
      <c r="L31" s="2">
        <v>6598727</v>
      </c>
      <c r="M31" s="2">
        <v>6733832</v>
      </c>
      <c r="N31" s="5">
        <f>N12*N45/1000000</f>
        <v>8089968.6867092634</v>
      </c>
      <c r="O31" s="5">
        <v>2355983</v>
      </c>
      <c r="P31" s="5"/>
      <c r="Q31" s="5">
        <f>Q12*Q45/1000000</f>
        <v>7971520.2796201287</v>
      </c>
      <c r="S31" s="12"/>
      <c r="T31" s="4"/>
    </row>
    <row r="32" spans="1:20" ht="18" thickBot="1" x14ac:dyDescent="0.45">
      <c r="A32" s="10" t="s">
        <v>3</v>
      </c>
      <c r="B32" s="2">
        <v>794130</v>
      </c>
      <c r="C32" s="2">
        <v>526415</v>
      </c>
      <c r="D32" s="2">
        <v>603747</v>
      </c>
      <c r="E32" s="2">
        <v>621971</v>
      </c>
      <c r="F32" s="2">
        <v>39077</v>
      </c>
      <c r="G32" s="2"/>
      <c r="H32" s="2">
        <v>848932</v>
      </c>
      <c r="I32" s="2">
        <v>604105</v>
      </c>
      <c r="J32" s="2">
        <v>1738540</v>
      </c>
      <c r="K32" s="2">
        <v>8014584</v>
      </c>
      <c r="L32" s="2">
        <v>2919077</v>
      </c>
      <c r="M32" s="2">
        <v>0</v>
      </c>
      <c r="N32" s="5">
        <f t="shared" ref="N32:Q32" si="17">N13*N46/1000000</f>
        <v>3275500.547976322</v>
      </c>
      <c r="O32" s="5">
        <v>4005554</v>
      </c>
      <c r="P32" s="5"/>
      <c r="Q32" s="5">
        <f t="shared" si="17"/>
        <v>0</v>
      </c>
      <c r="S32" s="4"/>
      <c r="T32" s="4"/>
    </row>
    <row r="33" spans="1:21" ht="18" thickBot="1" x14ac:dyDescent="0.3">
      <c r="A33" s="9" t="s">
        <v>24</v>
      </c>
      <c r="B33" s="8">
        <f t="shared" ref="B33:L33" si="18">SUM(B29:B32)</f>
        <v>84750248</v>
      </c>
      <c r="C33" s="8">
        <f t="shared" si="18"/>
        <v>42980684</v>
      </c>
      <c r="D33" s="8">
        <f t="shared" si="18"/>
        <v>78886050</v>
      </c>
      <c r="E33" s="8">
        <f t="shared" si="18"/>
        <v>82413755</v>
      </c>
      <c r="F33" s="8">
        <f t="shared" si="18"/>
        <v>21634306</v>
      </c>
      <c r="G33" s="8">
        <f t="shared" si="18"/>
        <v>43130680</v>
      </c>
      <c r="H33" s="8">
        <f t="shared" si="18"/>
        <v>57983620</v>
      </c>
      <c r="I33" s="8">
        <f t="shared" si="18"/>
        <v>19164471</v>
      </c>
      <c r="J33" s="8">
        <f t="shared" si="18"/>
        <v>46853932</v>
      </c>
      <c r="K33" s="8">
        <f t="shared" si="18"/>
        <v>94805951</v>
      </c>
      <c r="L33" s="8">
        <f t="shared" si="18"/>
        <v>89136285</v>
      </c>
      <c r="M33" s="8">
        <f>SUM(M29:M32)</f>
        <v>81592757</v>
      </c>
      <c r="N33" s="8">
        <f>SUM(N29:N32)</f>
        <v>76238737.504616112</v>
      </c>
      <c r="O33" s="8">
        <f>SUM(O29:O32)</f>
        <v>33266692</v>
      </c>
      <c r="P33" s="8"/>
      <c r="Q33" s="8">
        <f>SUM(Q29:Q32)</f>
        <v>105714197.74836676</v>
      </c>
      <c r="S33" s="4"/>
      <c r="T33" s="4"/>
      <c r="U33" s="4"/>
    </row>
    <row r="34" spans="1:21" ht="18.75" x14ac:dyDescent="0.5">
      <c r="A34" s="7" t="s">
        <v>37</v>
      </c>
      <c r="S34" s="4"/>
      <c r="T34" s="4"/>
      <c r="U34" s="4"/>
    </row>
    <row r="35" spans="1:21" ht="17.25" x14ac:dyDescent="0.4">
      <c r="A35" s="11" t="s">
        <v>49</v>
      </c>
      <c r="B35" s="5">
        <v>10351909</v>
      </c>
      <c r="C35" s="5">
        <v>8452648</v>
      </c>
      <c r="D35" s="5"/>
      <c r="E35" s="5">
        <v>17281797</v>
      </c>
      <c r="F35" s="5"/>
      <c r="G35" s="5"/>
      <c r="H35" s="5">
        <v>17788288</v>
      </c>
      <c r="I35" s="5"/>
      <c r="J35" s="5"/>
      <c r="K35" s="5"/>
      <c r="L35" s="5"/>
      <c r="M35" s="5">
        <v>16286821</v>
      </c>
      <c r="N35" s="5">
        <f>N16*N48/1000000</f>
        <v>33143356.758834518</v>
      </c>
      <c r="O35" s="5"/>
      <c r="P35" s="5"/>
      <c r="Q35" s="5">
        <f>Q16*Q48/1000000</f>
        <v>23513280.443985038</v>
      </c>
      <c r="S35" s="4"/>
      <c r="T35" s="4"/>
      <c r="U35" s="4"/>
    </row>
    <row r="36" spans="1:21" ht="17.25" x14ac:dyDescent="0.4">
      <c r="A36" s="10" t="s">
        <v>50</v>
      </c>
      <c r="B36" s="2">
        <v>1452781</v>
      </c>
      <c r="C36" s="2">
        <v>1409431</v>
      </c>
      <c r="D36" s="2"/>
      <c r="E36" s="2">
        <v>1901766</v>
      </c>
      <c r="F36" s="2"/>
      <c r="G36" s="2"/>
      <c r="H36" s="2">
        <v>1650244</v>
      </c>
      <c r="I36" s="2"/>
      <c r="J36" s="2"/>
      <c r="K36" s="2"/>
      <c r="L36" s="2"/>
      <c r="M36" s="46">
        <v>2758724</v>
      </c>
      <c r="N36" s="5">
        <f>N17*N49/1000000</f>
        <v>2067312.1981472394</v>
      </c>
      <c r="O36" s="5"/>
      <c r="P36" s="5"/>
      <c r="Q36" s="5">
        <f>Q17*Q49/1000000</f>
        <v>6613927.0872683376</v>
      </c>
      <c r="S36" s="4"/>
      <c r="T36" s="4"/>
      <c r="U36" s="4"/>
    </row>
    <row r="37" spans="1:21" ht="17.25" x14ac:dyDescent="0.4">
      <c r="A37" s="10" t="s">
        <v>51</v>
      </c>
      <c r="B37" s="2">
        <v>723585</v>
      </c>
      <c r="C37" s="2">
        <v>145387</v>
      </c>
      <c r="D37" s="2"/>
      <c r="E37" s="2">
        <v>401926</v>
      </c>
      <c r="F37" s="2"/>
      <c r="G37" s="2"/>
      <c r="H37" s="2">
        <v>359782</v>
      </c>
      <c r="I37" s="2"/>
      <c r="J37" s="2"/>
      <c r="K37" s="2"/>
      <c r="L37" s="2"/>
      <c r="M37" s="2">
        <v>445351</v>
      </c>
      <c r="N37" s="5">
        <f t="shared" ref="N37:N38" si="19">N18*N50/1000000</f>
        <v>637683.03680029628</v>
      </c>
      <c r="O37" s="5"/>
      <c r="P37" s="5"/>
      <c r="Q37" s="5">
        <f>Q18*Q50/1000000</f>
        <v>676935.01657631784</v>
      </c>
      <c r="S37" s="4"/>
      <c r="T37" s="4"/>
    </row>
    <row r="38" spans="1:21" ht="18" thickBot="1" x14ac:dyDescent="0.45">
      <c r="A38" s="10" t="s">
        <v>3</v>
      </c>
      <c r="B38" s="2">
        <v>0</v>
      </c>
      <c r="C38" s="2"/>
      <c r="D38" s="2"/>
      <c r="E38" s="2"/>
      <c r="F38" s="2"/>
      <c r="G38" s="2"/>
      <c r="H38" s="2">
        <v>385033</v>
      </c>
      <c r="I38" s="2"/>
      <c r="J38" s="2"/>
      <c r="K38" s="2"/>
      <c r="L38" s="2"/>
      <c r="M38" s="2"/>
      <c r="N38" s="5">
        <f t="shared" si="19"/>
        <v>0</v>
      </c>
      <c r="O38" s="5"/>
      <c r="P38" s="5"/>
      <c r="Q38" s="5">
        <f t="shared" ref="Q38" si="20">Q19*Q51/1000000</f>
        <v>0</v>
      </c>
      <c r="S38" s="4"/>
      <c r="T38" s="4"/>
    </row>
    <row r="39" spans="1:21" ht="18" thickBot="1" x14ac:dyDescent="0.3">
      <c r="A39" s="9" t="s">
        <v>25</v>
      </c>
      <c r="B39" s="8">
        <f t="shared" ref="B39:M39" si="21">SUM(B35:B38)</f>
        <v>12528275</v>
      </c>
      <c r="C39" s="8">
        <f t="shared" si="21"/>
        <v>10007466</v>
      </c>
      <c r="D39" s="8">
        <f t="shared" si="21"/>
        <v>0</v>
      </c>
      <c r="E39" s="8">
        <f t="shared" si="21"/>
        <v>19585489</v>
      </c>
      <c r="F39" s="8">
        <f t="shared" si="21"/>
        <v>0</v>
      </c>
      <c r="G39" s="8"/>
      <c r="H39" s="8">
        <f t="shared" ref="H39:K39" si="22">SUM(H35:H38)</f>
        <v>20183347</v>
      </c>
      <c r="I39" s="8"/>
      <c r="J39" s="8">
        <f t="shared" si="22"/>
        <v>0</v>
      </c>
      <c r="K39" s="8">
        <f t="shared" si="22"/>
        <v>0</v>
      </c>
      <c r="L39" s="8">
        <f t="shared" si="21"/>
        <v>0</v>
      </c>
      <c r="M39" s="8">
        <f t="shared" si="21"/>
        <v>19490896</v>
      </c>
      <c r="N39" s="8">
        <f>SUM(N35:N38)</f>
        <v>35848351.993782051</v>
      </c>
      <c r="O39" s="8"/>
      <c r="P39" s="8"/>
      <c r="Q39" s="8">
        <f>SUM(Q35:Q38)</f>
        <v>30804142.547829691</v>
      </c>
      <c r="T39" s="4"/>
    </row>
    <row r="40" spans="1:21" ht="18" thickBot="1" x14ac:dyDescent="0.3">
      <c r="A40" s="9" t="s">
        <v>2</v>
      </c>
      <c r="B40" s="8">
        <f t="shared" ref="B40:L40" si="23">B39+B33</f>
        <v>97278523</v>
      </c>
      <c r="C40" s="8">
        <f t="shared" si="23"/>
        <v>52988150</v>
      </c>
      <c r="D40" s="8">
        <f t="shared" si="23"/>
        <v>78886050</v>
      </c>
      <c r="E40" s="8">
        <f t="shared" si="23"/>
        <v>101999244</v>
      </c>
      <c r="F40" s="8">
        <f t="shared" si="23"/>
        <v>21634306</v>
      </c>
      <c r="G40" s="8"/>
      <c r="H40" s="8">
        <f t="shared" ref="H40:K40" si="24">H39+H33</f>
        <v>78166967</v>
      </c>
      <c r="I40" s="8"/>
      <c r="J40" s="8">
        <f t="shared" si="24"/>
        <v>46853932</v>
      </c>
      <c r="K40" s="8">
        <f t="shared" si="24"/>
        <v>94805951</v>
      </c>
      <c r="L40" s="8">
        <f t="shared" si="23"/>
        <v>89136285</v>
      </c>
      <c r="M40" s="8">
        <f>M39+M33</f>
        <v>101083653</v>
      </c>
      <c r="N40" s="8">
        <f>N39+N33</f>
        <v>112087089.49839815</v>
      </c>
      <c r="O40" s="8"/>
      <c r="P40" s="8"/>
      <c r="Q40" s="8">
        <f>Q39+Q33</f>
        <v>136518340.29619646</v>
      </c>
      <c r="T40" s="4"/>
    </row>
    <row r="42" spans="1:21" ht="18.75" x14ac:dyDescent="0.5">
      <c r="A42" s="7" t="s">
        <v>41</v>
      </c>
    </row>
    <row r="43" spans="1:21" ht="17.25" x14ac:dyDescent="0.4">
      <c r="A43" s="3" t="s">
        <v>49</v>
      </c>
      <c r="B43" s="5">
        <f t="shared" ref="B43:F45" si="25">IFERROR(B29/B10*1000000,0)</f>
        <v>16610646.858845705</v>
      </c>
      <c r="C43" s="5">
        <f t="shared" si="25"/>
        <v>17041444.225721788</v>
      </c>
      <c r="D43" s="5">
        <f t="shared" si="25"/>
        <v>16128141.503474416</v>
      </c>
      <c r="E43" s="5">
        <f t="shared" si="25"/>
        <v>17177850.767154202</v>
      </c>
      <c r="F43" s="5">
        <f t="shared" si="25"/>
        <v>15386538.190364277</v>
      </c>
      <c r="G43" s="5"/>
      <c r="H43" s="5">
        <f t="shared" ref="H43:M45" si="26">IFERROR(H29/H10*1000000,0)</f>
        <v>15461381.000652727</v>
      </c>
      <c r="I43" s="5">
        <f t="shared" si="26"/>
        <v>12547490.33570702</v>
      </c>
      <c r="J43" s="5">
        <f t="shared" si="26"/>
        <v>13966518.586507572</v>
      </c>
      <c r="K43" s="52">
        <f t="shared" si="26"/>
        <v>14448977.586656241</v>
      </c>
      <c r="L43" s="52">
        <f t="shared" si="26"/>
        <v>13817533.452502554</v>
      </c>
      <c r="M43" s="52">
        <f t="shared" si="26"/>
        <v>16183253.863529831</v>
      </c>
      <c r="N43" s="52">
        <f>'سود و زیان'!W8</f>
        <v>17706989.07680364</v>
      </c>
      <c r="O43" s="52">
        <f>IFERROR(O29/O22*1000000,0)</f>
        <v>17719502.012072437</v>
      </c>
      <c r="P43" s="52">
        <v>17002687</v>
      </c>
      <c r="Q43" s="52">
        <f>'سود و زیان'!X8</f>
        <v>19948500</v>
      </c>
    </row>
    <row r="44" spans="1:21" ht="17.25" x14ac:dyDescent="0.4">
      <c r="A44" s="3" t="s">
        <v>50</v>
      </c>
      <c r="B44" s="2">
        <f t="shared" si="25"/>
        <v>19363630.444634631</v>
      </c>
      <c r="C44" s="2">
        <f t="shared" si="25"/>
        <v>20052444.267515924</v>
      </c>
      <c r="D44" s="2">
        <f t="shared" si="25"/>
        <v>19729202.195791397</v>
      </c>
      <c r="E44" s="2">
        <f t="shared" si="25"/>
        <v>20287793.560323477</v>
      </c>
      <c r="F44" s="2">
        <f t="shared" si="25"/>
        <v>20504304.216867469</v>
      </c>
      <c r="G44" s="2"/>
      <c r="H44" s="2">
        <f t="shared" si="26"/>
        <v>19250418.965138216</v>
      </c>
      <c r="I44" s="2">
        <f t="shared" si="26"/>
        <v>15928723.776223777</v>
      </c>
      <c r="J44" s="2">
        <f t="shared" si="26"/>
        <v>16976547.799696509</v>
      </c>
      <c r="K44" s="19">
        <f t="shared" si="26"/>
        <v>17166736.395759717</v>
      </c>
      <c r="L44" s="19">
        <f t="shared" si="26"/>
        <v>18065878.186968837</v>
      </c>
      <c r="M44" s="19">
        <f t="shared" si="26"/>
        <v>19335403.982920721</v>
      </c>
      <c r="N44" s="19">
        <f>'سود و زیان'!W11</f>
        <v>20688200</v>
      </c>
      <c r="O44" s="19">
        <f t="shared" ref="O44:O46" si="27">IFERROR(O30/O23*1000000,0)</f>
        <v>24452552.631578945</v>
      </c>
      <c r="P44" s="19">
        <v>19391408</v>
      </c>
      <c r="Q44" s="19">
        <f>'سود و زیان'!X11</f>
        <v>25525500.000000004</v>
      </c>
    </row>
    <row r="45" spans="1:21" ht="17.25" x14ac:dyDescent="0.4">
      <c r="A45" s="3" t="s">
        <v>51</v>
      </c>
      <c r="B45" s="2">
        <f t="shared" si="25"/>
        <v>27504296.144756801</v>
      </c>
      <c r="C45" s="2">
        <f t="shared" si="25"/>
        <v>27204006.993006993</v>
      </c>
      <c r="D45" s="2">
        <f t="shared" si="25"/>
        <v>26556755.868544601</v>
      </c>
      <c r="E45" s="2">
        <f t="shared" si="25"/>
        <v>26769942.205231629</v>
      </c>
      <c r="F45" s="2">
        <f t="shared" si="25"/>
        <v>26466500</v>
      </c>
      <c r="G45" s="2"/>
      <c r="H45" s="2">
        <f t="shared" si="26"/>
        <v>25163966.442497112</v>
      </c>
      <c r="I45" s="2">
        <f t="shared" si="26"/>
        <v>23202333.333333332</v>
      </c>
      <c r="J45" s="2">
        <f t="shared" si="26"/>
        <v>23774170.068027209</v>
      </c>
      <c r="K45" s="19">
        <f t="shared" si="26"/>
        <v>23690295.30201342</v>
      </c>
      <c r="L45" s="19">
        <f t="shared" si="26"/>
        <v>24900856.603773583</v>
      </c>
      <c r="M45" s="19">
        <f t="shared" si="26"/>
        <v>25340403.033096883</v>
      </c>
      <c r="N45" s="19">
        <f>N43/J43*J45</f>
        <v>30141295.921183188</v>
      </c>
      <c r="O45" s="19">
        <f t="shared" si="27"/>
        <v>32721986.111111116</v>
      </c>
      <c r="P45" s="19">
        <v>26210675</v>
      </c>
      <c r="Q45" s="19">
        <v>30000000</v>
      </c>
    </row>
    <row r="46" spans="1:21" ht="17.25" x14ac:dyDescent="0.4">
      <c r="A46" s="3" t="s">
        <v>3</v>
      </c>
      <c r="B46" s="2">
        <f t="shared" ref="B46:F46" si="28">IFERROR(B32/B13*1000000,0)</f>
        <v>14254456.032022402</v>
      </c>
      <c r="C46" s="2">
        <f t="shared" si="28"/>
        <v>15040428.571428571</v>
      </c>
      <c r="D46" s="2">
        <f t="shared" si="28"/>
        <v>15093675</v>
      </c>
      <c r="E46" s="2">
        <f t="shared" si="28"/>
        <v>14977147.948372183</v>
      </c>
      <c r="F46" s="2">
        <f t="shared" si="28"/>
        <v>13025666.666666666</v>
      </c>
      <c r="G46" s="2"/>
      <c r="H46" s="2">
        <f t="shared" ref="H46:K46" si="29">IFERROR(H32/H13*1000000,0)</f>
        <v>5928337.4883902818</v>
      </c>
      <c r="I46" s="2">
        <f t="shared" ref="I46" si="30">IFERROR(I32/I13*1000000,0)</f>
        <v>8755144.9275362324</v>
      </c>
      <c r="J46" s="2">
        <f t="shared" si="29"/>
        <v>9658555.555555556</v>
      </c>
      <c r="K46" s="19">
        <f t="shared" si="29"/>
        <v>10948885.245901639</v>
      </c>
      <c r="L46" s="19">
        <f>IFERROR(L32/L13*1000000,0)</f>
        <v>12012662.551440328</v>
      </c>
      <c r="M46" s="19">
        <f>IFERROR(M32/M13*1000000,0)</f>
        <v>0</v>
      </c>
      <c r="N46" s="19">
        <f>N43/J43*J46</f>
        <v>12245280.501408698</v>
      </c>
      <c r="O46" s="19">
        <f t="shared" si="27"/>
        <v>16689808.333333332</v>
      </c>
      <c r="P46" s="19">
        <v>13500000</v>
      </c>
      <c r="Q46" s="19">
        <f>Q43/N43*N46</f>
        <v>13795398.925408186</v>
      </c>
    </row>
    <row r="47" spans="1:21" ht="18.75" x14ac:dyDescent="0.5">
      <c r="A47" s="7" t="s">
        <v>42</v>
      </c>
      <c r="K47" s="92"/>
      <c r="L47" s="92"/>
      <c r="M47" s="92"/>
      <c r="N47" s="92"/>
      <c r="O47" s="92"/>
      <c r="P47" s="92"/>
      <c r="Q47" s="92"/>
    </row>
    <row r="48" spans="1:21" ht="17.25" x14ac:dyDescent="0.4">
      <c r="A48" s="11" t="s">
        <v>49</v>
      </c>
      <c r="B48" s="5">
        <f t="shared" ref="B48:E50" si="31">IFERROR(B35/B16*1000000,0)</f>
        <v>12040785.728658881</v>
      </c>
      <c r="C48" s="5">
        <f t="shared" si="31"/>
        <v>13655327.948303716</v>
      </c>
      <c r="D48" s="5">
        <f t="shared" si="31"/>
        <v>0</v>
      </c>
      <c r="E48" s="5">
        <f t="shared" si="31"/>
        <v>12966748.400708895</v>
      </c>
      <c r="F48" s="5">
        <f t="shared" ref="F48:K48" si="32">IFERROR(F35/F16*1000000,0)</f>
        <v>0</v>
      </c>
      <c r="G48" s="5"/>
      <c r="H48" s="5">
        <f t="shared" si="32"/>
        <v>11109792.047646172</v>
      </c>
      <c r="I48" s="5"/>
      <c r="J48" s="5">
        <f t="shared" si="32"/>
        <v>0</v>
      </c>
      <c r="K48" s="52">
        <f t="shared" si="32"/>
        <v>0</v>
      </c>
      <c r="L48" s="52">
        <f t="shared" ref="L48:M50" si="33">IFERROR(L35/L16*1000000,0)</f>
        <v>0</v>
      </c>
      <c r="M48" s="52">
        <f>IFERROR(M35/M16*1000000,0)</f>
        <v>12287136.802367074</v>
      </c>
      <c r="N48" s="52">
        <f>'سود و زیان'!W9</f>
        <v>17280000</v>
      </c>
      <c r="O48" s="52"/>
      <c r="P48" s="52">
        <v>16572458</v>
      </c>
      <c r="Q48" s="52">
        <f>'سود و زیان'!X9</f>
        <v>19948500</v>
      </c>
    </row>
    <row r="49" spans="1:17" ht="17.25" x14ac:dyDescent="0.4">
      <c r="A49" s="10" t="s">
        <v>50</v>
      </c>
      <c r="B49" s="2">
        <f t="shared" si="31"/>
        <v>14379841.431668134</v>
      </c>
      <c r="C49" s="2">
        <f t="shared" si="31"/>
        <v>15488252.747252747</v>
      </c>
      <c r="D49" s="2">
        <f t="shared" si="31"/>
        <v>0</v>
      </c>
      <c r="E49" s="2">
        <f t="shared" si="31"/>
        <v>15911430.53161761</v>
      </c>
      <c r="F49" s="2">
        <f t="shared" ref="F49:K49" si="34">IFERROR(F36/F17*1000000,0)</f>
        <v>0</v>
      </c>
      <c r="G49" s="2"/>
      <c r="H49" s="2">
        <f t="shared" si="34"/>
        <v>13302947.981072301</v>
      </c>
      <c r="I49" s="2"/>
      <c r="J49" s="2">
        <f t="shared" si="34"/>
        <v>0</v>
      </c>
      <c r="K49" s="19">
        <f t="shared" si="34"/>
        <v>0</v>
      </c>
      <c r="L49" s="19">
        <f t="shared" si="33"/>
        <v>0</v>
      </c>
      <c r="M49" s="19">
        <f>IFERROR(M36/M17*1000000,0)</f>
        <v>14348774.068718728</v>
      </c>
      <c r="N49" s="19">
        <f>'سود و زیان'!W12</f>
        <v>16488000</v>
      </c>
      <c r="O49" s="19"/>
      <c r="P49" s="19">
        <v>18620000</v>
      </c>
      <c r="Q49" s="19">
        <f>'سود و زیان'!X12</f>
        <v>25525500.000000004</v>
      </c>
    </row>
    <row r="50" spans="1:17" ht="17.25" x14ac:dyDescent="0.4">
      <c r="A50" s="10" t="s">
        <v>51</v>
      </c>
      <c r="B50" s="2">
        <f t="shared" si="31"/>
        <v>14883067.999506356</v>
      </c>
      <c r="C50" s="2">
        <f t="shared" si="31"/>
        <v>20769571.428571429</v>
      </c>
      <c r="D50" s="2">
        <f t="shared" si="31"/>
        <v>0</v>
      </c>
      <c r="E50" s="2">
        <f t="shared" si="31"/>
        <v>17469726.604946319</v>
      </c>
      <c r="F50" s="2">
        <f t="shared" ref="F50:K50" si="35">IFERROR(F37/F18*1000000,0)</f>
        <v>0</v>
      </c>
      <c r="G50" s="2"/>
      <c r="H50" s="2">
        <f t="shared" si="35"/>
        <v>19123099.819283515</v>
      </c>
      <c r="I50" s="2"/>
      <c r="J50" s="2">
        <f t="shared" si="35"/>
        <v>0</v>
      </c>
      <c r="K50" s="19">
        <f t="shared" si="35"/>
        <v>0</v>
      </c>
      <c r="L50" s="19">
        <f t="shared" si="33"/>
        <v>0</v>
      </c>
      <c r="M50" s="19">
        <f t="shared" si="33"/>
        <v>19735487.015864573</v>
      </c>
      <c r="N50" s="19">
        <f>N48/H48*H50</f>
        <v>29743775.892477743</v>
      </c>
      <c r="O50" s="19"/>
      <c r="P50" s="19">
        <v>22186153</v>
      </c>
      <c r="Q50" s="19">
        <v>30000000</v>
      </c>
    </row>
    <row r="52" spans="1:17" ht="17.25" x14ac:dyDescent="0.2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rightToLeft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RowHeight="15" x14ac:dyDescent="0.25"/>
  <cols>
    <col min="1" max="1" width="26.140625" customWidth="1"/>
    <col min="2" max="10" width="16.5703125" customWidth="1"/>
    <col min="11" max="12" width="16.5703125" hidden="1" customWidth="1"/>
    <col min="13" max="15" width="16.5703125" customWidth="1"/>
    <col min="16" max="26" width="0" hidden="1" customWidth="1"/>
  </cols>
  <sheetData>
    <row r="1" spans="1:23" ht="34.5" customHeight="1" thickBot="1" x14ac:dyDescent="0.3">
      <c r="B1" s="14">
        <v>9212</v>
      </c>
      <c r="C1" s="14">
        <v>9306</v>
      </c>
      <c r="D1" s="14">
        <v>9309</v>
      </c>
      <c r="E1" s="14">
        <v>9312</v>
      </c>
      <c r="F1" s="14">
        <v>9403</v>
      </c>
      <c r="G1" s="14">
        <v>9406</v>
      </c>
      <c r="H1" s="14">
        <v>9412</v>
      </c>
      <c r="I1" s="14">
        <v>9506</v>
      </c>
      <c r="J1" s="14">
        <v>951206</v>
      </c>
      <c r="K1" s="41" t="s">
        <v>46</v>
      </c>
      <c r="L1" s="14" t="s">
        <v>92</v>
      </c>
      <c r="M1" s="14">
        <v>9512</v>
      </c>
      <c r="N1" s="14">
        <v>961200</v>
      </c>
      <c r="O1" s="14" t="s">
        <v>116</v>
      </c>
    </row>
    <row r="2" spans="1:23" ht="18.75" x14ac:dyDescent="0.5">
      <c r="A2" s="7" t="s">
        <v>7</v>
      </c>
    </row>
    <row r="3" spans="1:23" ht="17.25" x14ac:dyDescent="0.4">
      <c r="A3" s="10" t="s">
        <v>56</v>
      </c>
      <c r="B3" s="5">
        <v>6750000</v>
      </c>
      <c r="C3" s="5">
        <v>3933000</v>
      </c>
      <c r="D3" s="5">
        <v>5758000</v>
      </c>
      <c r="E3" s="52">
        <v>7422000</v>
      </c>
      <c r="F3" s="5">
        <v>1865000</v>
      </c>
      <c r="G3" s="5"/>
      <c r="H3" s="5">
        <f>1000*SUM(H29:H35)</f>
        <v>7798000</v>
      </c>
      <c r="I3" s="5">
        <f t="shared" ref="I3:K3" si="0">1000*SUM(I29:I35)</f>
        <v>3669000</v>
      </c>
      <c r="J3" s="5">
        <f>1000*SUM(J29:J35)</f>
        <v>7437000</v>
      </c>
      <c r="K3" s="5">
        <f t="shared" si="0"/>
        <v>7527000</v>
      </c>
      <c r="L3" s="5">
        <f>I3+1.25*('تولید و فروش'!$N$26-'تولید و فروش'!$J$26)</f>
        <v>7450904.2682783129</v>
      </c>
      <c r="M3" s="5">
        <v>7434000000</v>
      </c>
      <c r="N3" s="5">
        <v>7559000000</v>
      </c>
      <c r="O3" s="5">
        <f>0.55*'تولید و فروش'!$Q$26*1.45*(1/0.66)</f>
        <v>7491666.6666666679</v>
      </c>
      <c r="P3">
        <f>E3/'تولید و فروش'!E$26</f>
        <v>1.2606968993854484</v>
      </c>
      <c r="Q3">
        <f>F3/'تولید و فروش'!F$26</f>
        <v>1.492</v>
      </c>
      <c r="R3">
        <f>G3/'تولید و فروش'!G$26</f>
        <v>0</v>
      </c>
      <c r="S3">
        <f>H3/'تولید و فروش'!H$26</f>
        <v>1.4868745850460612</v>
      </c>
      <c r="T3">
        <f>I3/'تولید و فروش'!J$26</f>
        <v>1.1592417061611375</v>
      </c>
      <c r="U3">
        <f>J3/'تولید و فروش'!K$26</f>
        <v>1.1838586437440306</v>
      </c>
      <c r="V3">
        <f>K3/'تولید و فروش'!L$26</f>
        <v>1.2897532556545579</v>
      </c>
      <c r="W3">
        <f>L3/'تولید و فروش'!L$26</f>
        <v>1.2767142337694162</v>
      </c>
    </row>
    <row r="4" spans="1:23" ht="17.25" x14ac:dyDescent="0.4">
      <c r="A4" s="10" t="s">
        <v>57</v>
      </c>
      <c r="B4" s="2">
        <v>429000</v>
      </c>
      <c r="C4" s="2">
        <v>181000</v>
      </c>
      <c r="D4" s="2">
        <v>272000</v>
      </c>
      <c r="E4" s="19">
        <v>330000</v>
      </c>
      <c r="F4" s="2">
        <v>58000</v>
      </c>
      <c r="G4" s="2"/>
      <c r="H4" s="2">
        <f>(H39+H40)*1000</f>
        <v>142000</v>
      </c>
      <c r="I4" s="2">
        <f t="shared" ref="I4:K4" si="1">(I39+I40)*1000</f>
        <v>112000</v>
      </c>
      <c r="J4" s="2">
        <f t="shared" si="1"/>
        <v>241000</v>
      </c>
      <c r="K4" s="2">
        <f t="shared" si="1"/>
        <v>0</v>
      </c>
      <c r="L4" s="5">
        <f>I4+0.04*('تولید و فروش'!$N$26-'تولید و فروش'!$J$26)</f>
        <v>233020.93658490601</v>
      </c>
      <c r="M4" s="5">
        <v>242000</v>
      </c>
      <c r="N4" s="5">
        <v>266000</v>
      </c>
      <c r="O4" s="5">
        <f>0.04*('تولید و فروش'!$Q$26)</f>
        <v>248000</v>
      </c>
      <c r="S4">
        <f>H4/'تولید و فروش'!H$26</f>
        <v>2.7075684929025477E-2</v>
      </c>
      <c r="T4">
        <f>I4/'تولید و فروش'!J$26</f>
        <v>3.53870458135861E-2</v>
      </c>
      <c r="U4">
        <f>J4/'تولید و فروش'!K$26</f>
        <v>3.8363578478191655E-2</v>
      </c>
      <c r="V4">
        <f>K4/'تولید و فروش'!L$26</f>
        <v>0</v>
      </c>
      <c r="W4">
        <f>L4/'تولید و فروش'!L$26</f>
        <v>3.9928193383294383E-2</v>
      </c>
    </row>
    <row r="5" spans="1:23" ht="17.25" x14ac:dyDescent="0.4">
      <c r="A5" s="10" t="s">
        <v>3</v>
      </c>
      <c r="B5" s="2">
        <v>1000</v>
      </c>
      <c r="C5" s="2">
        <v>1000</v>
      </c>
      <c r="D5" s="2">
        <v>1000</v>
      </c>
      <c r="E5" s="19">
        <v>1000</v>
      </c>
      <c r="F5" s="2">
        <v>1000</v>
      </c>
      <c r="G5" s="2"/>
      <c r="H5" s="2">
        <f>SUM(H41:H43)*1000</f>
        <v>56000</v>
      </c>
      <c r="I5" s="2">
        <f t="shared" ref="I5:K5" si="2">SUM(I41:I43)*1000</f>
        <v>30000</v>
      </c>
      <c r="J5" s="2">
        <f t="shared" si="2"/>
        <v>61000</v>
      </c>
      <c r="K5" s="2">
        <f t="shared" si="2"/>
        <v>55000</v>
      </c>
      <c r="L5" s="5">
        <f>I5+0.01*('تولید و فروش'!$N$26-'تولید و فروش'!$J$26)</f>
        <v>60255.234146226503</v>
      </c>
      <c r="M5" s="5">
        <v>18000</v>
      </c>
      <c r="N5" s="5">
        <v>27000</v>
      </c>
      <c r="O5" s="5">
        <f>N5</f>
        <v>27000</v>
      </c>
      <c r="S5">
        <f>H5/'تولید و فروش'!H$26</f>
        <v>1.0677734901587512E-2</v>
      </c>
      <c r="T5">
        <f>I5/'تولید و فروش'!J$26</f>
        <v>9.4786729857819912E-3</v>
      </c>
      <c r="U5">
        <f>J5/'تولید و فروش'!K$26</f>
        <v>9.7102833492518307E-3</v>
      </c>
      <c r="V5">
        <f>K5/'تولید و فروش'!L$26</f>
        <v>9.4242631939684719E-3</v>
      </c>
      <c r="W5">
        <f>L5/'تولید و فروش'!L$26</f>
        <v>1.0324748825604267E-2</v>
      </c>
    </row>
    <row r="6" spans="1:23" ht="18" thickBot="1" x14ac:dyDescent="0.45">
      <c r="A6" s="38" t="s">
        <v>58</v>
      </c>
      <c r="B6" s="39">
        <v>2354000</v>
      </c>
      <c r="C6" s="39">
        <v>1032000</v>
      </c>
      <c r="D6" s="39">
        <v>1930000</v>
      </c>
      <c r="E6" s="51">
        <v>2932000</v>
      </c>
      <c r="F6" s="39">
        <v>948000</v>
      </c>
      <c r="G6" s="39"/>
      <c r="H6" s="39">
        <f>1000*(H36+H37)</f>
        <v>2729000</v>
      </c>
      <c r="I6" s="39">
        <f t="shared" ref="I6:K6" si="3">1000*(I36+I37)</f>
        <v>1558000</v>
      </c>
      <c r="J6" s="39">
        <f t="shared" si="3"/>
        <v>3107000</v>
      </c>
      <c r="K6" s="39">
        <f t="shared" si="3"/>
        <v>2940000</v>
      </c>
      <c r="L6" s="5">
        <f>I6+0.5*('تولید و فروش'!$N$26-'تولید و فروش'!$J$26)</f>
        <v>3070761.7073113252</v>
      </c>
      <c r="M6" s="5">
        <v>3363000000</v>
      </c>
      <c r="N6" s="5">
        <v>4650000000</v>
      </c>
      <c r="O6" s="5">
        <f>0.45*('تولید و فروش'!$Q$26)*1.5</f>
        <v>4185000</v>
      </c>
      <c r="S6">
        <f>H6/'تولید و فروش'!H$26</f>
        <v>0.52034890261486288</v>
      </c>
      <c r="T6">
        <f>I6/'تولید و فروش'!J$26</f>
        <v>0.49225908372827804</v>
      </c>
      <c r="U6">
        <f>J6/'تولید و فروش'!K$26</f>
        <v>0.49458771092008913</v>
      </c>
      <c r="V6">
        <f>K6/'تولید و فروش'!L$26</f>
        <v>0.50376970527758735</v>
      </c>
      <c r="W6">
        <f>L6/'تولید و فروش'!L$26</f>
        <v>0.52617575519385285</v>
      </c>
    </row>
    <row r="7" spans="1:23" ht="18.75" thickBot="1" x14ac:dyDescent="0.3">
      <c r="A7" s="15" t="s">
        <v>8</v>
      </c>
      <c r="B7" s="16">
        <f>SUM(B3:B6)</f>
        <v>9534000</v>
      </c>
      <c r="C7" s="16">
        <f t="shared" ref="C7:N7" si="4">SUM(C3:C6)</f>
        <v>5147000</v>
      </c>
      <c r="D7" s="16">
        <f>SUM(D3:D6)</f>
        <v>7961000</v>
      </c>
      <c r="E7" s="16">
        <f t="shared" si="4"/>
        <v>10685000</v>
      </c>
      <c r="F7" s="16">
        <f t="shared" si="4"/>
        <v>2872000</v>
      </c>
      <c r="G7" s="16">
        <f t="shared" si="4"/>
        <v>0</v>
      </c>
      <c r="H7" s="16">
        <f t="shared" si="4"/>
        <v>10725000</v>
      </c>
      <c r="I7" s="16">
        <f t="shared" si="4"/>
        <v>5369000</v>
      </c>
      <c r="J7" s="16">
        <f t="shared" si="4"/>
        <v>10846000</v>
      </c>
      <c r="K7" s="16">
        <f t="shared" si="4"/>
        <v>10522000</v>
      </c>
      <c r="L7" s="16">
        <f t="shared" si="4"/>
        <v>10814942.14632077</v>
      </c>
      <c r="M7" s="16">
        <f t="shared" si="4"/>
        <v>10797260000</v>
      </c>
      <c r="N7" s="16">
        <f t="shared" si="4"/>
        <v>12209293000</v>
      </c>
      <c r="O7" s="16">
        <f t="shared" ref="O7" si="5">SUM(O3:O6)</f>
        <v>11951666.666666668</v>
      </c>
    </row>
    <row r="8" spans="1:23" ht="17.25" x14ac:dyDescent="0.4">
      <c r="A8" s="17"/>
    </row>
    <row r="9" spans="1:23" ht="18.75" x14ac:dyDescent="0.5">
      <c r="A9" s="7" t="s">
        <v>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23" ht="17.25" x14ac:dyDescent="0.4">
      <c r="A10" s="10" t="s">
        <v>56</v>
      </c>
      <c r="B10" s="2">
        <v>15536159</v>
      </c>
      <c r="C10" s="2">
        <v>10231453</v>
      </c>
      <c r="D10" s="2">
        <v>14928032</v>
      </c>
      <c r="E10" s="19">
        <v>18853295</v>
      </c>
      <c r="F10" s="2">
        <v>4496676</v>
      </c>
      <c r="G10" s="2"/>
      <c r="H10" s="5">
        <f>SUM(H48:H54)</f>
        <v>15137409</v>
      </c>
      <c r="I10" s="5">
        <f t="shared" ref="I10:K10" si="6">SUM(I48:I54)</f>
        <v>6959743</v>
      </c>
      <c r="J10" s="5">
        <f t="shared" si="6"/>
        <v>14122628</v>
      </c>
      <c r="K10" s="5">
        <f t="shared" si="6"/>
        <v>15882714</v>
      </c>
      <c r="L10" s="5">
        <f>SUM(L48:L54)</f>
        <v>16487684.754385523</v>
      </c>
      <c r="M10" s="5"/>
      <c r="N10" s="5"/>
      <c r="O10" s="5">
        <f>SUM(O48:O54)</f>
        <v>19284976.426971931</v>
      </c>
    </row>
    <row r="11" spans="1:23" ht="17.25" x14ac:dyDescent="0.4">
      <c r="A11" s="10" t="s">
        <v>57</v>
      </c>
      <c r="B11" s="2">
        <v>4420516</v>
      </c>
      <c r="C11" s="2">
        <v>2035040</v>
      </c>
      <c r="D11" s="2">
        <v>3004924</v>
      </c>
      <c r="E11" s="19">
        <v>3768496</v>
      </c>
      <c r="F11" s="2">
        <v>624778</v>
      </c>
      <c r="G11" s="2"/>
      <c r="H11" s="2">
        <f>H58+H59</f>
        <v>1759903</v>
      </c>
      <c r="I11" s="2">
        <f t="shared" ref="I11:L11" si="7">I58+I59</f>
        <v>910671</v>
      </c>
      <c r="J11" s="2">
        <f t="shared" si="7"/>
        <v>1847057</v>
      </c>
      <c r="K11" s="2">
        <f t="shared" si="7"/>
        <v>0</v>
      </c>
      <c r="L11" s="2">
        <f t="shared" si="7"/>
        <v>1894691.1548277943</v>
      </c>
      <c r="M11" s="2"/>
      <c r="N11" s="2"/>
      <c r="O11" s="2">
        <f>O58+O59</f>
        <v>1900705.9585062242</v>
      </c>
      <c r="Q11" s="69"/>
    </row>
    <row r="12" spans="1:23" ht="17.25" x14ac:dyDescent="0.4">
      <c r="A12" s="10" t="s">
        <v>3</v>
      </c>
      <c r="B12" s="2">
        <v>7449755</v>
      </c>
      <c r="C12" s="2">
        <v>3675059</v>
      </c>
      <c r="D12" s="2">
        <v>4888017</v>
      </c>
      <c r="E12" s="19">
        <v>5997708</v>
      </c>
      <c r="F12" s="2">
        <v>1822348</v>
      </c>
      <c r="G12" s="2"/>
      <c r="H12" s="2">
        <f>SUM(H61:H63)</f>
        <v>5146720</v>
      </c>
      <c r="I12" s="2">
        <f t="shared" ref="I12:K12" si="8">SUM(I61:I63)</f>
        <v>3549354</v>
      </c>
      <c r="J12" s="2">
        <f t="shared" si="8"/>
        <v>7142367</v>
      </c>
      <c r="K12" s="2">
        <f t="shared" si="8"/>
        <v>1490424</v>
      </c>
      <c r="L12" s="2">
        <f>SUM(L61:L63)</f>
        <v>8337313.4925616924</v>
      </c>
      <c r="M12" s="2"/>
      <c r="N12" s="2"/>
      <c r="O12" s="2">
        <f t="shared" ref="O12" si="9">SUM(O61:O63)</f>
        <v>6645026.8145454545</v>
      </c>
    </row>
    <row r="13" spans="1:23" ht="18" thickBot="1" x14ac:dyDescent="0.45">
      <c r="A13" s="38" t="s">
        <v>58</v>
      </c>
      <c r="B13" s="39">
        <v>8980019</v>
      </c>
      <c r="C13" s="39">
        <v>4857319</v>
      </c>
      <c r="D13" s="39">
        <v>9446206</v>
      </c>
      <c r="E13" s="51">
        <v>13776252</v>
      </c>
      <c r="F13" s="39">
        <v>3909178</v>
      </c>
      <c r="G13" s="39"/>
      <c r="H13" s="39">
        <f>H56+H55</f>
        <v>10553908</v>
      </c>
      <c r="I13" s="39">
        <f t="shared" ref="I13:K13" si="10">I56+I55</f>
        <v>4630991</v>
      </c>
      <c r="J13" s="39">
        <f t="shared" si="10"/>
        <v>9038229</v>
      </c>
      <c r="K13" s="39">
        <f t="shared" si="10"/>
        <v>11400282</v>
      </c>
      <c r="L13" s="39">
        <f>L56+L55</f>
        <v>11193172.084086366</v>
      </c>
      <c r="M13" s="39"/>
      <c r="N13" s="39"/>
      <c r="O13" s="39">
        <f>O56+O55</f>
        <v>18443504.25</v>
      </c>
    </row>
    <row r="14" spans="1:23" ht="18.75" thickBot="1" x14ac:dyDescent="0.3">
      <c r="A14" s="15" t="s">
        <v>10</v>
      </c>
      <c r="B14" s="16">
        <f t="shared" ref="B14:D14" si="11">SUM(B10:B13)</f>
        <v>36386449</v>
      </c>
      <c r="C14" s="16">
        <f t="shared" si="11"/>
        <v>20798871</v>
      </c>
      <c r="D14" s="16">
        <f t="shared" si="11"/>
        <v>32267179</v>
      </c>
      <c r="E14" s="16">
        <f>SUM(E10:E13)</f>
        <v>42395751</v>
      </c>
      <c r="F14" s="16">
        <f t="shared" ref="F14:L14" si="12">SUM(F10:F13)</f>
        <v>10852980</v>
      </c>
      <c r="G14" s="16">
        <f t="shared" si="12"/>
        <v>0</v>
      </c>
      <c r="H14" s="16">
        <f t="shared" si="12"/>
        <v>32597940</v>
      </c>
      <c r="I14" s="16">
        <f t="shared" si="12"/>
        <v>16050759</v>
      </c>
      <c r="J14" s="16">
        <f t="shared" si="12"/>
        <v>32150281</v>
      </c>
      <c r="K14" s="16">
        <f t="shared" si="12"/>
        <v>28773420</v>
      </c>
      <c r="L14" s="16">
        <f t="shared" si="12"/>
        <v>37912861.485861376</v>
      </c>
      <c r="M14" s="16"/>
      <c r="N14" s="16"/>
      <c r="O14" s="16">
        <f t="shared" ref="O14" si="13">SUM(O10:O13)</f>
        <v>46274213.450023606</v>
      </c>
    </row>
    <row r="15" spans="1:23" ht="17.25" x14ac:dyDescent="0.4">
      <c r="A15" s="17"/>
    </row>
    <row r="16" spans="1:23" ht="18.75" x14ac:dyDescent="0.5">
      <c r="A16" s="7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9" ht="17.25" x14ac:dyDescent="0.4">
      <c r="A17" s="10" t="s">
        <v>56</v>
      </c>
      <c r="B17" s="2">
        <f>IFERROR(B10/B3*1000000,0)</f>
        <v>2301653.1851851852</v>
      </c>
      <c r="C17" s="2">
        <f t="shared" ref="C17:F17" si="14">IFERROR(C10/C3*1000000,0)</f>
        <v>2601437.3251970503</v>
      </c>
      <c r="D17" s="2">
        <f t="shared" si="14"/>
        <v>2592572.4209795068</v>
      </c>
      <c r="E17" s="2">
        <f t="shared" si="14"/>
        <v>2540190.6494206414</v>
      </c>
      <c r="F17" s="2">
        <f t="shared" si="14"/>
        <v>2411086.3270777483</v>
      </c>
      <c r="G17" s="2">
        <f t="shared" ref="G17:L17" si="15">IFERROR(G10/G3*1000000,0)</f>
        <v>0</v>
      </c>
      <c r="H17" s="2">
        <f t="shared" si="15"/>
        <v>1941191.2028725313</v>
      </c>
      <c r="I17" s="2">
        <f t="shared" si="15"/>
        <v>1896904.6061597166</v>
      </c>
      <c r="J17" s="2">
        <f t="shared" si="15"/>
        <v>1898968.401237058</v>
      </c>
      <c r="K17" s="2">
        <f t="shared" si="15"/>
        <v>2110098.8441610206</v>
      </c>
      <c r="L17" s="2">
        <f t="shared" si="15"/>
        <v>2212843.4564084592</v>
      </c>
      <c r="M17" s="2"/>
      <c r="N17" s="2"/>
      <c r="O17" s="2">
        <f>IFERROR(O10/O3*1000000,0)</f>
        <v>2574190.4018205018</v>
      </c>
    </row>
    <row r="18" spans="1:19" ht="17.25" x14ac:dyDescent="0.4">
      <c r="A18" s="10" t="s">
        <v>57</v>
      </c>
      <c r="B18" s="2">
        <f>IFERROR(B11/B4*1000000,0)</f>
        <v>10304233.1002331</v>
      </c>
      <c r="C18" s="2">
        <f t="shared" ref="C18:F18" si="16">IFERROR(C11/C4*1000000,0)</f>
        <v>11243314.917127071</v>
      </c>
      <c r="D18" s="2">
        <f t="shared" si="16"/>
        <v>11047514.705882354</v>
      </c>
      <c r="E18" s="2">
        <f t="shared" si="16"/>
        <v>11419684.84848485</v>
      </c>
      <c r="F18" s="2">
        <f t="shared" si="16"/>
        <v>10772034.482758621</v>
      </c>
      <c r="G18" s="2">
        <f t="shared" ref="G18:J18" si="17">IFERROR(G11/G4*1000000,0)</f>
        <v>0</v>
      </c>
      <c r="H18" s="2">
        <f t="shared" si="17"/>
        <v>12393683.098591549</v>
      </c>
      <c r="I18" s="2">
        <f t="shared" si="17"/>
        <v>8130991.0714285709</v>
      </c>
      <c r="J18" s="2">
        <f t="shared" si="17"/>
        <v>7664136.9294605805</v>
      </c>
      <c r="K18" s="2">
        <f t="shared" ref="K18" si="18">IFERROR(K11/K4*1000000,0)</f>
        <v>0</v>
      </c>
      <c r="L18" s="2">
        <f>E18*(1+'سود و زیان'!$W$21)</f>
        <v>13132637.575757576</v>
      </c>
      <c r="M18" s="2"/>
      <c r="N18" s="2"/>
      <c r="O18" s="2">
        <f>F18*(1+'سود و زیان'!$W$21)</f>
        <v>12387839.655172413</v>
      </c>
    </row>
    <row r="19" spans="1:19" ht="17.25" x14ac:dyDescent="0.4">
      <c r="A19" s="10" t="s">
        <v>3</v>
      </c>
      <c r="B19" s="2">
        <f>IFERROR(B12/B5*1000000,0)</f>
        <v>7449755000</v>
      </c>
      <c r="C19" s="2">
        <f t="shared" ref="C19:F19" si="19">IFERROR(C12/C5*1000000,0)</f>
        <v>3675059000</v>
      </c>
      <c r="D19" s="2">
        <f t="shared" si="19"/>
        <v>4888017000</v>
      </c>
      <c r="E19" s="2">
        <f t="shared" si="19"/>
        <v>5997708000</v>
      </c>
      <c r="F19" s="2">
        <f t="shared" si="19"/>
        <v>1822348000</v>
      </c>
      <c r="G19" s="2">
        <f t="shared" ref="G19:I19" si="20">IFERROR(G12/G5*1000000,0)</f>
        <v>0</v>
      </c>
      <c r="H19" s="2">
        <f t="shared" si="20"/>
        <v>91905714.285714284</v>
      </c>
      <c r="I19" s="2">
        <f t="shared" si="20"/>
        <v>118311800</v>
      </c>
      <c r="J19" s="2">
        <f>IFERROR(J12/J5*1000000,0)</f>
        <v>117087983.60655737</v>
      </c>
      <c r="K19" s="2">
        <f t="shared" ref="K19:K20" si="21">IFERROR(K12/K5*1000000,0)</f>
        <v>27098618.181818184</v>
      </c>
      <c r="L19" s="2">
        <f>F19*(1+'سود و زیان'!$W$21)</f>
        <v>2095700199.9999998</v>
      </c>
      <c r="M19" s="2"/>
      <c r="N19" s="2"/>
      <c r="O19" s="2">
        <f>G19*(1+'سود و زیان'!$W$21)</f>
        <v>0</v>
      </c>
    </row>
    <row r="20" spans="1:19" ht="17.25" x14ac:dyDescent="0.4">
      <c r="A20" s="60" t="s">
        <v>58</v>
      </c>
      <c r="B20" s="2">
        <f>IFERROR(B13/B6*1000000,0)</f>
        <v>3814791.4188615121</v>
      </c>
      <c r="C20" s="2">
        <f t="shared" ref="C20:F20" si="22">IFERROR(C13/C6*1000000,0)</f>
        <v>4706704.4573643412</v>
      </c>
      <c r="D20" s="2">
        <f t="shared" si="22"/>
        <v>4894407.2538860105</v>
      </c>
      <c r="E20" s="2">
        <f t="shared" si="22"/>
        <v>4698585.2660300136</v>
      </c>
      <c r="F20" s="2">
        <f t="shared" si="22"/>
        <v>4123605.4852320673</v>
      </c>
      <c r="G20" s="2">
        <f t="shared" ref="G20:J20" si="23">IFERROR(G13/G6*1000000,0)</f>
        <v>0</v>
      </c>
      <c r="H20" s="2">
        <f t="shared" si="23"/>
        <v>3867316.9659215831</v>
      </c>
      <c r="I20" s="2">
        <f t="shared" si="23"/>
        <v>2972394.7368421052</v>
      </c>
      <c r="J20" s="2">
        <f t="shared" si="23"/>
        <v>2908989.0569681367</v>
      </c>
      <c r="K20" s="2">
        <f t="shared" si="21"/>
        <v>3877646.9387755101</v>
      </c>
      <c r="L20" s="2">
        <f>IFERROR(L13/L6*1000000,0)</f>
        <v>3645080</v>
      </c>
      <c r="M20" s="2"/>
      <c r="N20" s="2"/>
      <c r="O20" s="2">
        <f>IFERROR(O13/O6*1000000,0)</f>
        <v>4407050</v>
      </c>
    </row>
    <row r="21" spans="1:19" x14ac:dyDescent="0.25">
      <c r="B21" s="4" t="s">
        <v>43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9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x14ac:dyDescent="0.25">
      <c r="B23" s="4"/>
      <c r="E23" s="4"/>
    </row>
    <row r="28" spans="1:19" ht="18.75" x14ac:dyDescent="0.5">
      <c r="A28" s="7" t="s">
        <v>73</v>
      </c>
    </row>
    <row r="29" spans="1:19" ht="17.25" x14ac:dyDescent="0.4">
      <c r="A29" s="10" t="s">
        <v>59</v>
      </c>
      <c r="B29" s="5">
        <v>3685</v>
      </c>
      <c r="C29" s="5">
        <v>1393</v>
      </c>
      <c r="D29" s="5"/>
      <c r="E29" s="5">
        <v>3224</v>
      </c>
      <c r="F29" s="5">
        <v>892</v>
      </c>
      <c r="G29" s="5"/>
      <c r="H29" s="5">
        <v>3970</v>
      </c>
      <c r="I29" s="5">
        <v>1810</v>
      </c>
      <c r="J29" s="5">
        <v>3624</v>
      </c>
      <c r="K29" s="5">
        <v>3629</v>
      </c>
      <c r="L29" s="5">
        <f>Q29*$L$3/1000</f>
        <v>3675.6982081176748</v>
      </c>
      <c r="M29" s="5"/>
      <c r="N29" s="5"/>
      <c r="O29" s="5">
        <f>Q29*$O$3/1000</f>
        <v>3695.8072135913517</v>
      </c>
      <c r="P29">
        <f>H29/H$3*1000</f>
        <v>0.50910489869197229</v>
      </c>
      <c r="Q29">
        <f t="shared" ref="Q29" si="24">I29/I$3*1000</f>
        <v>0.49332243118015812</v>
      </c>
      <c r="R29">
        <f>J29/J$3*1000</f>
        <v>0.48729326341266638</v>
      </c>
      <c r="S29">
        <f>K29/K$3*1000</f>
        <v>0.48213099508436291</v>
      </c>
    </row>
    <row r="30" spans="1:19" ht="17.25" x14ac:dyDescent="0.4">
      <c r="A30" s="10" t="s">
        <v>60</v>
      </c>
      <c r="B30" s="2">
        <v>1160</v>
      </c>
      <c r="C30" s="2">
        <v>548</v>
      </c>
      <c r="D30" s="2"/>
      <c r="E30" s="2">
        <v>1226</v>
      </c>
      <c r="F30" s="2">
        <v>63</v>
      </c>
      <c r="G30" s="2"/>
      <c r="H30" s="2">
        <v>474</v>
      </c>
      <c r="I30" s="2">
        <v>438</v>
      </c>
      <c r="J30" s="2">
        <v>878</v>
      </c>
      <c r="K30" s="2">
        <v>1184</v>
      </c>
      <c r="L30" s="5">
        <f t="shared" ref="L30:L34" si="25">Q30*$L$3/1000</f>
        <v>889.47835091466368</v>
      </c>
      <c r="M30" s="5"/>
      <c r="N30" s="5"/>
      <c r="O30" s="5">
        <f>Q30*$O$3/1000</f>
        <v>894.34450804033804</v>
      </c>
      <c r="P30">
        <f>H30/H$3*1000</f>
        <v>6.0784816619646062E-2</v>
      </c>
      <c r="Q30">
        <f t="shared" ref="Q30:Q34" si="26">I30/I$3*1000</f>
        <v>0.11937857726901062</v>
      </c>
      <c r="R30">
        <f t="shared" ref="R30:R34" si="27">J30/J$3*1000</f>
        <v>0.11805835686432702</v>
      </c>
      <c r="S30">
        <f t="shared" ref="S30:S34" si="28">K30/K$3*1000</f>
        <v>0.15730038527965989</v>
      </c>
    </row>
    <row r="31" spans="1:19" ht="17.25" x14ac:dyDescent="0.4">
      <c r="A31" s="10" t="s">
        <v>61</v>
      </c>
      <c r="B31" s="2">
        <v>179</v>
      </c>
      <c r="C31" s="2">
        <v>328</v>
      </c>
      <c r="D31" s="2"/>
      <c r="E31" s="2">
        <v>388</v>
      </c>
      <c r="F31" s="2">
        <v>22</v>
      </c>
      <c r="G31" s="2"/>
      <c r="H31" s="2">
        <v>200</v>
      </c>
      <c r="I31" s="2">
        <v>218</v>
      </c>
      <c r="J31" s="2">
        <v>437</v>
      </c>
      <c r="K31" s="2">
        <v>253</v>
      </c>
      <c r="L31" s="5">
        <f t="shared" si="25"/>
        <v>442.70840296665904</v>
      </c>
      <c r="M31" s="5"/>
      <c r="N31" s="5"/>
      <c r="O31" s="5">
        <f t="shared" ref="O31:O35" si="29">Q31*$O$3/1000</f>
        <v>445.13037158172079</v>
      </c>
      <c r="P31">
        <f t="shared" ref="P31:P35" si="30">H31/H$3*1000</f>
        <v>2.5647601949217749E-2</v>
      </c>
      <c r="Q31">
        <f t="shared" si="26"/>
        <v>5.9416734805124008E-2</v>
      </c>
      <c r="R31">
        <f t="shared" si="27"/>
        <v>5.876025279010353E-2</v>
      </c>
      <c r="S31">
        <f t="shared" si="28"/>
        <v>3.3612328949116511E-2</v>
      </c>
    </row>
    <row r="32" spans="1:19" ht="17.25" x14ac:dyDescent="0.4">
      <c r="A32" s="10" t="s">
        <v>62</v>
      </c>
      <c r="B32" s="2">
        <v>1024</v>
      </c>
      <c r="C32" s="2">
        <v>1012</v>
      </c>
      <c r="D32" s="2"/>
      <c r="E32" s="2">
        <v>1576</v>
      </c>
      <c r="F32" s="2">
        <v>576</v>
      </c>
      <c r="G32" s="2"/>
      <c r="H32" s="2">
        <v>2039</v>
      </c>
      <c r="I32" s="2">
        <v>924</v>
      </c>
      <c r="J32" s="2">
        <v>2037</v>
      </c>
      <c r="K32" s="2">
        <v>1358</v>
      </c>
      <c r="L32" s="5">
        <f t="shared" si="25"/>
        <v>1876.4337813816192</v>
      </c>
      <c r="M32" s="5"/>
      <c r="N32" s="5"/>
      <c r="O32" s="5">
        <f t="shared" si="29"/>
        <v>1886.6993731261928</v>
      </c>
      <c r="P32">
        <f t="shared" si="30"/>
        <v>0.26147730187227491</v>
      </c>
      <c r="Q32">
        <f t="shared" si="26"/>
        <v>0.25183973834832379</v>
      </c>
      <c r="R32">
        <f t="shared" si="27"/>
        <v>0.27390076643807987</v>
      </c>
      <c r="S32">
        <f t="shared" si="28"/>
        <v>0.18041716487312343</v>
      </c>
    </row>
    <row r="33" spans="1:19" ht="17.25" x14ac:dyDescent="0.4">
      <c r="A33" s="10" t="s">
        <v>63</v>
      </c>
      <c r="B33" s="2">
        <v>204</v>
      </c>
      <c r="C33" s="2">
        <v>405</v>
      </c>
      <c r="D33" s="2"/>
      <c r="E33" s="2">
        <v>866</v>
      </c>
      <c r="F33" s="2">
        <v>226</v>
      </c>
      <c r="G33" s="2"/>
      <c r="H33" s="2">
        <v>837</v>
      </c>
      <c r="I33" s="2">
        <v>98</v>
      </c>
      <c r="J33" s="2">
        <v>98</v>
      </c>
      <c r="K33" s="2">
        <v>706</v>
      </c>
      <c r="L33" s="5">
        <f t="shared" si="25"/>
        <v>199.01570408592929</v>
      </c>
      <c r="M33" s="5"/>
      <c r="N33" s="5"/>
      <c r="O33" s="5">
        <f t="shared" si="29"/>
        <v>200.10447896792951</v>
      </c>
      <c r="P33">
        <f t="shared" si="30"/>
        <v>0.10733521415747627</v>
      </c>
      <c r="Q33">
        <f t="shared" si="26"/>
        <v>2.6710275279367673E-2</v>
      </c>
      <c r="R33">
        <f t="shared" si="27"/>
        <v>1.3177356460938551E-2</v>
      </c>
      <c r="S33">
        <f t="shared" si="28"/>
        <v>9.3795668925202608E-2</v>
      </c>
    </row>
    <row r="34" spans="1:19" ht="17.25" x14ac:dyDescent="0.4">
      <c r="A34" s="10" t="s">
        <v>64</v>
      </c>
      <c r="B34" s="2">
        <v>125</v>
      </c>
      <c r="C34" s="2">
        <v>247</v>
      </c>
      <c r="D34" s="2"/>
      <c r="E34" s="2">
        <v>580</v>
      </c>
      <c r="F34" s="2">
        <v>87</v>
      </c>
      <c r="G34" s="2"/>
      <c r="H34" s="2">
        <v>251</v>
      </c>
      <c r="I34" s="2">
        <v>181</v>
      </c>
      <c r="J34" s="2">
        <v>363</v>
      </c>
      <c r="K34" s="2">
        <v>397</v>
      </c>
      <c r="L34" s="5">
        <f t="shared" si="25"/>
        <v>367.56982081176739</v>
      </c>
      <c r="M34" s="5"/>
      <c r="N34" s="5"/>
      <c r="O34" s="5">
        <f t="shared" si="29"/>
        <v>369.58072135913511</v>
      </c>
      <c r="P34">
        <f t="shared" si="30"/>
        <v>3.2187740446268272E-2</v>
      </c>
      <c r="Q34">
        <f t="shared" si="26"/>
        <v>4.9332243118015803E-2</v>
      </c>
      <c r="R34">
        <f t="shared" si="27"/>
        <v>4.8810004033884628E-2</v>
      </c>
      <c r="S34">
        <f t="shared" si="28"/>
        <v>5.2743456888534608E-2</v>
      </c>
    </row>
    <row r="35" spans="1:19" ht="17.25" x14ac:dyDescent="0.4">
      <c r="A35" s="10" t="s">
        <v>94</v>
      </c>
      <c r="B35" s="2"/>
      <c r="C35" s="2"/>
      <c r="D35" s="2"/>
      <c r="E35" s="2"/>
      <c r="F35" s="2"/>
      <c r="G35" s="2"/>
      <c r="H35" s="2">
        <v>27</v>
      </c>
      <c r="I35" s="2">
        <v>0</v>
      </c>
      <c r="J35" s="2"/>
      <c r="K35" s="2"/>
      <c r="L35" s="5">
        <f>Q35*$L$3/1000</f>
        <v>0</v>
      </c>
      <c r="M35" s="5"/>
      <c r="N35" s="5"/>
      <c r="O35" s="5">
        <f t="shared" si="29"/>
        <v>0</v>
      </c>
      <c r="P35">
        <f t="shared" si="30"/>
        <v>3.4624262631443958E-3</v>
      </c>
    </row>
    <row r="36" spans="1:19" ht="17.25" x14ac:dyDescent="0.4">
      <c r="A36" s="10" t="s">
        <v>65</v>
      </c>
      <c r="B36" s="2">
        <v>2261</v>
      </c>
      <c r="C36" s="2">
        <v>335</v>
      </c>
      <c r="D36" s="2"/>
      <c r="E36" s="2">
        <v>1103</v>
      </c>
      <c r="F36" s="2">
        <v>399</v>
      </c>
      <c r="G36" s="2"/>
      <c r="H36" s="2">
        <v>1482</v>
      </c>
      <c r="I36" s="2">
        <v>1528</v>
      </c>
      <c r="J36" s="2">
        <v>3050</v>
      </c>
      <c r="K36" s="2">
        <v>1500</v>
      </c>
      <c r="L36" s="2">
        <f>L6/1000</f>
        <v>3070.7617073113252</v>
      </c>
      <c r="M36" s="2"/>
      <c r="N36" s="2"/>
      <c r="O36" s="2">
        <f>O6/1000</f>
        <v>4185</v>
      </c>
      <c r="P36">
        <f t="shared" ref="P36:R37" si="31">J36/J6*1000</f>
        <v>0.98165432893466353</v>
      </c>
      <c r="Q36">
        <f t="shared" si="31"/>
        <v>0.51020408163265307</v>
      </c>
      <c r="R36">
        <f t="shared" si="31"/>
        <v>1</v>
      </c>
      <c r="S36" t="e">
        <f t="shared" ref="S36" si="32">P36/P6*1000</f>
        <v>#DIV/0!</v>
      </c>
    </row>
    <row r="37" spans="1:19" ht="17.25" x14ac:dyDescent="0.4">
      <c r="A37" s="10" t="s">
        <v>66</v>
      </c>
      <c r="B37" s="2">
        <v>93</v>
      </c>
      <c r="C37" s="2">
        <v>697</v>
      </c>
      <c r="D37" s="2"/>
      <c r="E37" s="2">
        <v>1829</v>
      </c>
      <c r="F37" s="2">
        <v>549</v>
      </c>
      <c r="G37" s="2"/>
      <c r="H37" s="2">
        <v>1247</v>
      </c>
      <c r="I37" s="2">
        <v>30</v>
      </c>
      <c r="J37" s="2">
        <v>57</v>
      </c>
      <c r="K37" s="2">
        <v>1440</v>
      </c>
      <c r="L37" s="2"/>
      <c r="M37" s="2"/>
      <c r="N37" s="2"/>
      <c r="O37" s="2"/>
      <c r="P37">
        <f t="shared" si="31"/>
        <v>5.2553936935275684E-3</v>
      </c>
      <c r="Q37">
        <f t="shared" si="31"/>
        <v>0.13685611100551226</v>
      </c>
      <c r="R37">
        <f t="shared" si="31"/>
        <v>0</v>
      </c>
      <c r="S37" t="e">
        <f t="shared" ref="S37" si="33">P37/P7*1000</f>
        <v>#DIV/0!</v>
      </c>
    </row>
    <row r="38" spans="1:19" ht="17.25" x14ac:dyDescent="0.4">
      <c r="A38" s="10" t="s">
        <v>67</v>
      </c>
      <c r="B38" s="2">
        <v>429</v>
      </c>
      <c r="C38" s="2">
        <v>0</v>
      </c>
      <c r="D38" s="2"/>
      <c r="E38" s="2"/>
      <c r="F38" s="2">
        <v>58</v>
      </c>
      <c r="G38" s="2"/>
      <c r="H38" s="2">
        <v>0</v>
      </c>
      <c r="I38" s="2">
        <v>0</v>
      </c>
      <c r="J38" s="2">
        <v>0</v>
      </c>
      <c r="K38" s="2">
        <v>238</v>
      </c>
      <c r="L38" s="2"/>
      <c r="M38" s="2"/>
      <c r="N38" s="2"/>
      <c r="O38" s="2"/>
    </row>
    <row r="39" spans="1:19" ht="17.25" x14ac:dyDescent="0.4">
      <c r="A39" s="10" t="s">
        <v>57</v>
      </c>
      <c r="B39" s="2">
        <v>367</v>
      </c>
      <c r="C39" s="2">
        <v>176</v>
      </c>
      <c r="D39" s="2"/>
      <c r="E39" s="2">
        <v>330</v>
      </c>
      <c r="F39" s="2">
        <v>1</v>
      </c>
      <c r="G39" s="2"/>
      <c r="H39" s="2">
        <v>142</v>
      </c>
      <c r="I39" s="2">
        <v>112</v>
      </c>
      <c r="J39" s="2">
        <v>241</v>
      </c>
      <c r="K39" s="2">
        <v>0</v>
      </c>
      <c r="L39" s="2">
        <f>L4/1000</f>
        <v>233.02093658490602</v>
      </c>
      <c r="M39" s="2"/>
      <c r="N39" s="2"/>
      <c r="O39" s="2">
        <f>O4/1000</f>
        <v>248</v>
      </c>
    </row>
    <row r="40" spans="1:19" ht="17.25" x14ac:dyDescent="0.4">
      <c r="A40" s="10" t="s">
        <v>68</v>
      </c>
      <c r="B40" s="2">
        <v>53</v>
      </c>
      <c r="C40" s="2">
        <v>5</v>
      </c>
      <c r="D40" s="2"/>
      <c r="E40" s="2">
        <v>68</v>
      </c>
      <c r="F40" s="2">
        <v>1</v>
      </c>
      <c r="G40" s="2"/>
      <c r="H40" s="2">
        <v>0</v>
      </c>
      <c r="I40" s="2">
        <v>0</v>
      </c>
      <c r="J40" s="2">
        <v>0</v>
      </c>
      <c r="K40" s="2">
        <v>0</v>
      </c>
      <c r="L40" s="2"/>
      <c r="M40" s="2"/>
      <c r="N40" s="2"/>
      <c r="O40" s="2"/>
    </row>
    <row r="41" spans="1:19" ht="17.25" x14ac:dyDescent="0.4">
      <c r="A41" s="10" t="s">
        <v>69</v>
      </c>
      <c r="B41" s="2">
        <v>52</v>
      </c>
      <c r="C41" s="2">
        <v>66</v>
      </c>
      <c r="D41" s="2"/>
      <c r="E41" s="2">
        <v>85</v>
      </c>
      <c r="F41" s="2">
        <v>16</v>
      </c>
      <c r="G41" s="2"/>
      <c r="H41" s="2">
        <v>0</v>
      </c>
      <c r="I41" s="2">
        <v>0</v>
      </c>
      <c r="J41" s="2">
        <v>0</v>
      </c>
      <c r="K41" s="2">
        <v>55</v>
      </c>
      <c r="L41" s="2"/>
      <c r="M41" s="2"/>
      <c r="N41" s="2"/>
      <c r="O41" s="2"/>
    </row>
    <row r="42" spans="1:19" ht="17.25" x14ac:dyDescent="0.4">
      <c r="A42" s="10" t="s">
        <v>70</v>
      </c>
      <c r="B42" s="2"/>
      <c r="C42" s="2">
        <v>75</v>
      </c>
      <c r="D42" s="2"/>
      <c r="E42" s="2">
        <v>54</v>
      </c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</row>
    <row r="43" spans="1:19" ht="17.25" x14ac:dyDescent="0.4">
      <c r="A43" s="10" t="s">
        <v>72</v>
      </c>
      <c r="B43" s="2"/>
      <c r="C43" s="2">
        <v>26</v>
      </c>
      <c r="D43" s="2"/>
      <c r="E43" s="2"/>
      <c r="F43" s="2"/>
      <c r="G43" s="2"/>
      <c r="H43" s="2">
        <v>55</v>
      </c>
      <c r="I43" s="2">
        <v>30</v>
      </c>
      <c r="J43" s="2">
        <v>61</v>
      </c>
      <c r="K43" s="2"/>
      <c r="L43" s="2">
        <f>L5/1000</f>
        <v>60.255234146226506</v>
      </c>
      <c r="M43" s="2"/>
      <c r="N43" s="2"/>
      <c r="O43" s="2">
        <f>O5/1000</f>
        <v>27</v>
      </c>
    </row>
    <row r="44" spans="1:19" ht="17.25" x14ac:dyDescent="0.4">
      <c r="A44" s="53" t="s">
        <v>71</v>
      </c>
      <c r="B44" s="54">
        <f>SUM(B29:B43)</f>
        <v>9632</v>
      </c>
      <c r="C44" s="54">
        <f>SUM(C29:C43)</f>
        <v>5313</v>
      </c>
      <c r="D44" s="54">
        <f>SUM(D29:D43)</f>
        <v>0</v>
      </c>
      <c r="E44" s="54">
        <f>SUM(E29:E43)</f>
        <v>11329</v>
      </c>
      <c r="F44" s="54">
        <f>SUM(F29:F43)</f>
        <v>2890</v>
      </c>
      <c r="G44" s="54"/>
      <c r="H44" s="54">
        <f>SUM(H29:H43)</f>
        <v>10725</v>
      </c>
      <c r="I44" s="54">
        <f t="shared" ref="I44:L44" si="34">SUM(I29:I43)</f>
        <v>5369</v>
      </c>
      <c r="J44" s="54">
        <f t="shared" si="34"/>
        <v>10846</v>
      </c>
      <c r="K44" s="54">
        <f t="shared" si="34"/>
        <v>10760</v>
      </c>
      <c r="L44" s="54">
        <f t="shared" si="34"/>
        <v>10814.942146320773</v>
      </c>
      <c r="M44" s="54"/>
      <c r="N44" s="54"/>
      <c r="O44" s="54">
        <f t="shared" ref="O44" si="35">SUM(O29:O43)</f>
        <v>11951.666666666668</v>
      </c>
    </row>
    <row r="47" spans="1:19" ht="18.75" x14ac:dyDescent="0.5">
      <c r="A47" s="7" t="s">
        <v>9</v>
      </c>
    </row>
    <row r="48" spans="1:19" ht="17.25" x14ac:dyDescent="0.4">
      <c r="A48" s="10" t="s">
        <v>59</v>
      </c>
      <c r="B48" s="5">
        <v>9008680</v>
      </c>
      <c r="C48" s="5">
        <v>3908376</v>
      </c>
      <c r="D48" s="5"/>
      <c r="E48" s="5">
        <v>7883119</v>
      </c>
      <c r="F48" s="5">
        <v>2187374</v>
      </c>
      <c r="G48" s="5"/>
      <c r="H48" s="5">
        <v>7607145</v>
      </c>
      <c r="I48" s="5">
        <v>3408635</v>
      </c>
      <c r="J48" s="5">
        <v>6957878</v>
      </c>
      <c r="K48" s="5">
        <v>7670752</v>
      </c>
      <c r="L48" s="5">
        <f>L68*L29/1000</f>
        <v>7961033.0182409147</v>
      </c>
      <c r="M48" s="5"/>
      <c r="N48" s="5"/>
      <c r="O48" s="5">
        <f>O68*O29/1000</f>
        <v>9272410.7181793414</v>
      </c>
    </row>
    <row r="49" spans="1:15" ht="17.25" x14ac:dyDescent="0.4">
      <c r="A49" s="10" t="s">
        <v>60</v>
      </c>
      <c r="B49" s="2">
        <v>2812727</v>
      </c>
      <c r="C49" s="2">
        <v>1382583</v>
      </c>
      <c r="D49" s="2"/>
      <c r="E49" s="2">
        <v>2973596</v>
      </c>
      <c r="F49" s="2">
        <v>152228</v>
      </c>
      <c r="G49" s="2"/>
      <c r="H49" s="2">
        <v>1115230</v>
      </c>
      <c r="I49" s="2">
        <v>896190</v>
      </c>
      <c r="J49" s="2">
        <v>1692108</v>
      </c>
      <c r="K49" s="2">
        <v>2534308</v>
      </c>
      <c r="L49" s="5">
        <f t="shared" ref="L49:O61" si="36">L69*L30/1000</f>
        <v>2202220.3119821753</v>
      </c>
      <c r="M49" s="5"/>
      <c r="N49" s="5"/>
      <c r="O49" s="5">
        <f t="shared" si="36"/>
        <v>2562654.7533387849</v>
      </c>
    </row>
    <row r="50" spans="1:15" ht="17.25" x14ac:dyDescent="0.4">
      <c r="A50" s="10" t="s">
        <v>61</v>
      </c>
      <c r="B50" s="2">
        <v>382585</v>
      </c>
      <c r="C50" s="2">
        <v>767593</v>
      </c>
      <c r="D50" s="2"/>
      <c r="E50" s="2">
        <v>855263</v>
      </c>
      <c r="F50" s="2">
        <v>49389</v>
      </c>
      <c r="G50" s="2"/>
      <c r="H50" s="2">
        <v>418436</v>
      </c>
      <c r="I50" s="2">
        <v>438444</v>
      </c>
      <c r="J50" s="2">
        <v>848857</v>
      </c>
      <c r="K50" s="2">
        <v>551666</v>
      </c>
      <c r="L50" s="5">
        <f t="shared" si="36"/>
        <v>1077394.6177336422</v>
      </c>
      <c r="M50" s="5"/>
      <c r="N50" s="5"/>
      <c r="O50" s="5">
        <f t="shared" si="36"/>
        <v>1285559.0163118038</v>
      </c>
    </row>
    <row r="51" spans="1:15" ht="17.25" x14ac:dyDescent="0.4">
      <c r="A51" s="10" t="s">
        <v>62</v>
      </c>
      <c r="B51" s="2">
        <v>2482909</v>
      </c>
      <c r="C51" s="2">
        <v>2446929</v>
      </c>
      <c r="D51" s="2"/>
      <c r="E51" s="2">
        <v>3717203</v>
      </c>
      <c r="F51" s="2">
        <v>1296110</v>
      </c>
      <c r="G51" s="2"/>
      <c r="H51" s="2">
        <v>3674628</v>
      </c>
      <c r="I51" s="2">
        <v>1638692</v>
      </c>
      <c r="J51" s="2">
        <v>3680480</v>
      </c>
      <c r="K51" s="2">
        <v>2804253</v>
      </c>
      <c r="L51" s="5">
        <f t="shared" si="36"/>
        <v>3827244.9583857576</v>
      </c>
      <c r="M51" s="5"/>
      <c r="N51" s="5"/>
      <c r="O51" s="5">
        <f t="shared" si="36"/>
        <v>4454622.1193973171</v>
      </c>
    </row>
    <row r="52" spans="1:15" ht="17.25" x14ac:dyDescent="0.4">
      <c r="A52" s="10" t="s">
        <v>63</v>
      </c>
      <c r="B52" s="2">
        <v>458377</v>
      </c>
      <c r="C52" s="2">
        <v>1002797</v>
      </c>
      <c r="D52" s="2"/>
      <c r="E52" s="2">
        <v>1917809</v>
      </c>
      <c r="F52" s="2">
        <v>530133</v>
      </c>
      <c r="G52" s="2"/>
      <c r="H52" s="2">
        <v>1585955</v>
      </c>
      <c r="I52" s="2">
        <v>185138</v>
      </c>
      <c r="J52" s="2">
        <v>185138</v>
      </c>
      <c r="K52" s="2">
        <v>1369396</v>
      </c>
      <c r="L52" s="5">
        <f t="shared" si="36"/>
        <v>454942.21551206324</v>
      </c>
      <c r="M52" s="5"/>
      <c r="N52" s="5"/>
      <c r="O52" s="5">
        <f t="shared" si="36"/>
        <v>562053.93860692868</v>
      </c>
    </row>
    <row r="53" spans="1:15" ht="17.25" x14ac:dyDescent="0.4">
      <c r="A53" s="10" t="s">
        <v>64</v>
      </c>
      <c r="B53" s="2">
        <v>390881</v>
      </c>
      <c r="C53" s="2">
        <v>723175</v>
      </c>
      <c r="D53" s="2"/>
      <c r="E53" s="2">
        <v>1503893</v>
      </c>
      <c r="F53" s="2">
        <v>281442</v>
      </c>
      <c r="G53" s="2"/>
      <c r="H53" s="2">
        <v>670259</v>
      </c>
      <c r="I53" s="2">
        <v>392644</v>
      </c>
      <c r="J53" s="2">
        <v>758167</v>
      </c>
      <c r="K53" s="2">
        <v>952339</v>
      </c>
      <c r="L53" s="5">
        <f t="shared" si="36"/>
        <v>964849.6325309691</v>
      </c>
      <c r="M53" s="5"/>
      <c r="N53" s="5"/>
      <c r="O53" s="5">
        <f t="shared" si="36"/>
        <v>1147675.8811377557</v>
      </c>
    </row>
    <row r="54" spans="1:15" ht="17.25" x14ac:dyDescent="0.4">
      <c r="A54" s="10"/>
      <c r="B54" s="2"/>
      <c r="C54" s="2"/>
      <c r="D54" s="2"/>
      <c r="E54" s="2">
        <v>0</v>
      </c>
      <c r="F54" s="2"/>
      <c r="G54" s="2"/>
      <c r="H54" s="2">
        <v>65756</v>
      </c>
      <c r="I54" s="2">
        <v>0</v>
      </c>
      <c r="J54" s="2"/>
      <c r="K54" s="2"/>
      <c r="L54" s="5">
        <f t="shared" si="36"/>
        <v>0</v>
      </c>
      <c r="M54" s="5"/>
      <c r="N54" s="5"/>
      <c r="O54" s="5">
        <f t="shared" si="36"/>
        <v>0</v>
      </c>
    </row>
    <row r="55" spans="1:15" ht="17.25" x14ac:dyDescent="0.4">
      <c r="A55" s="10" t="s">
        <v>65</v>
      </c>
      <c r="B55" s="2">
        <v>8419607</v>
      </c>
      <c r="C55" s="2">
        <v>1421556</v>
      </c>
      <c r="D55" s="2"/>
      <c r="E55" s="2">
        <v>4213088</v>
      </c>
      <c r="F55" s="2">
        <v>1251186</v>
      </c>
      <c r="G55" s="2"/>
      <c r="H55" s="2">
        <v>4260967</v>
      </c>
      <c r="I55" s="2">
        <v>4482275</v>
      </c>
      <c r="J55" s="2">
        <v>8756758</v>
      </c>
      <c r="K55" s="2">
        <v>4311296</v>
      </c>
      <c r="L55" s="5">
        <f>L75*L36/1000</f>
        <v>11193172.084086366</v>
      </c>
      <c r="M55" s="5"/>
      <c r="N55" s="5"/>
      <c r="O55" s="5">
        <f>O75*O36/1000</f>
        <v>18443504.25</v>
      </c>
    </row>
    <row r="56" spans="1:15" ht="17.25" x14ac:dyDescent="0.4">
      <c r="A56" s="10" t="s">
        <v>66</v>
      </c>
      <c r="B56" s="2">
        <v>560412</v>
      </c>
      <c r="C56" s="2">
        <v>3435763</v>
      </c>
      <c r="D56" s="2"/>
      <c r="E56" s="2">
        <v>9563164</v>
      </c>
      <c r="F56" s="2">
        <v>2657992</v>
      </c>
      <c r="G56" s="2"/>
      <c r="H56" s="2">
        <v>6292941</v>
      </c>
      <c r="I56" s="2">
        <v>148716</v>
      </c>
      <c r="J56" s="2">
        <v>281471</v>
      </c>
      <c r="K56" s="2">
        <v>7088986</v>
      </c>
      <c r="L56" s="5">
        <f>L76*L37/1000</f>
        <v>0</v>
      </c>
      <c r="M56" s="5"/>
      <c r="N56" s="5"/>
      <c r="O56" s="5">
        <f>O76*O37/1000</f>
        <v>0</v>
      </c>
    </row>
    <row r="57" spans="1:15" ht="17.25" x14ac:dyDescent="0.4">
      <c r="A57" s="10" t="s">
        <v>67</v>
      </c>
      <c r="B57" s="2">
        <v>4420516</v>
      </c>
      <c r="C57" s="2">
        <v>0</v>
      </c>
      <c r="D57" s="2"/>
      <c r="E57" s="2"/>
      <c r="F57" s="2">
        <v>624778</v>
      </c>
      <c r="G57" s="2"/>
      <c r="H57" s="2"/>
      <c r="I57" s="2">
        <v>0</v>
      </c>
      <c r="J57" s="2"/>
      <c r="K57" s="2">
        <v>2340273</v>
      </c>
      <c r="L57" s="5">
        <f t="shared" si="36"/>
        <v>0</v>
      </c>
      <c r="M57" s="5"/>
      <c r="N57" s="5"/>
      <c r="O57" s="5">
        <f t="shared" si="36"/>
        <v>0</v>
      </c>
    </row>
    <row r="58" spans="1:15" ht="17.25" x14ac:dyDescent="0.4">
      <c r="A58" s="10" t="s">
        <v>57</v>
      </c>
      <c r="B58" s="2">
        <v>2920438</v>
      </c>
      <c r="C58" s="2">
        <v>1965374</v>
      </c>
      <c r="D58" s="2"/>
      <c r="E58" s="2">
        <v>3768496</v>
      </c>
      <c r="F58" s="2"/>
      <c r="G58" s="2"/>
      <c r="H58" s="2">
        <v>1759903</v>
      </c>
      <c r="I58" s="2">
        <v>910671</v>
      </c>
      <c r="J58" s="2">
        <v>1847057</v>
      </c>
      <c r="K58" s="2"/>
      <c r="L58" s="5">
        <f t="shared" si="36"/>
        <v>1894691.1548277943</v>
      </c>
      <c r="M58" s="5"/>
      <c r="N58" s="5"/>
      <c r="O58" s="5">
        <f t="shared" si="36"/>
        <v>1900705.9585062242</v>
      </c>
    </row>
    <row r="59" spans="1:15" ht="17.25" x14ac:dyDescent="0.4">
      <c r="A59" s="10" t="s">
        <v>68</v>
      </c>
      <c r="B59" s="2">
        <v>469685</v>
      </c>
      <c r="C59" s="2">
        <v>69666</v>
      </c>
      <c r="D59" s="2"/>
      <c r="E59" s="2"/>
      <c r="F59" s="2">
        <v>9282</v>
      </c>
      <c r="G59" s="2"/>
      <c r="H59" s="2"/>
      <c r="I59" s="2"/>
      <c r="J59" s="2"/>
      <c r="K59" s="2"/>
      <c r="L59" s="5">
        <f t="shared" si="36"/>
        <v>0</v>
      </c>
      <c r="M59" s="5"/>
      <c r="N59" s="5"/>
      <c r="O59" s="5">
        <f t="shared" si="36"/>
        <v>0</v>
      </c>
    </row>
    <row r="60" spans="1:15" ht="17.25" x14ac:dyDescent="0.4">
      <c r="A60" s="10" t="s">
        <v>69</v>
      </c>
      <c r="B60" s="2">
        <v>2697283</v>
      </c>
      <c r="C60" s="2">
        <v>555647</v>
      </c>
      <c r="D60" s="2"/>
      <c r="E60" s="2">
        <v>577396</v>
      </c>
      <c r="F60" s="2">
        <v>784112</v>
      </c>
      <c r="G60" s="2"/>
      <c r="H60" s="2"/>
      <c r="I60" s="2"/>
      <c r="J60" s="2"/>
      <c r="K60" s="2">
        <v>2924019</v>
      </c>
      <c r="L60" s="5">
        <f t="shared" si="36"/>
        <v>0</v>
      </c>
      <c r="M60" s="5"/>
      <c r="N60" s="5"/>
      <c r="O60" s="5">
        <f t="shared" si="36"/>
        <v>0</v>
      </c>
    </row>
    <row r="61" spans="1:15" ht="17.25" x14ac:dyDescent="0.4">
      <c r="A61" s="10" t="s">
        <v>70</v>
      </c>
      <c r="B61" s="2">
        <v>1362356</v>
      </c>
      <c r="C61" s="2">
        <v>1086799</v>
      </c>
      <c r="D61" s="2"/>
      <c r="E61" s="2">
        <v>1229701</v>
      </c>
      <c r="F61" s="2">
        <v>1028954</v>
      </c>
      <c r="G61" s="2"/>
      <c r="H61" s="2">
        <v>9332</v>
      </c>
      <c r="I61" s="2"/>
      <c r="J61" s="2">
        <v>0</v>
      </c>
      <c r="K61" s="2">
        <v>1490424</v>
      </c>
      <c r="L61" s="5">
        <f t="shared" si="36"/>
        <v>0</v>
      </c>
      <c r="M61" s="5"/>
      <c r="N61" s="5"/>
      <c r="O61" s="5">
        <f t="shared" si="36"/>
        <v>0</v>
      </c>
    </row>
    <row r="62" spans="1:15" ht="17.25" x14ac:dyDescent="0.4">
      <c r="A62" s="10" t="s">
        <v>72</v>
      </c>
      <c r="B62" s="2"/>
      <c r="C62" s="2">
        <v>1334231</v>
      </c>
      <c r="D62" s="2"/>
      <c r="E62" s="2">
        <v>2780186</v>
      </c>
      <c r="F62" s="2"/>
      <c r="G62" s="2"/>
      <c r="H62" s="2">
        <v>2913286</v>
      </c>
      <c r="I62" s="2">
        <v>1699080</v>
      </c>
      <c r="J62" s="2">
        <v>3273363</v>
      </c>
      <c r="K62" s="2"/>
      <c r="L62" s="5">
        <f>L82*L43/1000</f>
        <v>4468309.4925616924</v>
      </c>
      <c r="M62" s="5"/>
      <c r="N62" s="5"/>
      <c r="O62" s="5">
        <f>O82*O43/1000</f>
        <v>2002222.0145454544</v>
      </c>
    </row>
    <row r="63" spans="1:15" ht="17.25" x14ac:dyDescent="0.4">
      <c r="A63" s="10" t="s">
        <v>3</v>
      </c>
      <c r="B63" s="2"/>
      <c r="C63" s="2"/>
      <c r="D63" s="2"/>
      <c r="E63" s="2">
        <v>1418858</v>
      </c>
      <c r="F63" s="2"/>
      <c r="G63" s="2"/>
      <c r="H63" s="2">
        <v>2224102</v>
      </c>
      <c r="I63" s="2">
        <v>1850274</v>
      </c>
      <c r="J63" s="2">
        <v>3869004</v>
      </c>
      <c r="K63" s="2"/>
      <c r="L63" s="5">
        <f>J63</f>
        <v>3869004</v>
      </c>
      <c r="M63" s="5"/>
      <c r="N63" s="5"/>
      <c r="O63" s="5">
        <f>L63*1.2</f>
        <v>4642804.8</v>
      </c>
    </row>
    <row r="64" spans="1:15" ht="17.25" x14ac:dyDescent="0.4">
      <c r="A64" s="53" t="s">
        <v>71</v>
      </c>
      <c r="B64" s="54">
        <f>SUM(B48:B62)</f>
        <v>36386456</v>
      </c>
      <c r="C64" s="54">
        <f t="shared" ref="C64:K64" si="37">SUM(C48:C62)</f>
        <v>20100489</v>
      </c>
      <c r="D64" s="54">
        <f t="shared" si="37"/>
        <v>0</v>
      </c>
      <c r="E64" s="54">
        <f>SUM(E48:E63)</f>
        <v>42401772</v>
      </c>
      <c r="F64" s="54">
        <f t="shared" si="37"/>
        <v>10852980</v>
      </c>
      <c r="G64" s="54"/>
      <c r="H64" s="54">
        <f>SUM(H48:H63)</f>
        <v>32597940</v>
      </c>
      <c r="I64" s="54">
        <f t="shared" ref="I64:J64" si="38">SUM(I48:I63)</f>
        <v>16050759</v>
      </c>
      <c r="J64" s="54">
        <f t="shared" si="38"/>
        <v>32150281</v>
      </c>
      <c r="K64" s="54">
        <f t="shared" si="37"/>
        <v>34037712</v>
      </c>
      <c r="L64" s="54">
        <f>SUM(L48:L63)</f>
        <v>37912861.485861376</v>
      </c>
      <c r="M64" s="54"/>
      <c r="N64" s="54"/>
      <c r="O64" s="54">
        <f>SUM(O48:O63)</f>
        <v>46274213.450023606</v>
      </c>
    </row>
    <row r="67" spans="1:15" ht="18.75" x14ac:dyDescent="0.5">
      <c r="A67" s="7" t="s">
        <v>11</v>
      </c>
      <c r="I67" s="13">
        <f>I69-1370000</f>
        <v>676095.89041095879</v>
      </c>
    </row>
    <row r="68" spans="1:15" ht="17.25" x14ac:dyDescent="0.4">
      <c r="A68" s="10" t="s">
        <v>59</v>
      </c>
      <c r="B68" s="5">
        <f t="shared" ref="B68:F73" si="39">IFERROR(B48/B29*1000,0)</f>
        <v>2444689.280868385</v>
      </c>
      <c r="C68" s="5">
        <f t="shared" si="39"/>
        <v>2805725.7717157211</v>
      </c>
      <c r="D68" s="5">
        <f t="shared" si="39"/>
        <v>0</v>
      </c>
      <c r="E68" s="5">
        <f t="shared" si="39"/>
        <v>2445136.1662531015</v>
      </c>
      <c r="F68" s="5">
        <f t="shared" si="39"/>
        <v>2452213.0044843047</v>
      </c>
      <c r="G68" s="5">
        <f t="shared" ref="G68:K68" si="40">IFERROR(G48/G29*1000,0)</f>
        <v>0</v>
      </c>
      <c r="H68" s="5">
        <f t="shared" si="40"/>
        <v>1916157.4307304786</v>
      </c>
      <c r="I68" s="5">
        <f t="shared" si="40"/>
        <v>1883223.7569060773</v>
      </c>
      <c r="J68" s="5">
        <f t="shared" si="40"/>
        <v>1919944.2604856512</v>
      </c>
      <c r="K68" s="5">
        <f t="shared" si="40"/>
        <v>2113737.1176632685</v>
      </c>
      <c r="L68" s="5">
        <f>'سود و زیان'!W20+'سود و زیان'!W17</f>
        <v>2165856</v>
      </c>
      <c r="M68" s="5"/>
      <c r="N68" s="5"/>
      <c r="O68" s="5">
        <f>'سود و زیان'!X20+'سود و زیان'!X17</f>
        <v>2508900</v>
      </c>
    </row>
    <row r="69" spans="1:15" ht="17.25" x14ac:dyDescent="0.4">
      <c r="A69" s="10" t="s">
        <v>60</v>
      </c>
      <c r="B69" s="2">
        <f t="shared" si="39"/>
        <v>2424764.6551724137</v>
      </c>
      <c r="C69" s="2">
        <f t="shared" si="39"/>
        <v>2522961.678832117</v>
      </c>
      <c r="D69" s="2">
        <f t="shared" si="39"/>
        <v>0</v>
      </c>
      <c r="E69" s="2">
        <f t="shared" si="39"/>
        <v>2425445.3507340946</v>
      </c>
      <c r="F69" s="2">
        <f t="shared" si="39"/>
        <v>2416317.4603174604</v>
      </c>
      <c r="G69" s="2">
        <f t="shared" ref="G69:K69" si="41">IFERROR(G49/G30*1000,0)</f>
        <v>0</v>
      </c>
      <c r="H69" s="2">
        <f t="shared" si="41"/>
        <v>2352805.9071729956</v>
      </c>
      <c r="I69" s="2">
        <f t="shared" si="41"/>
        <v>2046095.8904109588</v>
      </c>
      <c r="J69" s="2">
        <f t="shared" si="41"/>
        <v>1927230.0683371297</v>
      </c>
      <c r="K69" s="2">
        <f t="shared" si="41"/>
        <v>2140462.8378378381</v>
      </c>
      <c r="L69" s="5">
        <f>'سود و زیان'!W20+'سود و زیان'!W16</f>
        <v>2475856</v>
      </c>
      <c r="M69" s="5"/>
      <c r="N69" s="5"/>
      <c r="O69" s="5">
        <f>'سود و زیان'!X20+'سود و زیان'!X16</f>
        <v>2865400</v>
      </c>
    </row>
    <row r="70" spans="1:15" ht="17.25" x14ac:dyDescent="0.4">
      <c r="A70" s="10" t="s">
        <v>61</v>
      </c>
      <c r="B70" s="2">
        <f t="shared" si="39"/>
        <v>2137346.3687150837</v>
      </c>
      <c r="C70" s="2">
        <f t="shared" si="39"/>
        <v>2340222.5609756098</v>
      </c>
      <c r="D70" s="2">
        <f t="shared" si="39"/>
        <v>0</v>
      </c>
      <c r="E70" s="2">
        <f t="shared" si="39"/>
        <v>2204286.0824742271</v>
      </c>
      <c r="F70" s="2">
        <f t="shared" si="39"/>
        <v>2244954.5454545454</v>
      </c>
      <c r="G70" s="2">
        <f t="shared" ref="G70:K70" si="42">IFERROR(G50/G31*1000,0)</f>
        <v>0</v>
      </c>
      <c r="H70" s="2">
        <f t="shared" si="42"/>
        <v>2092179.9999999998</v>
      </c>
      <c r="I70" s="2">
        <f t="shared" si="42"/>
        <v>2011211.009174312</v>
      </c>
      <c r="J70" s="2">
        <f t="shared" si="42"/>
        <v>1942464.5308924485</v>
      </c>
      <c r="K70" s="2">
        <f t="shared" si="42"/>
        <v>2180498.023715415</v>
      </c>
      <c r="L70" s="5">
        <f>I70/I69*L69</f>
        <v>2433643.930211965</v>
      </c>
      <c r="M70" s="5"/>
      <c r="N70" s="5"/>
      <c r="O70" s="5">
        <f>J70/J69*O69</f>
        <v>2888050.5541415075</v>
      </c>
    </row>
    <row r="71" spans="1:15" ht="17.25" x14ac:dyDescent="0.4">
      <c r="A71" s="10" t="s">
        <v>62</v>
      </c>
      <c r="B71" s="2">
        <f t="shared" si="39"/>
        <v>2424715.8203125</v>
      </c>
      <c r="C71" s="2">
        <f t="shared" si="39"/>
        <v>2417914.0316205537</v>
      </c>
      <c r="D71" s="2">
        <f t="shared" si="39"/>
        <v>0</v>
      </c>
      <c r="E71" s="2">
        <f t="shared" si="39"/>
        <v>2358631.3451776649</v>
      </c>
      <c r="F71" s="2">
        <f t="shared" si="39"/>
        <v>2250190.972222222</v>
      </c>
      <c r="G71" s="2">
        <f t="shared" ref="G71:K71" si="43">IFERROR(G51/G32*1000,0)</f>
        <v>0</v>
      </c>
      <c r="H71" s="2">
        <f t="shared" si="43"/>
        <v>1802171.6527709661</v>
      </c>
      <c r="I71" s="2">
        <f t="shared" si="43"/>
        <v>1773476.1904761903</v>
      </c>
      <c r="J71" s="2">
        <f t="shared" si="43"/>
        <v>1806813.9420716742</v>
      </c>
      <c r="K71" s="2">
        <f t="shared" si="43"/>
        <v>2064987.4815905746</v>
      </c>
      <c r="L71" s="5">
        <f>I71/I68*L68</f>
        <v>2039637.6340910655</v>
      </c>
      <c r="M71" s="5"/>
      <c r="N71" s="5"/>
      <c r="O71" s="5">
        <f>J71/J68*O68</f>
        <v>2361066.1999723725</v>
      </c>
    </row>
    <row r="72" spans="1:15" ht="17.25" x14ac:dyDescent="0.4">
      <c r="A72" s="10" t="s">
        <v>63</v>
      </c>
      <c r="B72" s="2">
        <f t="shared" si="39"/>
        <v>2246946.0784313725</v>
      </c>
      <c r="C72" s="2">
        <f t="shared" si="39"/>
        <v>2476041.9753086423</v>
      </c>
      <c r="D72" s="2">
        <f t="shared" si="39"/>
        <v>0</v>
      </c>
      <c r="E72" s="2">
        <f t="shared" si="39"/>
        <v>2214560.0461893766</v>
      </c>
      <c r="F72" s="2">
        <f t="shared" si="39"/>
        <v>2345721.2389380531</v>
      </c>
      <c r="G72" s="2">
        <f t="shared" ref="G72:K72" si="44">IFERROR(G52/G33*1000,0)</f>
        <v>0</v>
      </c>
      <c r="H72" s="2">
        <f t="shared" si="44"/>
        <v>1894808.8410991635</v>
      </c>
      <c r="I72" s="2">
        <f t="shared" si="44"/>
        <v>1889163.2653061224</v>
      </c>
      <c r="J72" s="2">
        <f t="shared" si="44"/>
        <v>1889163.2653061224</v>
      </c>
      <c r="K72" s="2">
        <f t="shared" si="44"/>
        <v>1939654.3909348443</v>
      </c>
      <c r="L72" s="5">
        <f>I72/I69*L69</f>
        <v>2285961.3898390261</v>
      </c>
      <c r="M72" s="5"/>
      <c r="N72" s="5"/>
      <c r="O72" s="5">
        <f>J72/J69*O69</f>
        <v>2808802.3891609563</v>
      </c>
    </row>
    <row r="73" spans="1:15" ht="17.25" x14ac:dyDescent="0.4">
      <c r="A73" s="10" t="s">
        <v>64</v>
      </c>
      <c r="B73" s="2">
        <f t="shared" si="39"/>
        <v>3127048</v>
      </c>
      <c r="C73" s="2">
        <f t="shared" si="39"/>
        <v>2927834.0080971662</v>
      </c>
      <c r="D73" s="2">
        <f t="shared" si="39"/>
        <v>0</v>
      </c>
      <c r="E73" s="2">
        <f t="shared" si="39"/>
        <v>2592918.9655172415</v>
      </c>
      <c r="F73" s="2">
        <f t="shared" si="39"/>
        <v>3234965.5172413797</v>
      </c>
      <c r="G73" s="2">
        <f t="shared" ref="G73:K73" si="45">IFERROR(G53/G34*1000,0)</f>
        <v>0</v>
      </c>
      <c r="H73" s="2">
        <f t="shared" si="45"/>
        <v>2670354.5816733069</v>
      </c>
      <c r="I73" s="2">
        <f t="shared" si="45"/>
        <v>2169303.8674033149</v>
      </c>
      <c r="J73" s="2">
        <f t="shared" si="45"/>
        <v>2088614.3250688706</v>
      </c>
      <c r="K73" s="2">
        <f t="shared" si="45"/>
        <v>2398838.7909319899</v>
      </c>
      <c r="L73" s="5">
        <f>I73/I69*L69</f>
        <v>2624942.4678014275</v>
      </c>
      <c r="M73" s="5"/>
      <c r="N73" s="5"/>
      <c r="O73" s="5">
        <f>J73/J69*O69</f>
        <v>3105345.638476951</v>
      </c>
    </row>
    <row r="74" spans="1:15" ht="17.25" x14ac:dyDescent="0.4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5">
        <f t="shared" ref="L74:L81" si="46">I74</f>
        <v>0</v>
      </c>
      <c r="M74" s="5"/>
      <c r="N74" s="5"/>
      <c r="O74" s="5">
        <f>J74</f>
        <v>0</v>
      </c>
    </row>
    <row r="75" spans="1:15" ht="17.25" x14ac:dyDescent="0.4">
      <c r="A75" s="10" t="s">
        <v>65</v>
      </c>
      <c r="B75" s="2">
        <f t="shared" ref="B75:F82" si="47">IFERROR(B55/B36*1000,0)</f>
        <v>3723842.1052631577</v>
      </c>
      <c r="C75" s="2">
        <f t="shared" si="47"/>
        <v>4243450.746268657</v>
      </c>
      <c r="D75" s="2">
        <f t="shared" si="47"/>
        <v>0</v>
      </c>
      <c r="E75" s="2">
        <f t="shared" si="47"/>
        <v>3819662.7379873074</v>
      </c>
      <c r="F75" s="2">
        <f t="shared" si="47"/>
        <v>3135804.5112781958</v>
      </c>
      <c r="G75" s="2">
        <f t="shared" ref="G75:K75" si="48">IFERROR(G55/G36*1000,0)</f>
        <v>0</v>
      </c>
      <c r="H75" s="2">
        <f t="shared" si="48"/>
        <v>2875146.4237516872</v>
      </c>
      <c r="I75" s="2">
        <f t="shared" si="48"/>
        <v>2933426.0471204189</v>
      </c>
      <c r="J75" s="2">
        <f t="shared" si="48"/>
        <v>2871068.1967213112</v>
      </c>
      <c r="K75" s="2">
        <f t="shared" si="48"/>
        <v>2874197.3333333335</v>
      </c>
      <c r="L75" s="5">
        <f>'سود و زیان'!W19+('سود و زیان'!W17+'سود و زیان'!W16)/2</f>
        <v>3645080.0000000005</v>
      </c>
      <c r="M75" s="5"/>
      <c r="N75" s="5"/>
      <c r="O75" s="5">
        <f>'سود و زیان'!X19+('سود و زیان'!X17+'سود و زیان'!X16)/2</f>
        <v>4407050</v>
      </c>
    </row>
    <row r="76" spans="1:15" ht="17.25" x14ac:dyDescent="0.4">
      <c r="A76" s="10" t="s">
        <v>66</v>
      </c>
      <c r="B76" s="2">
        <f t="shared" si="47"/>
        <v>6025935.4838709682</v>
      </c>
      <c r="C76" s="2">
        <f t="shared" si="47"/>
        <v>4929358.6800573887</v>
      </c>
      <c r="D76" s="2">
        <f t="shared" si="47"/>
        <v>0</v>
      </c>
      <c r="E76" s="2">
        <f t="shared" si="47"/>
        <v>5228629.8523783488</v>
      </c>
      <c r="F76" s="2">
        <f t="shared" si="47"/>
        <v>4841515.4826958105</v>
      </c>
      <c r="G76" s="2">
        <f t="shared" ref="G76:K76" si="49">IFERROR(G56/G37*1000,0)</f>
        <v>0</v>
      </c>
      <c r="H76" s="2">
        <f t="shared" si="49"/>
        <v>5046464.3143544504</v>
      </c>
      <c r="I76" s="2">
        <f t="shared" si="49"/>
        <v>4957200</v>
      </c>
      <c r="J76" s="2">
        <f t="shared" si="49"/>
        <v>4938087.7192982454</v>
      </c>
      <c r="K76" s="2">
        <f t="shared" si="49"/>
        <v>4922906.944444445</v>
      </c>
      <c r="L76" s="5">
        <f t="shared" si="46"/>
        <v>4957200</v>
      </c>
      <c r="M76" s="5"/>
      <c r="N76" s="5"/>
      <c r="O76" s="5">
        <f t="shared" ref="O76:O81" si="50">J76</f>
        <v>4938087.7192982454</v>
      </c>
    </row>
    <row r="77" spans="1:15" ht="17.25" x14ac:dyDescent="0.4">
      <c r="A77" s="10" t="s">
        <v>67</v>
      </c>
      <c r="B77" s="2">
        <f t="shared" si="47"/>
        <v>10304233.1002331</v>
      </c>
      <c r="C77" s="2">
        <f t="shared" si="47"/>
        <v>0</v>
      </c>
      <c r="D77" s="2">
        <f t="shared" si="47"/>
        <v>0</v>
      </c>
      <c r="E77" s="2">
        <f t="shared" si="47"/>
        <v>0</v>
      </c>
      <c r="F77" s="2">
        <f t="shared" si="47"/>
        <v>10772034.482758621</v>
      </c>
      <c r="G77" s="2">
        <f t="shared" ref="G77:K77" si="51">IFERROR(G57/G38*1000,0)</f>
        <v>0</v>
      </c>
      <c r="H77" s="2">
        <f t="shared" si="51"/>
        <v>0</v>
      </c>
      <c r="I77" s="2">
        <f t="shared" si="51"/>
        <v>0</v>
      </c>
      <c r="J77" s="2">
        <f t="shared" si="51"/>
        <v>0</v>
      </c>
      <c r="K77" s="2">
        <f t="shared" si="51"/>
        <v>9833079.8319327738</v>
      </c>
      <c r="L77" s="5">
        <f t="shared" si="46"/>
        <v>0</v>
      </c>
      <c r="M77" s="5"/>
      <c r="N77" s="5"/>
      <c r="O77" s="5">
        <f t="shared" si="50"/>
        <v>0</v>
      </c>
    </row>
    <row r="78" spans="1:15" ht="17.25" x14ac:dyDescent="0.4">
      <c r="A78" s="10" t="s">
        <v>57</v>
      </c>
      <c r="B78" s="2">
        <f t="shared" si="47"/>
        <v>7957596.7302452317</v>
      </c>
      <c r="C78" s="2">
        <f t="shared" si="47"/>
        <v>11166897.727272728</v>
      </c>
      <c r="D78" s="2">
        <f t="shared" si="47"/>
        <v>0</v>
      </c>
      <c r="E78" s="2">
        <f t="shared" si="47"/>
        <v>11419684.84848485</v>
      </c>
      <c r="F78" s="2">
        <f t="shared" si="47"/>
        <v>0</v>
      </c>
      <c r="G78" s="2">
        <f t="shared" ref="G78:K78" si="52">IFERROR(G58/G39*1000,0)</f>
        <v>0</v>
      </c>
      <c r="H78" s="2">
        <f t="shared" si="52"/>
        <v>12393683.098591549</v>
      </c>
      <c r="I78" s="2">
        <f t="shared" si="52"/>
        <v>8130991.0714285718</v>
      </c>
      <c r="J78" s="2">
        <f t="shared" si="52"/>
        <v>7664136.9294605814</v>
      </c>
      <c r="K78" s="2">
        <f t="shared" si="52"/>
        <v>0</v>
      </c>
      <c r="L78" s="5">
        <f t="shared" si="46"/>
        <v>8130991.0714285718</v>
      </c>
      <c r="M78" s="5"/>
      <c r="N78" s="5"/>
      <c r="O78" s="5">
        <f t="shared" si="50"/>
        <v>7664136.9294605814</v>
      </c>
    </row>
    <row r="79" spans="1:15" ht="17.25" x14ac:dyDescent="0.4">
      <c r="A79" s="10" t="s">
        <v>68</v>
      </c>
      <c r="B79" s="2">
        <f t="shared" si="47"/>
        <v>8861981.1320754718</v>
      </c>
      <c r="C79" s="2">
        <f t="shared" si="47"/>
        <v>13933200</v>
      </c>
      <c r="D79" s="2">
        <f t="shared" si="47"/>
        <v>0</v>
      </c>
      <c r="E79" s="2">
        <f t="shared" si="47"/>
        <v>0</v>
      </c>
      <c r="F79" s="2">
        <f t="shared" si="47"/>
        <v>9282000</v>
      </c>
      <c r="G79" s="2">
        <f t="shared" ref="G79:K79" si="53">IFERROR(G59/G40*1000,0)</f>
        <v>0</v>
      </c>
      <c r="H79" s="2">
        <f t="shared" si="53"/>
        <v>0</v>
      </c>
      <c r="I79" s="2">
        <f t="shared" si="53"/>
        <v>0</v>
      </c>
      <c r="J79" s="2">
        <f t="shared" si="53"/>
        <v>0</v>
      </c>
      <c r="K79" s="2">
        <f t="shared" si="53"/>
        <v>0</v>
      </c>
      <c r="L79" s="5">
        <f t="shared" si="46"/>
        <v>0</v>
      </c>
      <c r="M79" s="5"/>
      <c r="N79" s="5"/>
      <c r="O79" s="5">
        <f t="shared" si="50"/>
        <v>0</v>
      </c>
    </row>
    <row r="80" spans="1:15" ht="17.25" x14ac:dyDescent="0.4">
      <c r="A80" s="10" t="s">
        <v>69</v>
      </c>
      <c r="B80" s="2">
        <f t="shared" si="47"/>
        <v>51870826.92307692</v>
      </c>
      <c r="C80" s="2">
        <f t="shared" si="47"/>
        <v>8418893.9393939395</v>
      </c>
      <c r="D80" s="2">
        <f t="shared" si="47"/>
        <v>0</v>
      </c>
      <c r="E80" s="2">
        <f t="shared" si="47"/>
        <v>6792894.1176470593</v>
      </c>
      <c r="F80" s="2">
        <f t="shared" si="47"/>
        <v>49007000</v>
      </c>
      <c r="G80" s="2">
        <f t="shared" ref="G80:K80" si="54">IFERROR(G60/G41*1000,0)</f>
        <v>0</v>
      </c>
      <c r="H80" s="2">
        <f t="shared" si="54"/>
        <v>0</v>
      </c>
      <c r="I80" s="2">
        <f t="shared" si="54"/>
        <v>0</v>
      </c>
      <c r="J80" s="2">
        <f t="shared" si="54"/>
        <v>0</v>
      </c>
      <c r="K80" s="2">
        <f t="shared" si="54"/>
        <v>53163981.81818182</v>
      </c>
      <c r="L80" s="5">
        <f t="shared" si="46"/>
        <v>0</v>
      </c>
      <c r="M80" s="5"/>
      <c r="N80" s="5"/>
      <c r="O80" s="5">
        <f t="shared" si="50"/>
        <v>0</v>
      </c>
    </row>
    <row r="81" spans="1:15" ht="17.25" x14ac:dyDescent="0.4">
      <c r="A81" s="10" t="s">
        <v>70</v>
      </c>
      <c r="B81" s="2">
        <f t="shared" si="47"/>
        <v>0</v>
      </c>
      <c r="C81" s="2">
        <f t="shared" si="47"/>
        <v>14490653.333333334</v>
      </c>
      <c r="D81" s="2">
        <f t="shared" si="47"/>
        <v>0</v>
      </c>
      <c r="E81" s="2">
        <f t="shared" si="47"/>
        <v>22772240.740740743</v>
      </c>
      <c r="F81" s="2">
        <f t="shared" si="47"/>
        <v>0</v>
      </c>
      <c r="G81" s="2">
        <f t="shared" ref="G81:K81" si="55">IFERROR(G61/G42*1000,0)</f>
        <v>0</v>
      </c>
      <c r="H81" s="2">
        <f t="shared" si="55"/>
        <v>9332000</v>
      </c>
      <c r="I81" s="2">
        <f t="shared" si="55"/>
        <v>0</v>
      </c>
      <c r="J81" s="2">
        <f t="shared" si="55"/>
        <v>0</v>
      </c>
      <c r="K81" s="2">
        <f t="shared" si="55"/>
        <v>0</v>
      </c>
      <c r="L81" s="5">
        <f t="shared" si="46"/>
        <v>0</v>
      </c>
      <c r="M81" s="5"/>
      <c r="N81" s="5"/>
      <c r="O81" s="5">
        <f t="shared" si="50"/>
        <v>0</v>
      </c>
    </row>
    <row r="82" spans="1:15" ht="17.25" x14ac:dyDescent="0.4">
      <c r="A82" s="10" t="s">
        <v>72</v>
      </c>
      <c r="B82" s="2">
        <f t="shared" si="47"/>
        <v>0</v>
      </c>
      <c r="C82" s="2">
        <f t="shared" si="47"/>
        <v>51316576.92307692</v>
      </c>
      <c r="D82" s="2">
        <f t="shared" si="47"/>
        <v>0</v>
      </c>
      <c r="E82" s="2">
        <f t="shared" si="47"/>
        <v>0</v>
      </c>
      <c r="F82" s="2">
        <f t="shared" si="47"/>
        <v>0</v>
      </c>
      <c r="G82" s="2">
        <f t="shared" ref="G82:K82" si="56">IFERROR(G62/G43*1000,0)</f>
        <v>0</v>
      </c>
      <c r="H82" s="2">
        <f t="shared" si="56"/>
        <v>52968836.363636367</v>
      </c>
      <c r="I82" s="2">
        <f t="shared" si="56"/>
        <v>56636000</v>
      </c>
      <c r="J82" s="2">
        <f t="shared" si="56"/>
        <v>53661688.524590164</v>
      </c>
      <c r="K82" s="2">
        <f t="shared" si="56"/>
        <v>0</v>
      </c>
      <c r="L82" s="5">
        <f>H82*1.4</f>
        <v>74156370.909090906</v>
      </c>
      <c r="M82" s="5"/>
      <c r="N82" s="5"/>
      <c r="O82" s="5">
        <f>L82</f>
        <v>74156370.909090906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rightToLeft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O13" sqref="O13"/>
    </sheetView>
  </sheetViews>
  <sheetFormatPr defaultRowHeight="15" x14ac:dyDescent="0.25"/>
  <cols>
    <col min="1" max="1" width="24.42578125" customWidth="1"/>
    <col min="2" max="10" width="15.5703125" customWidth="1"/>
    <col min="11" max="11" width="15.5703125" hidden="1" customWidth="1"/>
    <col min="12" max="15" width="15.5703125" customWidth="1"/>
  </cols>
  <sheetData>
    <row r="1" spans="1:15" ht="27.75" customHeight="1" thickBot="1" x14ac:dyDescent="0.3">
      <c r="B1" s="14">
        <v>9212</v>
      </c>
      <c r="C1" s="14">
        <v>9306</v>
      </c>
      <c r="D1" s="14">
        <v>9309</v>
      </c>
      <c r="E1" s="14">
        <v>9312</v>
      </c>
      <c r="F1" s="14">
        <v>9403</v>
      </c>
      <c r="G1" s="14">
        <v>9406</v>
      </c>
      <c r="H1" s="14">
        <v>9412</v>
      </c>
      <c r="I1" s="14">
        <v>9506</v>
      </c>
      <c r="J1" s="14">
        <v>951206</v>
      </c>
      <c r="K1" s="41" t="s">
        <v>46</v>
      </c>
      <c r="L1" s="14" t="s">
        <v>92</v>
      </c>
      <c r="M1" s="14">
        <v>9512</v>
      </c>
      <c r="N1" s="14">
        <v>961200</v>
      </c>
      <c r="O1" s="14" t="s">
        <v>116</v>
      </c>
    </row>
    <row r="2" spans="1:15" ht="17.25" x14ac:dyDescent="0.25">
      <c r="A2" s="33" t="s">
        <v>26</v>
      </c>
      <c r="B2" s="22">
        <v>36386449</v>
      </c>
      <c r="C2" s="22">
        <v>20798878</v>
      </c>
      <c r="D2" s="22">
        <v>32267179</v>
      </c>
      <c r="E2" s="22">
        <v>42395751</v>
      </c>
      <c r="F2" s="22">
        <v>10852980</v>
      </c>
      <c r="G2" s="22">
        <f>'مواد اولیه'!G7</f>
        <v>0</v>
      </c>
      <c r="H2" s="22">
        <f>'مواد اولیه'!H14</f>
        <v>32597940</v>
      </c>
      <c r="I2" s="22">
        <f>'مواد اولیه'!I14</f>
        <v>16050759</v>
      </c>
      <c r="J2" s="22"/>
      <c r="K2" s="22">
        <f>'مواد اولیه'!K14</f>
        <v>28773420</v>
      </c>
      <c r="L2" s="22">
        <f>'مواد اولیه'!L14</f>
        <v>37912861.485861376</v>
      </c>
      <c r="M2" s="22">
        <v>34524881</v>
      </c>
      <c r="N2" s="22">
        <v>45613122</v>
      </c>
      <c r="O2" s="22">
        <f>'مواد اولیه'!O14</f>
        <v>46274213.450023606</v>
      </c>
    </row>
    <row r="3" spans="1:15" ht="17.25" x14ac:dyDescent="0.25">
      <c r="A3" s="34" t="s">
        <v>27</v>
      </c>
      <c r="B3" s="27">
        <v>5717941</v>
      </c>
      <c r="C3" s="27">
        <v>3849566</v>
      </c>
      <c r="D3" s="27">
        <v>5457711</v>
      </c>
      <c r="E3" s="27">
        <v>7118041</v>
      </c>
      <c r="F3" s="27">
        <v>499931</v>
      </c>
      <c r="G3" s="27"/>
      <c r="H3" s="27">
        <v>1725572</v>
      </c>
      <c r="I3" s="27"/>
      <c r="J3" s="27"/>
      <c r="K3" s="27"/>
      <c r="L3" s="27">
        <f>H3*(1+'سود و زیان'!W21)</f>
        <v>1984407.7999999998</v>
      </c>
      <c r="M3" s="27">
        <v>2158666</v>
      </c>
      <c r="N3" s="27">
        <v>2791504</v>
      </c>
      <c r="O3" s="27">
        <f>M3*(1+'سود و زیان'!X21)</f>
        <v>2482465.9</v>
      </c>
    </row>
    <row r="4" spans="1:15" ht="17.25" x14ac:dyDescent="0.25">
      <c r="A4" s="34" t="s">
        <v>28</v>
      </c>
      <c r="B4" s="27">
        <v>14097248</v>
      </c>
      <c r="C4" s="27">
        <v>9859188</v>
      </c>
      <c r="D4" s="27">
        <v>14802601</v>
      </c>
      <c r="E4" s="27">
        <v>23395294</v>
      </c>
      <c r="F4" s="27">
        <v>3322991</v>
      </c>
      <c r="G4" s="27"/>
      <c r="H4" s="27">
        <f>H16</f>
        <v>27502314</v>
      </c>
      <c r="I4" s="27"/>
      <c r="J4" s="27"/>
      <c r="K4" s="27"/>
      <c r="L4" s="27">
        <f>L16</f>
        <v>32499388.775817923</v>
      </c>
      <c r="M4" s="27">
        <v>32288388</v>
      </c>
      <c r="N4" s="27">
        <v>34027211</v>
      </c>
      <c r="O4" s="27">
        <f>O16</f>
        <v>36327402.892471924</v>
      </c>
    </row>
    <row r="5" spans="1:15" ht="18" thickBot="1" x14ac:dyDescent="0.3">
      <c r="A5" s="35" t="s">
        <v>3</v>
      </c>
      <c r="B5" s="1"/>
      <c r="C5" s="1"/>
      <c r="D5" s="1"/>
      <c r="E5" s="1">
        <v>-3212136</v>
      </c>
      <c r="F5" s="1"/>
      <c r="G5" s="1"/>
      <c r="H5" s="1">
        <f>H6-SUM(H2:H4)</f>
        <v>-5349310</v>
      </c>
      <c r="I5" s="1"/>
      <c r="J5" s="1"/>
      <c r="K5" s="1"/>
      <c r="L5" s="1"/>
      <c r="M5" s="1">
        <f>69007751-68971935</f>
        <v>35816</v>
      </c>
      <c r="N5" s="1">
        <v>1167995</v>
      </c>
      <c r="O5" s="1"/>
    </row>
    <row r="6" spans="1:15" ht="18.75" thickBot="1" x14ac:dyDescent="0.3">
      <c r="A6" s="36" t="s">
        <v>29</v>
      </c>
      <c r="B6" s="37">
        <f t="shared" ref="B6:E6" si="0">SUM(B2:B5)</f>
        <v>56201638</v>
      </c>
      <c r="C6" s="37">
        <f t="shared" si="0"/>
        <v>34507632</v>
      </c>
      <c r="D6" s="37">
        <f t="shared" si="0"/>
        <v>52527491</v>
      </c>
      <c r="E6" s="37">
        <f t="shared" si="0"/>
        <v>69696950</v>
      </c>
      <c r="F6" s="37">
        <f t="shared" ref="F6:K6" si="1">SUM(F2:F5)</f>
        <v>14675902</v>
      </c>
      <c r="G6" s="37"/>
      <c r="H6" s="37">
        <v>56476516</v>
      </c>
      <c r="I6" s="37"/>
      <c r="J6" s="37">
        <f>J2+J3+J4+J5</f>
        <v>0</v>
      </c>
      <c r="K6" s="37">
        <f t="shared" si="1"/>
        <v>28773420</v>
      </c>
      <c r="L6" s="37">
        <f t="shared" ref="L6:O6" si="2">SUM(L2:L5)</f>
        <v>72396658.061679304</v>
      </c>
      <c r="M6" s="37">
        <f t="shared" si="2"/>
        <v>69007751</v>
      </c>
      <c r="N6" s="37">
        <f t="shared" si="2"/>
        <v>83599832</v>
      </c>
      <c r="O6" s="37">
        <f t="shared" si="2"/>
        <v>85084082.242495537</v>
      </c>
    </row>
    <row r="8" spans="1:15" ht="15.75" thickBot="1" x14ac:dyDescent="0.3"/>
    <row r="9" spans="1:15" ht="17.25" x14ac:dyDescent="0.4">
      <c r="A9" s="6" t="s">
        <v>30</v>
      </c>
      <c r="B9" s="20"/>
      <c r="C9" s="20"/>
      <c r="D9" s="20"/>
      <c r="E9" s="20">
        <v>667609</v>
      </c>
      <c r="F9" s="20"/>
      <c r="G9" s="20"/>
      <c r="H9" s="20">
        <v>6099709</v>
      </c>
      <c r="I9" s="20"/>
      <c r="J9" s="20"/>
      <c r="K9" s="20"/>
      <c r="L9" s="20">
        <f>H9*(1+'سود و زیان'!W21)</f>
        <v>7014665.3499999996</v>
      </c>
      <c r="M9" s="20">
        <v>7052546</v>
      </c>
      <c r="N9" s="20">
        <v>7597715</v>
      </c>
      <c r="O9" s="20">
        <f>M9*(1+'سود و زیان'!X21)</f>
        <v>8110427.8999999994</v>
      </c>
    </row>
    <row r="10" spans="1:15" ht="17.25" x14ac:dyDescent="0.4">
      <c r="A10" s="10" t="s">
        <v>95</v>
      </c>
      <c r="B10" s="2"/>
      <c r="C10" s="2"/>
      <c r="D10" s="2"/>
      <c r="E10" s="2"/>
      <c r="F10" s="2"/>
      <c r="G10" s="2"/>
      <c r="H10" s="2">
        <v>6618775</v>
      </c>
      <c r="I10" s="2"/>
      <c r="J10" s="2"/>
      <c r="K10" s="2"/>
      <c r="L10" s="2">
        <f>H10*(1+'سود و زیان'!W21+0.15)</f>
        <v>8604407.4999999981</v>
      </c>
      <c r="M10" s="2">
        <f>1935063+448868+2996924+2951540</f>
        <v>8332395</v>
      </c>
      <c r="N10" s="2">
        <f>2293999+607006+2862792+2879648</f>
        <v>8643445</v>
      </c>
      <c r="O10" s="2">
        <f>M10*(1+'سود و زیان'!X21)*1.1</f>
        <v>10540479.675000001</v>
      </c>
    </row>
    <row r="11" spans="1:15" ht="17.25" x14ac:dyDescent="0.4">
      <c r="A11" s="10" t="s">
        <v>53</v>
      </c>
      <c r="B11" s="2"/>
      <c r="C11" s="2"/>
      <c r="D11" s="2"/>
      <c r="E11" s="2">
        <v>2390862</v>
      </c>
      <c r="F11" s="2"/>
      <c r="G11" s="2"/>
      <c r="H11" s="2">
        <v>2442634</v>
      </c>
      <c r="I11" s="2"/>
      <c r="J11" s="2"/>
      <c r="K11" s="2"/>
      <c r="L11" s="2">
        <f>H11</f>
        <v>2442634</v>
      </c>
      <c r="M11" s="2">
        <v>3939511</v>
      </c>
      <c r="N11" s="2">
        <v>3438987</v>
      </c>
      <c r="O11" s="2">
        <f>M11</f>
        <v>3939511</v>
      </c>
    </row>
    <row r="12" spans="1:15" ht="17.25" x14ac:dyDescent="0.4">
      <c r="A12" s="10" t="s">
        <v>31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>E12</f>
        <v>0</v>
      </c>
      <c r="M12" s="2"/>
      <c r="N12" s="2"/>
      <c r="O12" s="2">
        <f>F12</f>
        <v>0</v>
      </c>
    </row>
    <row r="13" spans="1:15" ht="17.25" x14ac:dyDescent="0.4">
      <c r="A13" s="10" t="s">
        <v>54</v>
      </c>
      <c r="B13" s="2">
        <v>4932911</v>
      </c>
      <c r="C13" s="2">
        <v>4039610</v>
      </c>
      <c r="D13" s="2"/>
      <c r="E13" s="2">
        <v>8119314</v>
      </c>
      <c r="F13" s="2"/>
      <c r="G13" s="2"/>
      <c r="H13" s="2">
        <v>8077037</v>
      </c>
      <c r="I13" s="2"/>
      <c r="J13" s="2"/>
      <c r="K13" s="2"/>
      <c r="L13" s="2">
        <f>H13/'تولید و فروش'!H26*'تولید و فروش'!N26</f>
        <v>9533899.0758179221</v>
      </c>
      <c r="M13" s="2">
        <v>10044254</v>
      </c>
      <c r="N13" s="2">
        <v>10266339</v>
      </c>
      <c r="O13" s="2">
        <f>M13/'تولید و فروش'!M26*'تولید و فروش'!Q26</f>
        <v>10043586.58747193</v>
      </c>
    </row>
    <row r="14" spans="1:15" ht="17.25" x14ac:dyDescent="0.4">
      <c r="A14" s="10" t="s">
        <v>55</v>
      </c>
      <c r="B14" s="2"/>
      <c r="C14" s="2"/>
      <c r="D14" s="2"/>
      <c r="E14" s="2">
        <v>9163998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8" thickBot="1" x14ac:dyDescent="0.45">
      <c r="A15" s="10" t="s">
        <v>3</v>
      </c>
      <c r="B15" s="2"/>
      <c r="C15" s="2"/>
      <c r="D15" s="2"/>
      <c r="E15" s="2">
        <v>3053511</v>
      </c>
      <c r="F15" s="2"/>
      <c r="G15" s="2"/>
      <c r="H15" s="2">
        <v>4264159</v>
      </c>
      <c r="I15" s="2"/>
      <c r="J15" s="2"/>
      <c r="K15" s="2"/>
      <c r="L15" s="2">
        <f>H15*(1+'سود و زیان'!W21)</f>
        <v>4903782.8499999996</v>
      </c>
      <c r="M15" s="2">
        <f>32288388-29368706</f>
        <v>2919682</v>
      </c>
      <c r="N15" s="2">
        <f>34027211-29946486</f>
        <v>4080725</v>
      </c>
      <c r="O15" s="2">
        <f>M15*(1+'سود و زیان'!X21)*1.1</f>
        <v>3693397.73</v>
      </c>
    </row>
    <row r="16" spans="1:15" ht="18.75" thickBot="1" x14ac:dyDescent="0.3">
      <c r="A16" s="36" t="s">
        <v>32</v>
      </c>
      <c r="B16" s="37">
        <v>13270790</v>
      </c>
      <c r="C16" s="37">
        <v>7606288</v>
      </c>
      <c r="D16" s="37">
        <v>0</v>
      </c>
      <c r="E16" s="37">
        <f t="shared" ref="E16:N16" si="3">SUM(E9:E15)</f>
        <v>23395294</v>
      </c>
      <c r="F16" s="37">
        <f t="shared" si="3"/>
        <v>0</v>
      </c>
      <c r="G16" s="37">
        <f t="shared" si="3"/>
        <v>0</v>
      </c>
      <c r="H16" s="37">
        <f t="shared" si="3"/>
        <v>27502314</v>
      </c>
      <c r="I16" s="37">
        <f t="shared" si="3"/>
        <v>0</v>
      </c>
      <c r="J16" s="37">
        <f t="shared" si="3"/>
        <v>0</v>
      </c>
      <c r="K16" s="37">
        <f t="shared" si="3"/>
        <v>0</v>
      </c>
      <c r="L16" s="37">
        <f t="shared" si="3"/>
        <v>32499388.775817923</v>
      </c>
      <c r="M16" s="37">
        <f t="shared" si="3"/>
        <v>32288388</v>
      </c>
      <c r="N16" s="37">
        <f t="shared" si="3"/>
        <v>34027211</v>
      </c>
      <c r="O16" s="37">
        <f t="shared" ref="O16" si="4">SUM(O9:O15)</f>
        <v>36327402.892471924</v>
      </c>
    </row>
    <row r="17" spans="2:5" x14ac:dyDescent="0.25">
      <c r="E17" s="13"/>
    </row>
    <row r="24" spans="2:5" x14ac:dyDescent="0.25">
      <c r="B24" s="4"/>
      <c r="C24" s="4"/>
      <c r="D24" s="4"/>
      <c r="E24" s="4"/>
    </row>
    <row r="25" spans="2:5" x14ac:dyDescent="0.25">
      <c r="B25" s="4"/>
      <c r="C25" s="4"/>
      <c r="D25" s="4"/>
      <c r="E25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rightToLeft="1" workbookViewId="0">
      <selection activeCell="M11" sqref="M11"/>
    </sheetView>
  </sheetViews>
  <sheetFormatPr defaultRowHeight="18" x14ac:dyDescent="0.45"/>
  <cols>
    <col min="1" max="1" width="36.42578125" style="61" customWidth="1"/>
    <col min="2" max="2" width="0" style="61" hidden="1" customWidth="1"/>
    <col min="3" max="3" width="11.28515625" style="61" hidden="1" customWidth="1"/>
    <col min="4" max="4" width="11.42578125" style="61" hidden="1" customWidth="1"/>
    <col min="5" max="5" width="12.85546875" style="61" hidden="1" customWidth="1"/>
    <col min="6" max="6" width="15.42578125" style="61" hidden="1" customWidth="1"/>
    <col min="7" max="7" width="9.140625" style="61"/>
    <col min="8" max="8" width="11.28515625" style="61" bestFit="1" customWidth="1"/>
    <col min="9" max="9" width="11.42578125" style="61" bestFit="1" customWidth="1"/>
    <col min="10" max="10" width="12.85546875" style="61" bestFit="1" customWidth="1"/>
    <col min="11" max="11" width="15.42578125" style="61" bestFit="1" customWidth="1"/>
    <col min="12" max="16384" width="9.140625" style="61"/>
  </cols>
  <sheetData>
    <row r="1" spans="1:11" ht="18.75" thickBot="1" x14ac:dyDescent="0.5">
      <c r="B1" s="99" t="s">
        <v>92</v>
      </c>
      <c r="C1" s="100"/>
      <c r="D1" s="100"/>
      <c r="E1" s="100"/>
      <c r="F1" s="101"/>
      <c r="G1" s="99" t="s">
        <v>116</v>
      </c>
      <c r="H1" s="100"/>
      <c r="I1" s="100"/>
      <c r="J1" s="100"/>
      <c r="K1" s="101"/>
    </row>
    <row r="2" spans="1:11" s="66" customFormat="1" ht="20.25" thickBot="1" x14ac:dyDescent="0.55000000000000004">
      <c r="B2" s="73" t="s">
        <v>102</v>
      </c>
      <c r="C2" s="14" t="s">
        <v>103</v>
      </c>
      <c r="D2" s="14" t="s">
        <v>105</v>
      </c>
      <c r="E2" s="14" t="s">
        <v>104</v>
      </c>
      <c r="F2" s="74" t="s">
        <v>106</v>
      </c>
      <c r="G2" s="73" t="s">
        <v>102</v>
      </c>
      <c r="H2" s="14" t="s">
        <v>103</v>
      </c>
      <c r="I2" s="14" t="s">
        <v>105</v>
      </c>
      <c r="J2" s="14" t="s">
        <v>104</v>
      </c>
      <c r="K2" s="74" t="s">
        <v>106</v>
      </c>
    </row>
    <row r="3" spans="1:11" x14ac:dyDescent="0.45">
      <c r="A3" s="71" t="s">
        <v>96</v>
      </c>
      <c r="B3" s="75"/>
      <c r="C3" s="1"/>
      <c r="D3" s="1">
        <v>3288000</v>
      </c>
      <c r="E3" s="80">
        <v>0.19289999999999999</v>
      </c>
      <c r="F3" s="76">
        <f>E3*D3</f>
        <v>634255.19999999995</v>
      </c>
      <c r="G3" s="75">
        <v>4260519</v>
      </c>
      <c r="H3" s="80">
        <v>0.5</v>
      </c>
      <c r="I3" s="1">
        <f>H3*G3</f>
        <v>2130259.5</v>
      </c>
      <c r="J3" s="80">
        <v>0.19289999999999999</v>
      </c>
      <c r="K3" s="76">
        <f>J3*I3</f>
        <v>410927.05754999997</v>
      </c>
    </row>
    <row r="4" spans="1:11" x14ac:dyDescent="0.45">
      <c r="A4" s="71" t="s">
        <v>97</v>
      </c>
      <c r="B4" s="75"/>
      <c r="C4" s="1"/>
      <c r="D4" s="1">
        <v>3960000</v>
      </c>
      <c r="E4" s="80">
        <v>9.9400000000000002E-2</v>
      </c>
      <c r="F4" s="76">
        <f t="shared" ref="F4:F6" si="0">E4*D4</f>
        <v>393624</v>
      </c>
      <c r="G4" s="75">
        <v>9007420</v>
      </c>
      <c r="H4" s="80">
        <v>0.9</v>
      </c>
      <c r="I4" s="1">
        <f>H4*G4</f>
        <v>8106678</v>
      </c>
      <c r="J4" s="80">
        <v>9.9400000000000002E-2</v>
      </c>
      <c r="K4" s="76">
        <f>J4*I4</f>
        <v>805803.79320000007</v>
      </c>
    </row>
    <row r="5" spans="1:11" x14ac:dyDescent="0.45">
      <c r="A5" s="71" t="s">
        <v>98</v>
      </c>
      <c r="B5" s="75"/>
      <c r="C5" s="1"/>
      <c r="D5" s="1">
        <v>5985000</v>
      </c>
      <c r="E5" s="80">
        <v>0.104</v>
      </c>
      <c r="F5" s="76">
        <f t="shared" si="0"/>
        <v>622440</v>
      </c>
      <c r="G5" s="75">
        <v>7265105</v>
      </c>
      <c r="H5" s="80">
        <v>0.75</v>
      </c>
      <c r="I5" s="1">
        <v>5643000</v>
      </c>
      <c r="J5" s="80">
        <v>0.104</v>
      </c>
      <c r="K5" s="76">
        <f>J5*I5</f>
        <v>586872</v>
      </c>
    </row>
    <row r="6" spans="1:11" x14ac:dyDescent="0.45">
      <c r="A6" s="71" t="s">
        <v>99</v>
      </c>
      <c r="B6" s="75">
        <v>447624</v>
      </c>
      <c r="C6" s="1"/>
      <c r="D6" s="1">
        <v>300000</v>
      </c>
      <c r="E6" s="80">
        <v>0.2974</v>
      </c>
      <c r="F6" s="76">
        <f t="shared" si="0"/>
        <v>89220</v>
      </c>
      <c r="G6" s="75"/>
      <c r="H6" s="1"/>
      <c r="I6" s="1"/>
      <c r="J6" s="80">
        <v>0.2974</v>
      </c>
      <c r="K6" s="76">
        <v>77227</v>
      </c>
    </row>
    <row r="7" spans="1:11" x14ac:dyDescent="0.45">
      <c r="A7" s="71" t="s">
        <v>100</v>
      </c>
      <c r="B7" s="75">
        <v>142311</v>
      </c>
      <c r="C7" s="1"/>
      <c r="D7" s="1"/>
      <c r="E7" s="80">
        <v>0.52569999999999995</v>
      </c>
      <c r="F7" s="76">
        <v>15787</v>
      </c>
      <c r="G7" s="75"/>
      <c r="H7" s="1"/>
      <c r="I7" s="1"/>
      <c r="J7" s="80">
        <v>0.52569999999999995</v>
      </c>
      <c r="K7" s="76">
        <f t="shared" ref="K7:K8" si="1">F7</f>
        <v>15787</v>
      </c>
    </row>
    <row r="8" spans="1:11" x14ac:dyDescent="0.45">
      <c r="A8" s="71" t="s">
        <v>101</v>
      </c>
      <c r="B8" s="75"/>
      <c r="C8" s="1"/>
      <c r="D8" s="1"/>
      <c r="E8" s="80">
        <v>0.96120000000000005</v>
      </c>
      <c r="F8" s="76">
        <v>14418</v>
      </c>
      <c r="G8" s="75"/>
      <c r="H8" s="1"/>
      <c r="I8" s="1"/>
      <c r="J8" s="80">
        <v>0.96120000000000005</v>
      </c>
      <c r="K8" s="76">
        <f t="shared" si="1"/>
        <v>14418</v>
      </c>
    </row>
    <row r="9" spans="1:11" s="66" customFormat="1" ht="20.25" thickBot="1" x14ac:dyDescent="0.55000000000000004">
      <c r="A9" s="72"/>
      <c r="B9" s="77"/>
      <c r="C9" s="78"/>
      <c r="D9" s="78"/>
      <c r="E9" s="81"/>
      <c r="F9" s="79">
        <f>SUM(F3:F8)</f>
        <v>1769744.2</v>
      </c>
      <c r="G9" s="77"/>
      <c r="H9" s="78"/>
      <c r="I9" s="78"/>
      <c r="J9" s="78"/>
      <c r="K9" s="79">
        <f>SUM(K3:K8)</f>
        <v>1911034.85075</v>
      </c>
    </row>
    <row r="10" spans="1:11" x14ac:dyDescent="0.45">
      <c r="D10" s="63"/>
      <c r="I10" s="63"/>
    </row>
  </sheetData>
  <mergeCells count="2">
    <mergeCell ref="B1:F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rightToLeft="1" workbookViewId="0">
      <selection activeCell="G7" sqref="G7"/>
    </sheetView>
  </sheetViews>
  <sheetFormatPr defaultRowHeight="18" x14ac:dyDescent="0.45"/>
  <cols>
    <col min="1" max="1" width="36.42578125" style="61" customWidth="1"/>
    <col min="2" max="2" width="9.140625" style="61"/>
    <col min="3" max="3" width="11.28515625" style="61" bestFit="1" customWidth="1"/>
    <col min="4" max="4" width="11.42578125" style="61" bestFit="1" customWidth="1"/>
    <col min="5" max="5" width="12.85546875" style="61" bestFit="1" customWidth="1"/>
    <col min="6" max="6" width="12.85546875" style="61" hidden="1" customWidth="1"/>
    <col min="7" max="7" width="9.42578125" style="61" bestFit="1" customWidth="1"/>
    <col min="8" max="16384" width="9.140625" style="61"/>
  </cols>
  <sheetData>
    <row r="1" spans="1:7" s="66" customFormat="1" ht="20.25" thickBot="1" x14ac:dyDescent="0.55000000000000004">
      <c r="B1" s="14">
        <v>9406</v>
      </c>
      <c r="C1" s="14">
        <v>9412</v>
      </c>
      <c r="D1" s="14">
        <v>9506</v>
      </c>
      <c r="E1" s="14">
        <v>951200</v>
      </c>
      <c r="F1" s="14" t="s">
        <v>92</v>
      </c>
      <c r="G1" s="66" t="s">
        <v>116</v>
      </c>
    </row>
    <row r="2" spans="1:7" x14ac:dyDescent="0.45">
      <c r="A2" s="23" t="s">
        <v>107</v>
      </c>
      <c r="B2" s="1">
        <v>394878</v>
      </c>
      <c r="C2" s="1">
        <v>898413</v>
      </c>
      <c r="D2" s="1">
        <v>415271</v>
      </c>
      <c r="E2" s="1">
        <v>700000</v>
      </c>
      <c r="F2" s="1">
        <f>D2*2</f>
        <v>830542</v>
      </c>
      <c r="G2" s="1">
        <f>F2</f>
        <v>830542</v>
      </c>
    </row>
    <row r="3" spans="1:7" x14ac:dyDescent="0.45">
      <c r="A3" s="23" t="s">
        <v>111</v>
      </c>
      <c r="B3" s="1">
        <v>365237</v>
      </c>
      <c r="C3" s="1">
        <v>562615</v>
      </c>
      <c r="D3" s="1">
        <v>5438</v>
      </c>
      <c r="E3" s="1">
        <v>-63</v>
      </c>
      <c r="F3" s="1">
        <f>D3</f>
        <v>5438</v>
      </c>
    </row>
    <row r="4" spans="1:7" x14ac:dyDescent="0.45">
      <c r="A4" s="23" t="s">
        <v>108</v>
      </c>
      <c r="B4" s="1">
        <v>-167024</v>
      </c>
      <c r="C4" s="1">
        <v>-3171833</v>
      </c>
      <c r="D4" s="1">
        <v>-45240</v>
      </c>
      <c r="E4" s="1">
        <v>-45240</v>
      </c>
      <c r="F4" s="1">
        <f>E4</f>
        <v>-45240</v>
      </c>
      <c r="G4" s="86">
        <f>F4</f>
        <v>-45240</v>
      </c>
    </row>
    <row r="5" spans="1:7" x14ac:dyDescent="0.45">
      <c r="A5" s="23" t="s">
        <v>109</v>
      </c>
      <c r="B5" s="1">
        <v>-243023</v>
      </c>
      <c r="C5" s="1">
        <v>-469219</v>
      </c>
      <c r="D5" s="1">
        <v>-134131</v>
      </c>
      <c r="E5" s="1">
        <v>-134131</v>
      </c>
      <c r="F5" s="1">
        <f>D5*2</f>
        <v>-268262</v>
      </c>
      <c r="G5" s="86">
        <f>F5</f>
        <v>-268262</v>
      </c>
    </row>
    <row r="6" spans="1:7" x14ac:dyDescent="0.45">
      <c r="A6" s="23" t="s">
        <v>110</v>
      </c>
      <c r="B6" s="1">
        <v>343539</v>
      </c>
      <c r="C6" s="1">
        <v>570118</v>
      </c>
      <c r="D6" s="1">
        <v>348801</v>
      </c>
      <c r="E6" s="1">
        <v>509270</v>
      </c>
      <c r="F6" s="1">
        <f>E6</f>
        <v>509270</v>
      </c>
      <c r="G6" s="86">
        <f>F6</f>
        <v>509270</v>
      </c>
    </row>
    <row r="7" spans="1:7" x14ac:dyDescent="0.45">
      <c r="A7" s="23" t="s">
        <v>52</v>
      </c>
      <c r="B7" s="1">
        <f>B8-SUM(B2:B6)</f>
        <v>109556</v>
      </c>
      <c r="C7" s="1">
        <f t="shared" ref="C7" si="0">C8-SUM(C2:C6)</f>
        <v>-12787</v>
      </c>
      <c r="D7" s="1">
        <f>D8-SUM(D2:D6)</f>
        <v>632436</v>
      </c>
      <c r="E7" s="1">
        <f>E8-SUM(E2:E6)</f>
        <v>634319</v>
      </c>
      <c r="F7" s="1">
        <f>E7</f>
        <v>634319</v>
      </c>
      <c r="G7" s="86">
        <f>F7</f>
        <v>634319</v>
      </c>
    </row>
    <row r="8" spans="1:7" s="66" customFormat="1" ht="19.5" x14ac:dyDescent="0.5">
      <c r="A8" s="64" t="s">
        <v>71</v>
      </c>
      <c r="B8" s="65">
        <v>803163</v>
      </c>
      <c r="C8" s="65">
        <v>-1622693</v>
      </c>
      <c r="D8" s="65">
        <v>1222575</v>
      </c>
      <c r="E8" s="65">
        <v>1664155</v>
      </c>
      <c r="F8" s="65">
        <f>SUM(F2:F7)</f>
        <v>1666067</v>
      </c>
      <c r="G8" s="87">
        <f>F8</f>
        <v>1666067</v>
      </c>
    </row>
    <row r="9" spans="1:7" x14ac:dyDescent="0.45">
      <c r="D9" s="63"/>
    </row>
  </sheetData>
  <dataConsolidate>
    <dataRefs count="1">
      <dataRef ref="B1:G1" sheet="سایر درآمدها (هزینه‌ها)"/>
    </dataRefs>
  </dataConsolid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rightToLeft="1" workbookViewId="0">
      <selection activeCell="H6" sqref="H6"/>
    </sheetView>
  </sheetViews>
  <sheetFormatPr defaultRowHeight="15" x14ac:dyDescent="0.25"/>
  <cols>
    <col min="1" max="1" width="26.7109375" customWidth="1"/>
    <col min="2" max="6" width="15.5703125" customWidth="1"/>
    <col min="7" max="7" width="15.28515625" customWidth="1"/>
    <col min="8" max="8" width="15.5703125" customWidth="1"/>
  </cols>
  <sheetData>
    <row r="1" spans="1:8" ht="30" customHeight="1" thickBot="1" x14ac:dyDescent="0.3">
      <c r="B1" s="14">
        <v>9212</v>
      </c>
      <c r="C1" s="14">
        <v>9306</v>
      </c>
      <c r="D1" s="14">
        <v>9309</v>
      </c>
      <c r="E1" s="14">
        <v>9312</v>
      </c>
      <c r="F1" s="14">
        <v>9403</v>
      </c>
      <c r="G1" s="41" t="s">
        <v>46</v>
      </c>
      <c r="H1" s="14" t="s">
        <v>47</v>
      </c>
    </row>
    <row r="2" spans="1:8" ht="17.25" x14ac:dyDescent="0.4">
      <c r="A2" s="21" t="s">
        <v>33</v>
      </c>
      <c r="B2" s="22">
        <v>-5021132</v>
      </c>
      <c r="C2" s="22">
        <v>-2929028</v>
      </c>
      <c r="D2" s="22">
        <v>-4101052</v>
      </c>
      <c r="E2" s="22">
        <v>-5849147</v>
      </c>
      <c r="F2" s="22">
        <v>-1339915</v>
      </c>
      <c r="G2" s="22">
        <v>-6241699</v>
      </c>
      <c r="H2" s="22">
        <f>-0.07*'سود و زیان'!M2</f>
        <v>-7846096.2648878712</v>
      </c>
    </row>
    <row r="3" spans="1:8" ht="17.25" x14ac:dyDescent="0.4">
      <c r="A3" s="26" t="s">
        <v>14</v>
      </c>
      <c r="B3" s="17"/>
      <c r="C3" s="17"/>
      <c r="D3" s="17"/>
      <c r="E3" s="17"/>
      <c r="F3" s="40"/>
      <c r="G3" s="27"/>
      <c r="H3" s="27"/>
    </row>
    <row r="4" spans="1:8" ht="18" thickBot="1" x14ac:dyDescent="0.45">
      <c r="A4" s="28" t="s">
        <v>15</v>
      </c>
      <c r="B4" s="27">
        <v>3609598</v>
      </c>
      <c r="C4" s="27">
        <v>558084</v>
      </c>
      <c r="D4" s="27">
        <v>956898</v>
      </c>
      <c r="E4" s="27">
        <v>732135</v>
      </c>
      <c r="F4" s="27">
        <v>-167275</v>
      </c>
      <c r="G4" s="27">
        <v>332725</v>
      </c>
      <c r="H4" s="27">
        <f>G4</f>
        <v>332725</v>
      </c>
    </row>
    <row r="5" spans="1:8" ht="17.25" x14ac:dyDescent="0.4">
      <c r="A5" s="21" t="s">
        <v>34</v>
      </c>
      <c r="B5" s="22">
        <v>-6319767</v>
      </c>
      <c r="C5" s="22">
        <v>-4239024</v>
      </c>
      <c r="D5" s="22">
        <v>-5526322</v>
      </c>
      <c r="E5" s="22">
        <v>-7910993</v>
      </c>
      <c r="F5" s="22">
        <v>-2420244</v>
      </c>
      <c r="G5" s="22">
        <v>-10000000</v>
      </c>
      <c r="H5" s="22">
        <f>G5</f>
        <v>-10000000</v>
      </c>
    </row>
    <row r="6" spans="1:8" ht="17.25" x14ac:dyDescent="0.4">
      <c r="A6" s="26" t="s">
        <v>35</v>
      </c>
      <c r="B6" s="17"/>
      <c r="C6" s="17">
        <v>4522586</v>
      </c>
      <c r="D6" s="17"/>
      <c r="E6" s="17"/>
      <c r="F6" s="40">
        <v>137950</v>
      </c>
      <c r="G6" s="27">
        <v>3727127</v>
      </c>
      <c r="H6" s="27">
        <f>G6</f>
        <v>3727127</v>
      </c>
    </row>
    <row r="7" spans="1:8" ht="17.25" x14ac:dyDescent="0.4">
      <c r="A7" s="28" t="s">
        <v>17</v>
      </c>
      <c r="B7" s="27">
        <v>1918659</v>
      </c>
      <c r="C7" s="27">
        <v>301597</v>
      </c>
      <c r="D7" s="27">
        <v>4849307</v>
      </c>
      <c r="E7" s="27">
        <v>7562256</v>
      </c>
      <c r="F7" s="27">
        <v>-124728</v>
      </c>
      <c r="G7" s="27">
        <v>1248171</v>
      </c>
      <c r="H7" s="27">
        <f>G7</f>
        <v>1248171</v>
      </c>
    </row>
    <row r="9" spans="1:8" x14ac:dyDescent="0.25">
      <c r="B9" s="4">
        <f>B2/'سود و زیان'!B2</f>
        <v>-5.1616038619336356E-2</v>
      </c>
      <c r="C9" s="4">
        <f>C2/'سود و زیان'!C2</f>
        <v>-5.5277038356689186E-2</v>
      </c>
      <c r="D9" s="4">
        <f>D2/'سود و زیان'!D2</f>
        <v>-5.1987036998303246E-2</v>
      </c>
      <c r="E9" s="4">
        <f>E2/'سود و زیان'!E2</f>
        <v>-5.7345003459045245E-2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معرفی</vt:lpstr>
      <vt:lpstr>صنعت</vt:lpstr>
      <vt:lpstr>سود و زیان</vt:lpstr>
      <vt:lpstr>تولید و فروش</vt:lpstr>
      <vt:lpstr>مواد اولیه</vt:lpstr>
      <vt:lpstr>بهای تمام شده</vt:lpstr>
      <vt:lpstr>سرمایه گذاریها</vt:lpstr>
      <vt:lpstr>سایر درآمدها (هزینه‌ها)</vt:lpstr>
      <vt:lpstr>هزنیه های عمومی</vt:lpstr>
      <vt:lpstr>Sheet5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m.allahgholi</dc:creator>
  <cp:lastModifiedBy>amin sahlolbei</cp:lastModifiedBy>
  <dcterms:created xsi:type="dcterms:W3CDTF">2015-08-09T06:29:10Z</dcterms:created>
  <dcterms:modified xsi:type="dcterms:W3CDTF">2017-09-26T13:44:10Z</dcterms:modified>
</cp:coreProperties>
</file>