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activeTab="3"/>
  </bookViews>
  <sheets>
    <sheet name="سود و زیان" sheetId="1" r:id="rId1"/>
    <sheet name="آمار تولید و فروش" sheetId="2" r:id="rId2"/>
    <sheet name="بهای تمام شده" sheetId="4" r:id="rId3"/>
    <sheet name="پنل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5" l="1"/>
  <c r="D16" i="5"/>
  <c r="D17" i="5"/>
  <c r="D15" i="5"/>
  <c r="I13" i="1" l="1"/>
  <c r="I12" i="1"/>
  <c r="I11" i="1"/>
  <c r="L28" i="4"/>
  <c r="I7" i="1" s="1"/>
  <c r="L27" i="4"/>
  <c r="L26" i="4"/>
  <c r="L24" i="4"/>
  <c r="L23" i="4"/>
  <c r="L22" i="4"/>
  <c r="E5" i="4"/>
  <c r="E25" i="4"/>
  <c r="E28" i="4"/>
  <c r="E27" i="4"/>
  <c r="E24" i="4"/>
  <c r="E23" i="4"/>
  <c r="E22" i="4"/>
  <c r="D28" i="4"/>
  <c r="E4" i="4"/>
  <c r="J10" i="4"/>
  <c r="D8" i="5"/>
  <c r="J15" i="4" s="1"/>
  <c r="H5" i="4"/>
  <c r="J5" i="4" s="1"/>
  <c r="H11" i="4"/>
  <c r="I11" i="4"/>
  <c r="I5" i="4"/>
  <c r="I45" i="2"/>
  <c r="I41" i="2"/>
  <c r="I30" i="2"/>
  <c r="I26" i="2"/>
  <c r="G55" i="2"/>
  <c r="G54" i="2"/>
  <c r="G53" i="2"/>
  <c r="G52" i="2"/>
  <c r="G51" i="2"/>
  <c r="G50" i="2"/>
  <c r="D6" i="5"/>
  <c r="D5" i="5"/>
  <c r="I7" i="2"/>
  <c r="I14" i="2"/>
  <c r="I16" i="2"/>
  <c r="I15" i="2"/>
  <c r="D16" i="2"/>
  <c r="E16" i="2"/>
  <c r="F16" i="2"/>
  <c r="G16" i="2"/>
  <c r="H16" i="2"/>
  <c r="C16" i="2"/>
  <c r="C15" i="2"/>
  <c r="D15" i="2"/>
  <c r="E15" i="2"/>
  <c r="F15" i="2"/>
  <c r="G15" i="2"/>
  <c r="H15" i="2"/>
  <c r="D14" i="2"/>
  <c r="E14" i="2"/>
  <c r="F14" i="2"/>
  <c r="G14" i="2"/>
  <c r="H14" i="2"/>
  <c r="C14" i="2"/>
  <c r="I4" i="2"/>
  <c r="I5" i="2" s="1"/>
  <c r="I23" i="2" s="1"/>
  <c r="I38" i="2" s="1"/>
  <c r="H31" i="2"/>
  <c r="H11" i="2"/>
  <c r="G46" i="2"/>
  <c r="G31" i="2"/>
  <c r="G11" i="2"/>
  <c r="H10" i="1"/>
  <c r="H14" i="1" s="1"/>
  <c r="H16" i="1" s="1"/>
  <c r="H18" i="1" s="1"/>
  <c r="H6" i="1"/>
  <c r="I21" i="2" l="1"/>
  <c r="D9" i="5"/>
  <c r="J4" i="4" s="1"/>
  <c r="J9" i="4" s="1"/>
  <c r="J11" i="4" s="1"/>
  <c r="E3" i="4" s="1"/>
  <c r="E6" i="4" s="1"/>
  <c r="I8" i="2"/>
  <c r="H46" i="2"/>
  <c r="I11" i="2" l="1"/>
  <c r="I27" i="2"/>
  <c r="I42" i="2" s="1"/>
  <c r="I36" i="2"/>
  <c r="E17" i="4"/>
  <c r="I5" i="1"/>
  <c r="I31" i="2" l="1"/>
  <c r="I46" i="2"/>
  <c r="I4" i="1" s="1"/>
  <c r="I6" i="1" s="1"/>
  <c r="I10" i="1" s="1"/>
  <c r="I14" i="1" s="1"/>
  <c r="I15" i="1" s="1"/>
  <c r="I16" i="1" s="1"/>
  <c r="I18" i="1" s="1"/>
  <c r="I19" i="1" s="1"/>
  <c r="D11" i="5" s="1"/>
  <c r="D13" i="5" l="1"/>
  <c r="J4" i="5"/>
</calcChain>
</file>

<file path=xl/sharedStrings.xml><?xml version="1.0" encoding="utf-8"?>
<sst xmlns="http://schemas.openxmlformats.org/spreadsheetml/2006/main" count="275" uniqueCount="147">
  <si>
    <t>شرح</t>
  </si>
  <si>
    <t>۱۳۹۷/۱۲/۲۹</t>
  </si>
  <si>
    <t>۱۳۹۶/۱۲/۲۹</t>
  </si>
  <si>
    <t>دوره منتهی به</t>
  </si>
  <si>
    <t>سود (زیان) خالص</t>
  </si>
  <si>
    <t>درآمدهای عملیاتی</t>
  </si>
  <si>
    <t>بهای تمام ‌شده درآمدهای عملیاتی</t>
  </si>
  <si>
    <t>سود (زیان) ناخالص</t>
  </si>
  <si>
    <t>هزینه‌های فروش، اداری و عمومی</t>
  </si>
  <si>
    <t>سایر درآمدهای عملیاتی</t>
  </si>
  <si>
    <t>سایر هزینه‌های عملیاتی</t>
  </si>
  <si>
    <t>سود (زیان) عملیاتی</t>
  </si>
  <si>
    <t>هزینه‌های مالی</t>
  </si>
  <si>
    <t>سایر درآمدها و هزینه‌های غیرعملیاتی- درآمد سرمایه‌گذاری‌ها</t>
  </si>
  <si>
    <t>سایر درآمدها و هزینه‌های غیرعملیاتی- اقلام متفرقه</t>
  </si>
  <si>
    <t>سود (زیان) عملیات در حال تداوم قبل از مالیات</t>
  </si>
  <si>
    <t>مالیات بر درآمد</t>
  </si>
  <si>
    <t>سود (زیان) خالص عملیات در حال تداوم</t>
  </si>
  <si>
    <t>سود (زیان) عملیات متوقف ‌شده پس از اثر مالیاتی</t>
  </si>
  <si>
    <t>سود (زیان) خالص هر سهم– ریال</t>
  </si>
  <si>
    <t>سرمایه</t>
  </si>
  <si>
    <t>۱۳۹۵/۱۲/۳۰</t>
  </si>
  <si>
    <t>واحد</t>
  </si>
  <si>
    <t>۰ </t>
  </si>
  <si>
    <t>جمع </t>
  </si>
  <si>
    <t>۱۳۹۳/۱۲/۲۹</t>
  </si>
  <si>
    <t>۱۳۹۴/۱۲/۲۹</t>
  </si>
  <si>
    <t>بهای تمام شده</t>
  </si>
  <si>
    <t>مواد مستقيم مصرفي </t>
  </si>
  <si>
    <t>۳,۰۲۱,۱۹۹ </t>
  </si>
  <si>
    <t>۱,۸۷۷,۲۰۳ </t>
  </si>
  <si>
    <t>دستمزدمستقيم توليد </t>
  </si>
  <si>
    <t>۱۸,۸۳۹ </t>
  </si>
  <si>
    <t>سربارتوليد </t>
  </si>
  <si>
    <t>۴۱۴,۷۵۶ </t>
  </si>
  <si>
    <t>۳۷۰,۱۷۸ </t>
  </si>
  <si>
    <t>۳,۴۵۴,۷۹۴ </t>
  </si>
  <si>
    <t>۲,۲۶۷,۲۳۰ </t>
  </si>
  <si>
    <t>هزينه جذب نشده درتوليد </t>
  </si>
  <si>
    <t>(۳,۹۰۷) </t>
  </si>
  <si>
    <t>(۴,۸۶۴) </t>
  </si>
  <si>
    <t>جمع هزينه هاي توليد </t>
  </si>
  <si>
    <t>۳,۴۵۰,۸۸۷ </t>
  </si>
  <si>
    <t>۲,۲۶۲,۳۶۶ </t>
  </si>
  <si>
    <t>موجودي كالاي درجريان ساخت اول دوره </t>
  </si>
  <si>
    <t>موجودي كالاي درجريان ساخت پايان دوره </t>
  </si>
  <si>
    <t>ضايعات غيرعادي </t>
  </si>
  <si>
    <t>بهاي تمام شده كالاي توليد شده </t>
  </si>
  <si>
    <t>موجودي كالاي ساخته شده اول دوره </t>
  </si>
  <si>
    <t>۴۴۵,۵۴۲ </t>
  </si>
  <si>
    <t>۸۰۳,۷۳۲ </t>
  </si>
  <si>
    <t>موجودي كالاي ساخته شده پايان دوره </t>
  </si>
  <si>
    <t>(۸۰۳,۷۳۲) </t>
  </si>
  <si>
    <t>(۶۴۴,۰۵۳) </t>
  </si>
  <si>
    <t>بهاي تمام شده كالاي فروش رفته </t>
  </si>
  <si>
    <t>۳,۰۹۲,۶۹۷ </t>
  </si>
  <si>
    <t>۲,۴۲۲,۰۴۵ </t>
  </si>
  <si>
    <t>بهاي تمام شده خدمات ارايه شده </t>
  </si>
  <si>
    <t>۳۹,۴۰۹ </t>
  </si>
  <si>
    <t>۷۱,۵۵۸ </t>
  </si>
  <si>
    <t>جمع بهاي تمام شده </t>
  </si>
  <si>
    <t>۳,۱۳۲,۱۰۶ </t>
  </si>
  <si>
    <t>۲,۴۹۳,۶۰۳ </t>
  </si>
  <si>
    <t>سربار تولید و هزینه های عمومی و اداری شرکت</t>
  </si>
  <si>
    <t>هزينه هاي اداري، عمومي و فروش</t>
  </si>
  <si>
    <t>هزينه حقوق و دستمزد </t>
  </si>
  <si>
    <t>۱۹۱,۸۸۷ </t>
  </si>
  <si>
    <t>۱۴,۳۹۷ </t>
  </si>
  <si>
    <t>هزينه استهلاک </t>
  </si>
  <si>
    <t>۲۶,۴۱۲ </t>
  </si>
  <si>
    <t>۳۰,۶۲۱ </t>
  </si>
  <si>
    <t>۳,۰۸۵ </t>
  </si>
  <si>
    <t>۳,۰۸۰ </t>
  </si>
  <si>
    <t>هزينه انرژي (آب، برق، گاز و سوخت) </t>
  </si>
  <si>
    <t>۷۶,۲۸۲ </t>
  </si>
  <si>
    <t>۲۷۱ </t>
  </si>
  <si>
    <t>هزينه مواد مصرفي </t>
  </si>
  <si>
    <t>۱۲,۷۶۱ </t>
  </si>
  <si>
    <t>هزينه حمل و نقل و انتقال </t>
  </si>
  <si>
    <t>۱,۳۲۵ </t>
  </si>
  <si>
    <t>ساير هزينه ها </t>
  </si>
  <si>
    <t>۱۰۷,۴۱۴ </t>
  </si>
  <si>
    <t>۶۶,۰۲۴ </t>
  </si>
  <si>
    <t>۳۵,۶۳۳ </t>
  </si>
  <si>
    <t>۵۴,۷۲۶ </t>
  </si>
  <si>
    <t>۶۶,۶۱۹ </t>
  </si>
  <si>
    <t>مقدار تولید</t>
  </si>
  <si>
    <t>نوع گروه یا محصول</t>
  </si>
  <si>
    <t>شکر توليدي از چغندر</t>
  </si>
  <si>
    <t>تن</t>
  </si>
  <si>
    <t>تفاله خشک</t>
  </si>
  <si>
    <t>شکرتوليدي از شکرخام خريداري</t>
  </si>
  <si>
    <t>تصفيه شکرخام به شکر سفيد (کارمزدي)</t>
  </si>
  <si>
    <t>ملاس</t>
  </si>
  <si>
    <t>شکر صادراتي حاصل از شکرخام</t>
  </si>
  <si>
    <t>جمع</t>
  </si>
  <si>
    <t>مقدار فروش</t>
  </si>
  <si>
    <t>قند توليدي از چغندر</t>
  </si>
  <si>
    <t>يارانه شکر توليدي از چغندر</t>
  </si>
  <si>
    <t>مبلغ فروش</t>
  </si>
  <si>
    <t>میلیون ریال</t>
  </si>
  <si>
    <t>قند توليدي از شکرخام خريداري</t>
  </si>
  <si>
    <t>۱۳۹۸/۰۳/۳۱</t>
  </si>
  <si>
    <t>۱۳۹۷/۰۳/۳۱</t>
  </si>
  <si>
    <t>1398/12/29</t>
  </si>
  <si>
    <t>شکر تولیدی از چغندر</t>
  </si>
  <si>
    <t>نرخ فروش شکر</t>
  </si>
  <si>
    <t>تن / ریال</t>
  </si>
  <si>
    <t>نرخ فروش تفاله</t>
  </si>
  <si>
    <t>نرخ فروش ملاس</t>
  </si>
  <si>
    <t>نرخ خرید چغندر</t>
  </si>
  <si>
    <t>مقدار مصرف چغندر</t>
  </si>
  <si>
    <t>سود هر سهم</t>
  </si>
  <si>
    <t>ریال</t>
  </si>
  <si>
    <t>قیمت سهم</t>
  </si>
  <si>
    <t>نام محصول</t>
  </si>
  <si>
    <t>تفاله خشک (سهميه چغندرکاران)</t>
  </si>
  <si>
    <t>کارشناسی 98</t>
  </si>
  <si>
    <t>نسبت تولید محصولات جانبی</t>
  </si>
  <si>
    <t>سه ماهه ۱۳۹۸</t>
  </si>
  <si>
    <t>کارشناسی ۱۳۹۸</t>
  </si>
  <si>
    <t>نرخ فروش سه ماهه 98 (ریال)</t>
  </si>
  <si>
    <t>سه ماهه 1398</t>
  </si>
  <si>
    <t>کارشناسی 1398</t>
  </si>
  <si>
    <t>هزینه سربار</t>
  </si>
  <si>
    <t>سه ماه 1398</t>
  </si>
  <si>
    <t>۲۹۲,۶۲۹ </t>
  </si>
  <si>
    <t>۳,۷۶۱ </t>
  </si>
  <si>
    <t>۵۷,۴۳۱ </t>
  </si>
  <si>
    <t>۳۵۳,۸۲۱ </t>
  </si>
  <si>
    <t>(۱,۱۱۱) </t>
  </si>
  <si>
    <t>۳۵۲,۷۱۰ </t>
  </si>
  <si>
    <t>۶۴۴,۰۵۳ </t>
  </si>
  <si>
    <t>(۶۶۳,۳۰۵) </t>
  </si>
  <si>
    <t>۳۳۳,۴۵۸ </t>
  </si>
  <si>
    <t>۴۱,۶۱۸ </t>
  </si>
  <si>
    <t>۳۷۵,۰۷۶ </t>
  </si>
  <si>
    <t>مقدار</t>
  </si>
  <si>
    <t>چغندر</t>
  </si>
  <si>
    <t>ضریب مصرف چغندر</t>
  </si>
  <si>
    <t>مبلغ</t>
  </si>
  <si>
    <t>مواد بسته بندی</t>
  </si>
  <si>
    <t>نرخ</t>
  </si>
  <si>
    <t>۱۴,۶۱۷ </t>
  </si>
  <si>
    <t>۳,۲۸۸,۴۰۹.۱۴ </t>
  </si>
  <si>
    <t>p/e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</si>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</sst>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000401]#,##0"/>
    <numFmt numFmtId="165" formatCode="[$-3000401]0"/>
    <numFmt numFmtId="166" formatCode="[$-3000401]#,##0.00"/>
    <numFmt numFmtId="172" formatCode="[$-3000401]#,##0.0"/>
  </numFmts>
  <fonts count="20" x14ac:knownFonts="1">
    <font>
      <sz val="11"/>
      <color theme="1"/>
      <name val="Arial"/>
      <family val="2"/>
      <scheme val="minor"/>
    </font>
    <font>
      <sz val="8"/>
      <color rgb="FF000000"/>
      <name val="Tahoma"/>
      <family val="2"/>
    </font>
    <font>
      <b/>
      <sz val="9"/>
      <color theme="1"/>
      <name val="Tahoma"/>
      <family val="2"/>
    </font>
    <font>
      <sz val="11"/>
      <color theme="1"/>
      <name val="Tahoma"/>
      <family val="2"/>
    </font>
    <font>
      <b/>
      <sz val="9"/>
      <color rgb="FFFFFFFF"/>
      <name val="Tahoma"/>
      <family val="2"/>
    </font>
    <font>
      <sz val="12"/>
      <color rgb="FF555555"/>
      <name val="B Nazanin"/>
      <charset val="178"/>
    </font>
    <font>
      <sz val="12"/>
      <color rgb="FF000000"/>
      <name val="B Nazanin"/>
      <charset val="178"/>
    </font>
    <font>
      <b/>
      <sz val="12"/>
      <color rgb="FF555555"/>
      <name val="B Nazanin"/>
      <charset val="178"/>
    </font>
    <font>
      <sz val="12"/>
      <color theme="1"/>
      <name val="B Nazanin"/>
      <charset val="178"/>
    </font>
    <font>
      <b/>
      <sz val="12.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rgb="FF006400"/>
      <name val="B Nazanin"/>
      <charset val="178"/>
    </font>
    <font>
      <sz val="12"/>
      <color rgb="FF333333"/>
      <name val="B Nazanin"/>
      <charset val="178"/>
    </font>
    <font>
      <sz val="12"/>
      <color rgb="FFFF0000"/>
      <name val="B Nazanin"/>
      <charset val="178"/>
    </font>
    <font>
      <b/>
      <sz val="12"/>
      <color rgb="FFFFFFFF"/>
      <name val="B Nazanin"/>
      <charset val="178"/>
    </font>
    <font>
      <b/>
      <sz val="11"/>
      <color rgb="FF555555"/>
      <name val="B Nazanin"/>
      <charset val="178"/>
    </font>
    <font>
      <b/>
      <sz val="11"/>
      <color rgb="FF333333"/>
      <name val="B Nazanin"/>
      <charset val="178"/>
    </font>
    <font>
      <sz val="10"/>
      <color theme="1"/>
      <name val="B Titr"/>
      <charset val="17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EC8"/>
        <bgColor indexed="64"/>
      </patternFill>
    </fill>
    <fill>
      <patternFill patternType="solid">
        <fgColor rgb="FFE4EBF8"/>
        <bgColor indexed="64"/>
      </patternFill>
    </fill>
    <fill>
      <patternFill patternType="solid">
        <fgColor rgb="FFFEE2A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0E4F5"/>
        <bgColor indexed="64"/>
      </patternFill>
    </fill>
    <fill>
      <patternFill patternType="solid">
        <fgColor rgb="FFF9E7A7"/>
        <bgColor indexed="64"/>
      </patternFill>
    </fill>
    <fill>
      <patternFill patternType="solid">
        <fgColor rgb="FFEEEEEE"/>
        <bgColor rgb="FFEEEEEE"/>
      </patternFill>
    </fill>
    <fill>
      <patternFill patternType="solid">
        <fgColor rgb="FFD0E4F5"/>
        <bgColor rgb="FFD0E4F5"/>
      </patternFill>
    </fill>
    <fill>
      <patternFill patternType="solid">
        <fgColor rgb="FF007EC8"/>
        <bgColor rgb="FF007EC8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rgb="FFEEEEEE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rgb="FFFFFFFF"/>
      </left>
      <right style="medium">
        <color rgb="FFCCCCCC"/>
      </right>
      <top style="medium">
        <color rgb="FFCCCCCC"/>
      </top>
      <bottom/>
      <diagonal/>
    </border>
    <border>
      <left style="medium">
        <color rgb="FFFFFFFF"/>
      </left>
      <right style="medium">
        <color rgb="FFCCCCCC"/>
      </right>
      <top/>
      <bottom/>
      <diagonal/>
    </border>
    <border>
      <left style="medium">
        <color rgb="FFBCBCBC"/>
      </left>
      <right style="medium">
        <color rgb="FFCCCCCC"/>
      </right>
      <top/>
      <bottom/>
      <diagonal/>
    </border>
    <border>
      <left style="medium">
        <color rgb="FFD3D3D3"/>
      </left>
      <right style="medium">
        <color rgb="FFCCCCCC"/>
      </right>
      <top/>
      <bottom/>
      <diagonal/>
    </border>
    <border>
      <left style="medium">
        <color rgb="FFD3D3D3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BCBCBC"/>
      </left>
      <right style="medium">
        <color rgb="FFCCCCCC"/>
      </right>
      <top/>
      <bottom style="medium">
        <color rgb="FFD3D3D3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1C6EA4"/>
      </top>
      <bottom/>
      <diagonal/>
    </border>
    <border>
      <left style="medium">
        <color rgb="FFBBBBBB"/>
      </left>
      <right/>
      <top style="medium">
        <color rgb="FF1C6EA4"/>
      </top>
      <bottom style="medium">
        <color rgb="FFBBBBBB"/>
      </bottom>
      <diagonal/>
    </border>
    <border>
      <left style="medium">
        <color rgb="FFBBBBBB"/>
      </left>
      <right style="medium">
        <color rgb="FF1C6EA4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1C6EA4"/>
      </bottom>
      <diagonal/>
    </border>
    <border>
      <left style="medium">
        <color rgb="FFBBBBBB"/>
      </left>
      <right style="medium">
        <color rgb="FF1C6EA4"/>
      </right>
      <top style="medium">
        <color rgb="FFBBBBBB"/>
      </top>
      <bottom style="medium">
        <color rgb="FF1C6EA4"/>
      </bottom>
      <diagonal/>
    </border>
    <border>
      <left style="medium">
        <color rgb="FF1C6EA4"/>
      </left>
      <right style="medium">
        <color rgb="FFBBBBBB"/>
      </right>
      <top style="medium">
        <color rgb="FFBBBBBB"/>
      </top>
      <bottom style="medium">
        <color rgb="FF1C6EA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BBBBB"/>
      </left>
      <right/>
      <top style="medium">
        <color rgb="FFBBBBBB"/>
      </top>
      <bottom style="medium">
        <color rgb="FF1C6EA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3" fontId="8" fillId="7" borderId="3" xfId="0" applyNumberFormat="1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165" fontId="10" fillId="12" borderId="2" xfId="0" applyNumberFormat="1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165" fontId="10" fillId="12" borderId="19" xfId="0" applyNumberFormat="1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164" fontId="11" fillId="10" borderId="19" xfId="0" applyNumberFormat="1" applyFont="1" applyFill="1" applyBorder="1" applyAlignment="1">
      <alignment horizontal="center" vertical="center" wrapText="1"/>
    </xf>
    <xf numFmtId="164" fontId="11" fillId="11" borderId="19" xfId="0" applyNumberFormat="1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9" fontId="11" fillId="10" borderId="19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14" borderId="20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14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2" fillId="1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11" fillId="7" borderId="19" xfId="0" applyNumberFormat="1" applyFont="1" applyFill="1" applyBorder="1" applyAlignment="1">
      <alignment horizontal="center" vertical="center" wrapText="1"/>
    </xf>
    <xf numFmtId="3" fontId="11" fillId="8" borderId="19" xfId="0" applyNumberFormat="1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3" fontId="11" fillId="7" borderId="8" xfId="0" applyNumberFormat="1" applyFont="1" applyFill="1" applyBorder="1" applyAlignment="1">
      <alignment horizontal="center" vertical="center" wrapText="1"/>
    </xf>
    <xf numFmtId="3" fontId="11" fillId="8" borderId="8" xfId="0" applyNumberFormat="1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3" fontId="11" fillId="7" borderId="18" xfId="0" applyNumberFormat="1" applyFont="1" applyFill="1" applyBorder="1" applyAlignment="1">
      <alignment horizontal="center" vertical="center" wrapText="1"/>
    </xf>
    <xf numFmtId="3" fontId="11" fillId="7" borderId="11" xfId="0" applyNumberFormat="1" applyFont="1" applyFill="1" applyBorder="1" applyAlignment="1">
      <alignment horizontal="center" vertical="center" wrapText="1"/>
    </xf>
    <xf numFmtId="3" fontId="11" fillId="8" borderId="18" xfId="0" applyNumberFormat="1" applyFont="1" applyFill="1" applyBorder="1" applyAlignment="1">
      <alignment horizontal="center" vertical="center" wrapText="1"/>
    </xf>
    <xf numFmtId="3" fontId="11" fillId="8" borderId="1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164" fontId="14" fillId="5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1" fillId="10" borderId="8" xfId="0" applyNumberFormat="1" applyFont="1" applyFill="1" applyBorder="1" applyAlignment="1">
      <alignment horizontal="center" vertical="center" wrapText="1"/>
    </xf>
    <xf numFmtId="164" fontId="11" fillId="11" borderId="8" xfId="0" applyNumberFormat="1" applyFont="1" applyFill="1" applyBorder="1" applyAlignment="1">
      <alignment horizontal="center" vertical="center" wrapText="1"/>
    </xf>
    <xf numFmtId="172" fontId="11" fillId="11" borderId="8" xfId="0" applyNumberFormat="1" applyFont="1" applyFill="1" applyBorder="1" applyAlignment="1">
      <alignment horizontal="center" vertical="center" wrapText="1"/>
    </xf>
    <xf numFmtId="166" fontId="11" fillId="10" borderId="8" xfId="0" applyNumberFormat="1" applyFont="1" applyFill="1" applyBorder="1" applyAlignment="1">
      <alignment horizontal="center" vertical="center" wrapText="1"/>
    </xf>
    <xf numFmtId="165" fontId="12" fillId="12" borderId="2" xfId="0" applyNumberFormat="1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5" borderId="19" xfId="0" applyFont="1" applyFill="1" applyBorder="1" applyAlignment="1">
      <alignment horizontal="center" vertical="center" wrapText="1"/>
    </xf>
    <xf numFmtId="0" fontId="12" fillId="15" borderId="9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0" fontId="12" fillId="15" borderId="10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3" xfId="0" applyFont="1" applyFill="1" applyBorder="1" applyAlignment="1">
      <alignment horizontal="center" vertical="center" wrapText="1"/>
    </xf>
    <xf numFmtId="3" fontId="12" fillId="17" borderId="13" xfId="0" applyNumberFormat="1" applyFont="1" applyFill="1" applyBorder="1" applyAlignment="1">
      <alignment horizontal="center" vertical="center" wrapText="1"/>
    </xf>
    <xf numFmtId="3" fontId="12" fillId="17" borderId="24" xfId="0" applyNumberFormat="1" applyFont="1" applyFill="1" applyBorder="1" applyAlignment="1">
      <alignment horizontal="center" vertical="center" wrapText="1"/>
    </xf>
    <xf numFmtId="3" fontId="12" fillId="17" borderId="14" xfId="0" applyNumberFormat="1" applyFont="1" applyFill="1" applyBorder="1" applyAlignment="1">
      <alignment horizontal="center" vertical="center" wrapText="1"/>
    </xf>
    <xf numFmtId="0" fontId="12" fillId="17" borderId="19" xfId="0" applyFont="1" applyFill="1" applyBorder="1" applyAlignment="1">
      <alignment horizontal="center" vertical="center" wrapText="1"/>
    </xf>
    <xf numFmtId="3" fontId="12" fillId="17" borderId="19" xfId="0" applyNumberFormat="1" applyFont="1" applyFill="1" applyBorder="1" applyAlignment="1">
      <alignment horizontal="center" vertical="center" wrapText="1"/>
    </xf>
    <xf numFmtId="164" fontId="12" fillId="16" borderId="8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3" fontId="12" fillId="9" borderId="3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165" fontId="18" fillId="5" borderId="3" xfId="0" applyNumberFormat="1" applyFont="1" applyFill="1" applyBorder="1" applyAlignment="1">
      <alignment horizontal="center" vertical="center" wrapText="1"/>
    </xf>
    <xf numFmtId="164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164" fontId="19" fillId="10" borderId="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4" fontId="19" fillId="11" borderId="8" xfId="0" applyNumberFormat="1" applyFont="1" applyFill="1" applyBorder="1" applyAlignment="1">
      <alignment horizontal="center" vertical="center" wrapText="1"/>
    </xf>
    <xf numFmtId="166" fontId="19" fillId="11" borderId="8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164" fontId="19" fillId="11" borderId="19" xfId="0" applyNumberFormat="1" applyFont="1" applyFill="1" applyBorder="1" applyAlignment="1">
      <alignment horizontal="center" vertical="center" wrapText="1"/>
    </xf>
    <xf numFmtId="164" fontId="19" fillId="10" borderId="19" xfId="0" applyNumberFormat="1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rightToLeft="1" workbookViewId="0">
      <selection sqref="A1:I1"/>
    </sheetView>
  </sheetViews>
  <sheetFormatPr defaultColWidth="14" defaultRowHeight="14.25" x14ac:dyDescent="0.2"/>
  <cols>
    <col min="1" max="1" width="22.875" style="67" bestFit="1" customWidth="1"/>
    <col min="2" max="8" width="9.875" style="67" bestFit="1" customWidth="1"/>
    <col min="9" max="9" width="13.125" style="67" bestFit="1" customWidth="1"/>
    <col min="10" max="16384" width="14" style="67"/>
  </cols>
  <sheetData>
    <row r="1" spans="1:9" ht="42" x14ac:dyDescent="0.2">
      <c r="A1" s="73" t="s">
        <v>0</v>
      </c>
      <c r="B1" s="74" t="s">
        <v>25</v>
      </c>
      <c r="C1" s="74" t="s">
        <v>26</v>
      </c>
      <c r="D1" s="74" t="s">
        <v>21</v>
      </c>
      <c r="E1" s="74" t="s">
        <v>2</v>
      </c>
      <c r="F1" s="74" t="s">
        <v>103</v>
      </c>
      <c r="G1" s="74" t="s">
        <v>1</v>
      </c>
      <c r="H1" s="74" t="s">
        <v>102</v>
      </c>
      <c r="I1" s="75" t="s">
        <v>123</v>
      </c>
    </row>
    <row r="2" spans="1:9" ht="18.75" x14ac:dyDescent="0.2">
      <c r="A2" s="68" t="s">
        <v>3</v>
      </c>
      <c r="B2" s="60" t="s">
        <v>25</v>
      </c>
      <c r="C2" s="60" t="s">
        <v>26</v>
      </c>
      <c r="D2" s="60" t="s">
        <v>21</v>
      </c>
      <c r="E2" s="60" t="s">
        <v>2</v>
      </c>
      <c r="F2" s="60" t="s">
        <v>103</v>
      </c>
      <c r="G2" s="60" t="s">
        <v>1</v>
      </c>
      <c r="H2" s="60" t="s">
        <v>102</v>
      </c>
      <c r="I2" s="60" t="s">
        <v>104</v>
      </c>
    </row>
    <row r="3" spans="1:9" ht="21" x14ac:dyDescent="0.2">
      <c r="A3" s="69" t="s">
        <v>4</v>
      </c>
      <c r="B3" s="61"/>
      <c r="C3" s="61"/>
      <c r="D3" s="61"/>
      <c r="E3" s="61"/>
      <c r="F3" s="61"/>
      <c r="G3" s="61"/>
      <c r="H3" s="61"/>
      <c r="I3" s="61"/>
    </row>
    <row r="4" spans="1:9" ht="18.75" x14ac:dyDescent="0.2">
      <c r="A4" s="70" t="s">
        <v>5</v>
      </c>
      <c r="B4" s="62">
        <v>2321201</v>
      </c>
      <c r="C4" s="62">
        <v>2338556</v>
      </c>
      <c r="D4" s="62">
        <v>2632096</v>
      </c>
      <c r="E4" s="62">
        <v>3612839</v>
      </c>
      <c r="F4" s="62">
        <v>905008</v>
      </c>
      <c r="G4" s="62">
        <v>2952322</v>
      </c>
      <c r="H4" s="62">
        <v>426951</v>
      </c>
      <c r="I4" s="62">
        <f>'آمار تولید و فروش'!I46</f>
        <v>3874427.1189677469</v>
      </c>
    </row>
    <row r="5" spans="1:9" ht="18.75" x14ac:dyDescent="0.2">
      <c r="A5" s="70" t="s">
        <v>6</v>
      </c>
      <c r="B5" s="63">
        <v>-2206095</v>
      </c>
      <c r="C5" s="63">
        <v>-2155461</v>
      </c>
      <c r="D5" s="63">
        <v>-2370369</v>
      </c>
      <c r="E5" s="63">
        <v>-3132106</v>
      </c>
      <c r="F5" s="63">
        <v>-803817</v>
      </c>
      <c r="G5" s="63">
        <v>-2493603</v>
      </c>
      <c r="H5" s="63">
        <v>-375076</v>
      </c>
      <c r="I5" s="63">
        <f>'بهای تمام شده'!E6*-1</f>
        <v>-2851038.6582732517</v>
      </c>
    </row>
    <row r="6" spans="1:9" ht="18.75" x14ac:dyDescent="0.2">
      <c r="A6" s="71" t="s">
        <v>7</v>
      </c>
      <c r="B6" s="64">
        <v>115106</v>
      </c>
      <c r="C6" s="64">
        <v>183095</v>
      </c>
      <c r="D6" s="64">
        <v>261727</v>
      </c>
      <c r="E6" s="64">
        <v>480733</v>
      </c>
      <c r="F6" s="64">
        <v>101191</v>
      </c>
      <c r="G6" s="64">
        <v>458719</v>
      </c>
      <c r="H6" s="64">
        <f>SUM(H4:H5)</f>
        <v>51875</v>
      </c>
      <c r="I6" s="64">
        <f>SUM(I4:I5)</f>
        <v>1023388.4606944951</v>
      </c>
    </row>
    <row r="7" spans="1:9" ht="18.75" x14ac:dyDescent="0.2">
      <c r="A7" s="70" t="s">
        <v>8</v>
      </c>
      <c r="B7" s="63">
        <v>-42263</v>
      </c>
      <c r="C7" s="63">
        <v>-42349</v>
      </c>
      <c r="D7" s="63">
        <v>-44393</v>
      </c>
      <c r="E7" s="63">
        <v>-54726</v>
      </c>
      <c r="F7" s="63">
        <v>-15245</v>
      </c>
      <c r="G7" s="63">
        <v>-66619</v>
      </c>
      <c r="H7" s="63">
        <v>-16310</v>
      </c>
      <c r="I7" s="63">
        <f>'بهای تمام شده'!L28</f>
        <v>76946.45</v>
      </c>
    </row>
    <row r="8" spans="1:9" ht="18.75" x14ac:dyDescent="0.2">
      <c r="A8" s="70" t="s">
        <v>9</v>
      </c>
      <c r="B8" s="62">
        <v>2410</v>
      </c>
      <c r="C8" s="62">
        <v>5491</v>
      </c>
      <c r="D8" s="65">
        <v>0</v>
      </c>
      <c r="E8" s="62">
        <v>4080</v>
      </c>
      <c r="F8" s="65">
        <v>0</v>
      </c>
      <c r="G8" s="62">
        <v>74664</v>
      </c>
      <c r="H8" s="65">
        <v>0</v>
      </c>
      <c r="I8" s="65">
        <v>0</v>
      </c>
    </row>
    <row r="9" spans="1:9" ht="18.75" x14ac:dyDescent="0.2">
      <c r="A9" s="70" t="s">
        <v>10</v>
      </c>
      <c r="B9" s="65">
        <v>0</v>
      </c>
      <c r="C9" s="63">
        <v>-3924</v>
      </c>
      <c r="D9" s="63">
        <v>-3950</v>
      </c>
      <c r="E9" s="63">
        <v>-58794</v>
      </c>
      <c r="F9" s="65">
        <v>0</v>
      </c>
      <c r="G9" s="63">
        <v>-4864</v>
      </c>
      <c r="H9" s="65">
        <v>0</v>
      </c>
      <c r="I9" s="65">
        <v>0</v>
      </c>
    </row>
    <row r="10" spans="1:9" ht="18.75" x14ac:dyDescent="0.2">
      <c r="A10" s="71" t="s">
        <v>11</v>
      </c>
      <c r="B10" s="64">
        <v>75253</v>
      </c>
      <c r="C10" s="64">
        <v>142313</v>
      </c>
      <c r="D10" s="64">
        <v>213384</v>
      </c>
      <c r="E10" s="64">
        <v>371293</v>
      </c>
      <c r="F10" s="64">
        <v>85946</v>
      </c>
      <c r="G10" s="64">
        <v>461900</v>
      </c>
      <c r="H10" s="64">
        <f>SUM(H6:H9)</f>
        <v>35565</v>
      </c>
      <c r="I10" s="64">
        <f>SUM(I6:I9)</f>
        <v>1100334.9106944951</v>
      </c>
    </row>
    <row r="11" spans="1:9" ht="18.75" x14ac:dyDescent="0.2">
      <c r="A11" s="70" t="s">
        <v>12</v>
      </c>
      <c r="B11" s="63">
        <v>-86797</v>
      </c>
      <c r="C11" s="63">
        <v>-93131</v>
      </c>
      <c r="D11" s="63">
        <v>-78927</v>
      </c>
      <c r="E11" s="63">
        <v>-80251</v>
      </c>
      <c r="F11" s="63">
        <v>-17600</v>
      </c>
      <c r="G11" s="63">
        <v>-64934</v>
      </c>
      <c r="H11" s="63">
        <v>-30371</v>
      </c>
      <c r="I11" s="63">
        <f>-619891*0.18</f>
        <v>-111580.37999999999</v>
      </c>
    </row>
    <row r="12" spans="1:9" ht="37.5" x14ac:dyDescent="0.2">
      <c r="A12" s="70" t="s">
        <v>13</v>
      </c>
      <c r="B12" s="65">
        <v>0</v>
      </c>
      <c r="C12" s="62">
        <v>27842</v>
      </c>
      <c r="D12" s="62">
        <v>67682</v>
      </c>
      <c r="E12" s="62">
        <v>27771</v>
      </c>
      <c r="F12" s="62">
        <v>3164</v>
      </c>
      <c r="G12" s="62">
        <v>8783</v>
      </c>
      <c r="H12" s="62">
        <v>2502</v>
      </c>
      <c r="I12" s="62">
        <f>H12*4</f>
        <v>10008</v>
      </c>
    </row>
    <row r="13" spans="1:9" ht="37.5" x14ac:dyDescent="0.2">
      <c r="A13" s="70" t="s">
        <v>14</v>
      </c>
      <c r="B13" s="62">
        <v>22790</v>
      </c>
      <c r="C13" s="62">
        <v>5224</v>
      </c>
      <c r="D13" s="62">
        <v>4800</v>
      </c>
      <c r="E13" s="62">
        <v>48000</v>
      </c>
      <c r="F13" s="65">
        <v>251</v>
      </c>
      <c r="G13" s="62">
        <v>171717</v>
      </c>
      <c r="H13" s="65">
        <v>803</v>
      </c>
      <c r="I13" s="65">
        <f>H13</f>
        <v>803</v>
      </c>
    </row>
    <row r="14" spans="1:9" ht="37.5" x14ac:dyDescent="0.2">
      <c r="A14" s="71" t="s">
        <v>15</v>
      </c>
      <c r="B14" s="64">
        <v>11246</v>
      </c>
      <c r="C14" s="64">
        <v>82248</v>
      </c>
      <c r="D14" s="64">
        <v>206939</v>
      </c>
      <c r="E14" s="64">
        <v>366813</v>
      </c>
      <c r="F14" s="64">
        <v>71761</v>
      </c>
      <c r="G14" s="64">
        <v>577466</v>
      </c>
      <c r="H14" s="64">
        <f>SUM(H10:H13)</f>
        <v>8499</v>
      </c>
      <c r="I14" s="64">
        <f>SUM(I10:I13)</f>
        <v>999565.53069449507</v>
      </c>
    </row>
    <row r="15" spans="1:9" ht="18.75" x14ac:dyDescent="0.2">
      <c r="A15" s="70" t="s">
        <v>16</v>
      </c>
      <c r="B15" s="63">
        <v>-1723</v>
      </c>
      <c r="C15" s="63">
        <v>-15642</v>
      </c>
      <c r="D15" s="63">
        <v>-33637</v>
      </c>
      <c r="E15" s="63">
        <v>-71288</v>
      </c>
      <c r="F15" s="63">
        <v>-14642</v>
      </c>
      <c r="G15" s="63">
        <v>-100224</v>
      </c>
      <c r="H15" s="63">
        <v>-1200</v>
      </c>
      <c r="I15" s="63">
        <f>G15*I14/G14</f>
        <v>-173482.86435621331</v>
      </c>
    </row>
    <row r="16" spans="1:9" ht="37.5" x14ac:dyDescent="0.2">
      <c r="A16" s="71" t="s">
        <v>17</v>
      </c>
      <c r="B16" s="64">
        <v>9523</v>
      </c>
      <c r="C16" s="64">
        <v>66606</v>
      </c>
      <c r="D16" s="64">
        <v>173302</v>
      </c>
      <c r="E16" s="64">
        <v>295525</v>
      </c>
      <c r="F16" s="64">
        <v>57119</v>
      </c>
      <c r="G16" s="64">
        <v>477242</v>
      </c>
      <c r="H16" s="64">
        <f>SUM(H14:H15)</f>
        <v>7299</v>
      </c>
      <c r="I16" s="64">
        <f>SUM(I14:I15)</f>
        <v>826082.66633828171</v>
      </c>
    </row>
    <row r="17" spans="1:9" ht="37.5" x14ac:dyDescent="0.2">
      <c r="A17" s="70" t="s">
        <v>18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/>
    </row>
    <row r="18" spans="1:9" ht="18.75" x14ac:dyDescent="0.2">
      <c r="A18" s="71" t="s">
        <v>4</v>
      </c>
      <c r="B18" s="64">
        <v>9523</v>
      </c>
      <c r="C18" s="64">
        <v>66606</v>
      </c>
      <c r="D18" s="64">
        <v>173302</v>
      </c>
      <c r="E18" s="64">
        <v>295525</v>
      </c>
      <c r="F18" s="64">
        <v>57119</v>
      </c>
      <c r="G18" s="64">
        <v>477242</v>
      </c>
      <c r="H18" s="64">
        <f>SUM(H16:H17)</f>
        <v>7299</v>
      </c>
      <c r="I18" s="64">
        <f>SUM(I16:I17)</f>
        <v>826082.66633828171</v>
      </c>
    </row>
    <row r="19" spans="1:9" ht="19.5" x14ac:dyDescent="0.2">
      <c r="A19" s="101" t="s">
        <v>19</v>
      </c>
      <c r="B19" s="102">
        <v>49</v>
      </c>
      <c r="C19" s="102">
        <v>342</v>
      </c>
      <c r="D19" s="102">
        <v>889</v>
      </c>
      <c r="E19" s="103">
        <v>1516</v>
      </c>
      <c r="F19" s="102">
        <v>293</v>
      </c>
      <c r="G19" s="103">
        <v>2447</v>
      </c>
      <c r="H19" s="102">
        <v>37</v>
      </c>
      <c r="I19" s="104">
        <f>(I18*1000)/I20</f>
        <v>4236.3213658373425</v>
      </c>
    </row>
    <row r="20" spans="1:9" ht="19.5" thickBot="1" x14ac:dyDescent="0.25">
      <c r="A20" s="72" t="s">
        <v>20</v>
      </c>
      <c r="B20" s="66">
        <v>195000</v>
      </c>
      <c r="C20" s="66">
        <v>195000</v>
      </c>
      <c r="D20" s="66">
        <v>195000</v>
      </c>
      <c r="E20" s="66">
        <v>195000</v>
      </c>
      <c r="F20" s="66">
        <v>195000</v>
      </c>
      <c r="G20" s="66">
        <v>195000</v>
      </c>
      <c r="H20" s="66">
        <v>195000</v>
      </c>
      <c r="I20" s="66">
        <v>195000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rightToLeft="1" workbookViewId="0">
      <selection activeCell="A46" sqref="A46:I46"/>
    </sheetView>
  </sheetViews>
  <sheetFormatPr defaultRowHeight="14.25" x14ac:dyDescent="0.2"/>
  <cols>
    <col min="1" max="1" width="16" style="4" bestFit="1" customWidth="1"/>
    <col min="2" max="2" width="6.5" style="4" bestFit="1" customWidth="1"/>
    <col min="3" max="3" width="9.125" style="4" bestFit="1" customWidth="1"/>
    <col min="4" max="4" width="12.25" style="4" bestFit="1" customWidth="1"/>
    <col min="5" max="5" width="9.125" style="4" bestFit="1" customWidth="1"/>
    <col min="6" max="6" width="21" style="4" bestFit="1" customWidth="1"/>
    <col min="7" max="7" width="11" style="4" bestFit="1" customWidth="1"/>
    <col min="8" max="8" width="9.625" style="4" bestFit="1" customWidth="1"/>
    <col min="9" max="9" width="11.5" style="4" customWidth="1"/>
    <col min="10" max="13" width="9" style="4"/>
    <col min="14" max="14" width="11.875" style="4" bestFit="1" customWidth="1"/>
    <col min="15" max="16384" width="9" style="4"/>
  </cols>
  <sheetData>
    <row r="1" spans="1:11" x14ac:dyDescent="0.2">
      <c r="A1" s="2"/>
      <c r="B1" s="3"/>
      <c r="C1" s="3"/>
      <c r="D1" s="3"/>
      <c r="E1" s="3"/>
      <c r="F1" s="3"/>
      <c r="G1" s="2"/>
      <c r="H1" s="3"/>
      <c r="I1" s="3"/>
      <c r="J1" s="3"/>
      <c r="K1" s="3"/>
    </row>
    <row r="2" spans="1:11" ht="21" x14ac:dyDescent="0.2">
      <c r="A2" s="10" t="s">
        <v>86</v>
      </c>
      <c r="B2" s="10"/>
      <c r="C2" s="10"/>
      <c r="D2" s="10"/>
      <c r="E2" s="10"/>
      <c r="F2" s="10"/>
      <c r="G2" s="10"/>
      <c r="H2" s="10"/>
      <c r="I2" s="10"/>
    </row>
    <row r="3" spans="1:11" ht="42" x14ac:dyDescent="0.2">
      <c r="A3" s="11" t="s">
        <v>87</v>
      </c>
      <c r="B3" s="11" t="s">
        <v>22</v>
      </c>
      <c r="C3" s="14">
        <v>1393</v>
      </c>
      <c r="D3" s="14">
        <v>1394</v>
      </c>
      <c r="E3" s="14">
        <v>1395</v>
      </c>
      <c r="F3" s="14">
        <v>1396</v>
      </c>
      <c r="G3" s="14">
        <v>1397</v>
      </c>
      <c r="H3" s="14" t="s">
        <v>119</v>
      </c>
      <c r="I3" s="15" t="s">
        <v>120</v>
      </c>
    </row>
    <row r="4" spans="1:11" ht="18.75" x14ac:dyDescent="0.2">
      <c r="A4" s="16" t="s">
        <v>88</v>
      </c>
      <c r="B4" s="17" t="s">
        <v>89</v>
      </c>
      <c r="C4" s="6">
        <v>54996</v>
      </c>
      <c r="D4" s="6">
        <v>66119</v>
      </c>
      <c r="E4" s="6">
        <v>62841</v>
      </c>
      <c r="F4" s="6">
        <v>77841</v>
      </c>
      <c r="G4" s="6">
        <v>71154</v>
      </c>
      <c r="H4" s="6">
        <v>8267</v>
      </c>
      <c r="I4" s="6">
        <f>پنل!D2</f>
        <v>75000</v>
      </c>
    </row>
    <row r="5" spans="1:11" ht="18.75" x14ac:dyDescent="0.2">
      <c r="A5" s="18" t="s">
        <v>90</v>
      </c>
      <c r="B5" s="19" t="s">
        <v>89</v>
      </c>
      <c r="C5" s="7">
        <v>28375</v>
      </c>
      <c r="D5" s="7">
        <v>38019</v>
      </c>
      <c r="E5" s="8">
        <v>36544</v>
      </c>
      <c r="F5" s="8">
        <v>41785</v>
      </c>
      <c r="G5" s="7">
        <v>32321</v>
      </c>
      <c r="H5" s="7">
        <v>5200</v>
      </c>
      <c r="I5" s="7">
        <f>I15*$I$4</f>
        <v>39952.889230805515</v>
      </c>
    </row>
    <row r="6" spans="1:11" ht="36" x14ac:dyDescent="0.2">
      <c r="A6" s="16" t="s">
        <v>91</v>
      </c>
      <c r="B6" s="17" t="s">
        <v>89</v>
      </c>
      <c r="C6" s="6">
        <v>39472</v>
      </c>
      <c r="D6" s="6">
        <v>27696</v>
      </c>
      <c r="E6" s="6">
        <v>27945</v>
      </c>
      <c r="F6" s="6">
        <v>46964</v>
      </c>
      <c r="G6" s="6">
        <v>0</v>
      </c>
      <c r="H6" s="6">
        <v>0</v>
      </c>
      <c r="I6" s="6">
        <v>0</v>
      </c>
    </row>
    <row r="7" spans="1:11" ht="36" x14ac:dyDescent="0.2">
      <c r="A7" s="20" t="s">
        <v>92</v>
      </c>
      <c r="B7" s="21" t="s">
        <v>89</v>
      </c>
      <c r="C7" s="7">
        <v>30286</v>
      </c>
      <c r="D7" s="7">
        <v>22239</v>
      </c>
      <c r="E7" s="7">
        <v>49681</v>
      </c>
      <c r="F7" s="7">
        <v>29032</v>
      </c>
      <c r="G7" s="7">
        <v>33379</v>
      </c>
      <c r="H7" s="7">
        <v>32964</v>
      </c>
      <c r="I7" s="7">
        <f>G7</f>
        <v>33379</v>
      </c>
    </row>
    <row r="8" spans="1:11" ht="18.75" x14ac:dyDescent="0.2">
      <c r="A8" s="16" t="s">
        <v>93</v>
      </c>
      <c r="B8" s="17" t="s">
        <v>89</v>
      </c>
      <c r="C8" s="6">
        <v>11653</v>
      </c>
      <c r="D8" s="6">
        <v>15845</v>
      </c>
      <c r="E8" s="6">
        <v>13868</v>
      </c>
      <c r="F8" s="6">
        <v>16566</v>
      </c>
      <c r="G8" s="6">
        <v>10836</v>
      </c>
      <c r="H8" s="6">
        <v>2242</v>
      </c>
      <c r="I8" s="6">
        <f>I16*$I$4</f>
        <v>15559.853947623098</v>
      </c>
    </row>
    <row r="9" spans="1:11" ht="36" x14ac:dyDescent="0.2">
      <c r="A9" s="20" t="s">
        <v>94</v>
      </c>
      <c r="B9" s="21" t="s">
        <v>89</v>
      </c>
      <c r="C9" s="6"/>
      <c r="D9" s="6"/>
      <c r="E9" s="9">
        <v>0</v>
      </c>
      <c r="F9" s="7">
        <v>7199</v>
      </c>
      <c r="G9" s="6">
        <v>0</v>
      </c>
      <c r="H9" s="6"/>
      <c r="I9" s="6">
        <v>0</v>
      </c>
    </row>
    <row r="10" spans="1:11" ht="36" x14ac:dyDescent="0.2">
      <c r="A10" s="20" t="s">
        <v>116</v>
      </c>
      <c r="B10" s="21"/>
      <c r="C10" s="6"/>
      <c r="D10" s="6"/>
      <c r="E10" s="9"/>
      <c r="F10" s="7"/>
      <c r="G10" s="6">
        <v>11014</v>
      </c>
      <c r="H10" s="6">
        <v>0</v>
      </c>
      <c r="I10" s="6">
        <v>0</v>
      </c>
    </row>
    <row r="11" spans="1:11" ht="21" x14ac:dyDescent="0.2">
      <c r="A11" s="97" t="s">
        <v>95</v>
      </c>
      <c r="B11" s="98"/>
      <c r="C11" s="99">
        <v>164782</v>
      </c>
      <c r="D11" s="99">
        <v>169918</v>
      </c>
      <c r="E11" s="99">
        <v>190879</v>
      </c>
      <c r="F11" s="99">
        <v>219387</v>
      </c>
      <c r="G11" s="99">
        <f>SUM(G4:G10)</f>
        <v>158704</v>
      </c>
      <c r="H11" s="99">
        <f>SUM(H4:H10)</f>
        <v>48673</v>
      </c>
      <c r="I11" s="99">
        <f>SUM(I4:I10)</f>
        <v>163891.74317842862</v>
      </c>
    </row>
    <row r="12" spans="1:11" x14ac:dyDescent="0.2">
      <c r="A12" s="3"/>
      <c r="B12" s="3"/>
      <c r="C12" s="3"/>
      <c r="D12" s="3"/>
      <c r="E12" s="3"/>
      <c r="F12" s="3"/>
      <c r="G12" s="2"/>
      <c r="H12" s="2"/>
      <c r="I12" s="2"/>
    </row>
    <row r="13" spans="1:11" ht="42" x14ac:dyDescent="0.2">
      <c r="A13" s="14" t="s">
        <v>118</v>
      </c>
      <c r="B13" s="14" t="s">
        <v>22</v>
      </c>
      <c r="C13" s="14">
        <v>1393</v>
      </c>
      <c r="D13" s="14">
        <v>1394</v>
      </c>
      <c r="E13" s="14">
        <v>1395</v>
      </c>
      <c r="F13" s="14">
        <v>1396</v>
      </c>
      <c r="G13" s="14">
        <v>1397</v>
      </c>
      <c r="H13" s="24" t="s">
        <v>119</v>
      </c>
      <c r="I13" s="15" t="s">
        <v>120</v>
      </c>
    </row>
    <row r="14" spans="1:11" ht="18" x14ac:dyDescent="0.2">
      <c r="A14" s="22" t="s">
        <v>105</v>
      </c>
      <c r="B14" s="22" t="s">
        <v>89</v>
      </c>
      <c r="C14" s="25">
        <f>C4/C$4</f>
        <v>1</v>
      </c>
      <c r="D14" s="25">
        <f t="shared" ref="D14:I15" si="0">D4/D$4</f>
        <v>1</v>
      </c>
      <c r="E14" s="25">
        <f t="shared" si="0"/>
        <v>1</v>
      </c>
      <c r="F14" s="25">
        <f t="shared" si="0"/>
        <v>1</v>
      </c>
      <c r="G14" s="25">
        <f t="shared" si="0"/>
        <v>1</v>
      </c>
      <c r="H14" s="25">
        <f t="shared" si="0"/>
        <v>1</v>
      </c>
      <c r="I14" s="25">
        <f>AVERAGE(C14:G14)</f>
        <v>1</v>
      </c>
    </row>
    <row r="15" spans="1:11" ht="18" x14ac:dyDescent="0.2">
      <c r="A15" s="23" t="s">
        <v>90</v>
      </c>
      <c r="B15" s="23" t="s">
        <v>89</v>
      </c>
      <c r="C15" s="25">
        <f>C5/C$4</f>
        <v>0.51594661429922173</v>
      </c>
      <c r="D15" s="25">
        <f t="shared" si="0"/>
        <v>0.57500869644126495</v>
      </c>
      <c r="E15" s="25">
        <f t="shared" si="0"/>
        <v>0.58153116595853027</v>
      </c>
      <c r="F15" s="25">
        <f t="shared" si="0"/>
        <v>0.5367993730810241</v>
      </c>
      <c r="G15" s="25">
        <f t="shared" si="0"/>
        <v>0.45424009894032663</v>
      </c>
      <c r="H15" s="25">
        <f t="shared" si="0"/>
        <v>0.62900689488327088</v>
      </c>
      <c r="I15" s="25">
        <f>AVERAGE(C15:G15)</f>
        <v>0.53270518974407355</v>
      </c>
    </row>
    <row r="16" spans="1:11" ht="18" x14ac:dyDescent="0.2">
      <c r="A16" s="22" t="s">
        <v>93</v>
      </c>
      <c r="B16" s="22" t="s">
        <v>89</v>
      </c>
      <c r="C16" s="25">
        <f>C8/C$4</f>
        <v>0.21188813731907774</v>
      </c>
      <c r="D16" s="25">
        <f t="shared" ref="D16:H16" si="1">D8/D$4</f>
        <v>0.2396436727718205</v>
      </c>
      <c r="E16" s="25">
        <f t="shared" si="1"/>
        <v>0.22068394837765154</v>
      </c>
      <c r="F16" s="25">
        <f t="shared" si="1"/>
        <v>0.21281843758430646</v>
      </c>
      <c r="G16" s="25">
        <f t="shared" si="1"/>
        <v>0.15228940045535036</v>
      </c>
      <c r="H16" s="25">
        <f t="shared" si="1"/>
        <v>0.27119874198621025</v>
      </c>
      <c r="I16" s="25">
        <f>AVERAGE(C16:G16)</f>
        <v>0.20746471930164131</v>
      </c>
    </row>
    <row r="17" spans="1:11" x14ac:dyDescent="0.2">
      <c r="A17" s="3"/>
      <c r="B17" s="3"/>
      <c r="C17" s="3"/>
      <c r="D17" s="3"/>
      <c r="E17" s="3"/>
      <c r="F17" s="3"/>
      <c r="G17" s="2"/>
    </row>
    <row r="18" spans="1:11" x14ac:dyDescent="0.2">
      <c r="A18" s="2"/>
      <c r="B18" s="3"/>
      <c r="C18" s="3"/>
      <c r="D18" s="3"/>
      <c r="E18" s="3"/>
      <c r="F18" s="3"/>
      <c r="G18" s="5"/>
      <c r="H18" s="5"/>
      <c r="I18" s="3"/>
      <c r="J18" s="3"/>
      <c r="K18" s="3"/>
    </row>
    <row r="19" spans="1:11" ht="21" x14ac:dyDescent="0.2">
      <c r="A19" s="28" t="s">
        <v>96</v>
      </c>
      <c r="B19" s="29"/>
      <c r="C19" s="29"/>
      <c r="D19" s="29"/>
      <c r="E19" s="29"/>
      <c r="F19" s="29"/>
      <c r="G19" s="29"/>
      <c r="H19" s="29"/>
      <c r="I19" s="30"/>
    </row>
    <row r="20" spans="1:11" ht="42" x14ac:dyDescent="0.2">
      <c r="A20" s="11" t="s">
        <v>87</v>
      </c>
      <c r="B20" s="11" t="s">
        <v>22</v>
      </c>
      <c r="C20" s="12">
        <v>1393</v>
      </c>
      <c r="D20" s="12">
        <v>1394</v>
      </c>
      <c r="E20" s="12">
        <v>1395</v>
      </c>
      <c r="F20" s="12">
        <v>1396</v>
      </c>
      <c r="G20" s="12">
        <v>1397</v>
      </c>
      <c r="H20" s="31" t="s">
        <v>119</v>
      </c>
      <c r="I20" s="13" t="s">
        <v>120</v>
      </c>
    </row>
    <row r="21" spans="1:11" ht="18" x14ac:dyDescent="0.2">
      <c r="A21" s="16" t="s">
        <v>88</v>
      </c>
      <c r="B21" s="17" t="s">
        <v>89</v>
      </c>
      <c r="C21" s="26">
        <v>65358</v>
      </c>
      <c r="D21" s="26">
        <v>64571</v>
      </c>
      <c r="E21" s="26">
        <v>56077</v>
      </c>
      <c r="F21" s="26">
        <v>68451</v>
      </c>
      <c r="G21" s="26">
        <v>71791</v>
      </c>
      <c r="H21" s="26">
        <v>10001</v>
      </c>
      <c r="I21" s="26">
        <f>I4</f>
        <v>75000</v>
      </c>
    </row>
    <row r="22" spans="1:11" ht="28.5" customHeight="1" x14ac:dyDescent="0.2">
      <c r="A22" s="20" t="s">
        <v>97</v>
      </c>
      <c r="B22" s="21" t="s">
        <v>89</v>
      </c>
      <c r="C22" s="21">
        <v>0</v>
      </c>
      <c r="D22" s="21">
        <v>2</v>
      </c>
      <c r="E22" s="21">
        <v>1</v>
      </c>
      <c r="F22" s="21">
        <v>1</v>
      </c>
      <c r="G22" s="21">
        <v>1</v>
      </c>
      <c r="H22" s="26"/>
      <c r="I22" s="21">
        <v>0</v>
      </c>
    </row>
    <row r="23" spans="1:11" ht="18" x14ac:dyDescent="0.2">
      <c r="A23" s="16" t="s">
        <v>90</v>
      </c>
      <c r="B23" s="17" t="s">
        <v>89</v>
      </c>
      <c r="C23" s="26">
        <v>23532</v>
      </c>
      <c r="D23" s="26">
        <v>38553</v>
      </c>
      <c r="E23" s="26">
        <v>38845</v>
      </c>
      <c r="F23" s="26">
        <v>39343</v>
      </c>
      <c r="G23" s="26">
        <v>34844</v>
      </c>
      <c r="H23" s="26">
        <v>3666</v>
      </c>
      <c r="I23" s="26">
        <f>I5</f>
        <v>39952.889230805515</v>
      </c>
    </row>
    <row r="24" spans="1:11" ht="36" x14ac:dyDescent="0.2">
      <c r="A24" s="20" t="s">
        <v>91</v>
      </c>
      <c r="B24" s="21" t="s">
        <v>89</v>
      </c>
      <c r="C24" s="27">
        <v>38190</v>
      </c>
      <c r="D24" s="27">
        <v>22726</v>
      </c>
      <c r="E24" s="27">
        <v>32150</v>
      </c>
      <c r="F24" s="27">
        <v>47734</v>
      </c>
      <c r="G24" s="27">
        <v>3365</v>
      </c>
      <c r="H24" s="26">
        <v>1</v>
      </c>
      <c r="I24" s="27">
        <v>1</v>
      </c>
    </row>
    <row r="25" spans="1:11" ht="36" x14ac:dyDescent="0.2">
      <c r="A25" s="16" t="s">
        <v>101</v>
      </c>
      <c r="B25" s="17" t="s">
        <v>89</v>
      </c>
      <c r="C25" s="17">
        <v>0</v>
      </c>
      <c r="D25" s="17">
        <v>32</v>
      </c>
      <c r="E25" s="27">
        <v>0</v>
      </c>
      <c r="F25" s="27">
        <v>0</v>
      </c>
      <c r="G25" s="27"/>
      <c r="H25" s="26"/>
      <c r="I25" s="27">
        <v>0</v>
      </c>
    </row>
    <row r="26" spans="1:11" ht="36" x14ac:dyDescent="0.2">
      <c r="A26" s="16" t="s">
        <v>92</v>
      </c>
      <c r="B26" s="17" t="s">
        <v>89</v>
      </c>
      <c r="C26" s="27">
        <v>30286</v>
      </c>
      <c r="D26" s="27">
        <v>22239</v>
      </c>
      <c r="E26" s="26">
        <v>49681</v>
      </c>
      <c r="F26" s="26">
        <v>29032</v>
      </c>
      <c r="G26" s="26">
        <v>33379</v>
      </c>
      <c r="H26" s="26">
        <v>32964</v>
      </c>
      <c r="I26" s="26">
        <f>I7</f>
        <v>33379</v>
      </c>
    </row>
    <row r="27" spans="1:11" ht="18" x14ac:dyDescent="0.2">
      <c r="A27" s="20" t="s">
        <v>93</v>
      </c>
      <c r="B27" s="21" t="s">
        <v>89</v>
      </c>
      <c r="C27" s="27">
        <v>12091</v>
      </c>
      <c r="D27" s="26">
        <v>13858</v>
      </c>
      <c r="E27" s="27">
        <v>14707</v>
      </c>
      <c r="F27" s="27">
        <v>17011</v>
      </c>
      <c r="G27" s="27">
        <v>10791</v>
      </c>
      <c r="H27" s="26">
        <v>1212</v>
      </c>
      <c r="I27" s="27">
        <f>I8</f>
        <v>15559.853947623098</v>
      </c>
    </row>
    <row r="28" spans="1:11" ht="36" x14ac:dyDescent="0.2">
      <c r="A28" s="16" t="s">
        <v>98</v>
      </c>
      <c r="B28" s="17" t="s">
        <v>89</v>
      </c>
      <c r="C28" s="26">
        <v>54996</v>
      </c>
      <c r="D28" s="27">
        <v>65973</v>
      </c>
      <c r="E28" s="26">
        <v>62702</v>
      </c>
      <c r="F28" s="26">
        <v>94702</v>
      </c>
      <c r="G28" s="26"/>
      <c r="H28" s="26"/>
      <c r="I28" s="26"/>
    </row>
    <row r="29" spans="1:11" ht="36" x14ac:dyDescent="0.2">
      <c r="A29" s="20" t="s">
        <v>94</v>
      </c>
      <c r="B29" s="21" t="s">
        <v>89</v>
      </c>
      <c r="C29" s="26"/>
      <c r="D29" s="27"/>
      <c r="E29" s="21">
        <v>0</v>
      </c>
      <c r="F29" s="27">
        <v>1038</v>
      </c>
      <c r="G29" s="27">
        <v>6724</v>
      </c>
      <c r="H29" s="26"/>
      <c r="I29" s="27"/>
    </row>
    <row r="30" spans="1:11" ht="36" x14ac:dyDescent="0.2">
      <c r="A30" s="20" t="s">
        <v>116</v>
      </c>
      <c r="B30" s="21"/>
      <c r="C30" s="26"/>
      <c r="D30" s="27"/>
      <c r="E30" s="21"/>
      <c r="F30" s="27"/>
      <c r="G30" s="27">
        <v>9193</v>
      </c>
      <c r="H30" s="26">
        <v>1931</v>
      </c>
      <c r="I30" s="27">
        <f>H30*4</f>
        <v>7724</v>
      </c>
    </row>
    <row r="31" spans="1:11" ht="19.5" x14ac:dyDescent="0.2">
      <c r="A31" s="97" t="s">
        <v>95</v>
      </c>
      <c r="B31" s="98"/>
      <c r="C31" s="100">
        <v>224453</v>
      </c>
      <c r="D31" s="100">
        <v>227954</v>
      </c>
      <c r="E31" s="100">
        <v>254163</v>
      </c>
      <c r="F31" s="100">
        <v>297312</v>
      </c>
      <c r="G31" s="100">
        <f>SUM(G21:G30)</f>
        <v>170088</v>
      </c>
      <c r="H31" s="100">
        <f>SUM(H21:H30)</f>
        <v>49775</v>
      </c>
      <c r="I31" s="100">
        <f>SUM(I21:I30)</f>
        <v>171616.74317842862</v>
      </c>
      <c r="J31" s="5"/>
      <c r="K31" s="5"/>
    </row>
    <row r="32" spans="1:11" x14ac:dyDescent="0.2">
      <c r="A32" s="3"/>
      <c r="B32" s="3"/>
      <c r="C32" s="3"/>
      <c r="D32" s="3"/>
      <c r="E32" s="3"/>
      <c r="F32" s="3"/>
      <c r="G32" s="2"/>
      <c r="H32" s="3"/>
      <c r="I32" s="3"/>
      <c r="J32" s="3"/>
      <c r="K32" s="3"/>
    </row>
    <row r="33" spans="1:11" x14ac:dyDescent="0.2">
      <c r="A33" s="2"/>
      <c r="B33" s="3"/>
      <c r="C33" s="3"/>
      <c r="D33" s="3"/>
      <c r="E33" s="3"/>
      <c r="F33" s="5"/>
      <c r="G33" s="5"/>
      <c r="H33" s="5"/>
      <c r="I33" s="3"/>
      <c r="J33" s="3"/>
      <c r="K33" s="3"/>
    </row>
    <row r="34" spans="1:11" ht="21" x14ac:dyDescent="0.2">
      <c r="A34" s="10" t="s">
        <v>99</v>
      </c>
      <c r="B34" s="10"/>
      <c r="C34" s="10"/>
      <c r="D34" s="10"/>
      <c r="E34" s="10"/>
      <c r="F34" s="10"/>
      <c r="G34" s="10"/>
      <c r="H34" s="10"/>
      <c r="I34" s="10"/>
    </row>
    <row r="35" spans="1:11" ht="42" x14ac:dyDescent="0.2">
      <c r="A35" s="11" t="s">
        <v>87</v>
      </c>
      <c r="B35" s="11" t="s">
        <v>22</v>
      </c>
      <c r="C35" s="12">
        <v>1393</v>
      </c>
      <c r="D35" s="12">
        <v>1394</v>
      </c>
      <c r="E35" s="12">
        <v>1395</v>
      </c>
      <c r="F35" s="12">
        <v>1396</v>
      </c>
      <c r="G35" s="12">
        <v>1397</v>
      </c>
      <c r="H35" s="31" t="s">
        <v>119</v>
      </c>
      <c r="I35" s="13" t="s">
        <v>120</v>
      </c>
    </row>
    <row r="36" spans="1:11" ht="36" x14ac:dyDescent="0.2">
      <c r="A36" s="16" t="s">
        <v>88</v>
      </c>
      <c r="B36" s="17" t="s">
        <v>100</v>
      </c>
      <c r="C36" s="26">
        <v>1254395</v>
      </c>
      <c r="D36" s="26">
        <v>1413236</v>
      </c>
      <c r="E36" s="26">
        <v>1384557</v>
      </c>
      <c r="F36" s="26">
        <v>1771224</v>
      </c>
      <c r="G36" s="26">
        <v>2125607</v>
      </c>
      <c r="H36" s="26">
        <v>298792</v>
      </c>
      <c r="I36" s="26">
        <f>I21*G50/1000000</f>
        <v>2775000</v>
      </c>
    </row>
    <row r="37" spans="1:11" ht="36" x14ac:dyDescent="0.2">
      <c r="A37" s="20" t="s">
        <v>97</v>
      </c>
      <c r="B37" s="21" t="s">
        <v>100</v>
      </c>
      <c r="C37" s="21">
        <v>0</v>
      </c>
      <c r="D37" s="21">
        <v>41</v>
      </c>
      <c r="E37" s="21">
        <v>31</v>
      </c>
      <c r="F37" s="21">
        <v>15</v>
      </c>
      <c r="G37" s="21">
        <v>17</v>
      </c>
      <c r="H37" s="26"/>
      <c r="I37" s="21">
        <v>0</v>
      </c>
    </row>
    <row r="38" spans="1:11" ht="36" x14ac:dyDescent="0.2">
      <c r="A38" s="16" t="s">
        <v>90</v>
      </c>
      <c r="B38" s="17" t="s">
        <v>100</v>
      </c>
      <c r="C38" s="26">
        <v>153797</v>
      </c>
      <c r="D38" s="26">
        <v>215737</v>
      </c>
      <c r="E38" s="26">
        <v>207839</v>
      </c>
      <c r="F38" s="26">
        <v>294216</v>
      </c>
      <c r="G38" s="26">
        <v>422281</v>
      </c>
      <c r="H38" s="26">
        <v>70676</v>
      </c>
      <c r="I38" s="26">
        <f>I23*G51/1000000</f>
        <v>770242.88193929032</v>
      </c>
    </row>
    <row r="39" spans="1:11" ht="36" x14ac:dyDescent="0.2">
      <c r="A39" s="20" t="s">
        <v>91</v>
      </c>
      <c r="B39" s="21" t="s">
        <v>100</v>
      </c>
      <c r="C39" s="27">
        <v>711069</v>
      </c>
      <c r="D39" s="27">
        <v>495493</v>
      </c>
      <c r="E39" s="27">
        <v>795666</v>
      </c>
      <c r="F39" s="27">
        <v>1227609</v>
      </c>
      <c r="G39" s="27">
        <v>92868</v>
      </c>
      <c r="H39" s="26">
        <v>24</v>
      </c>
      <c r="I39" s="27">
        <v>24</v>
      </c>
    </row>
    <row r="40" spans="1:11" ht="36" x14ac:dyDescent="0.2">
      <c r="A40" s="16" t="s">
        <v>101</v>
      </c>
      <c r="B40" s="17" t="s">
        <v>100</v>
      </c>
      <c r="C40" s="17">
        <v>0</v>
      </c>
      <c r="D40" s="17">
        <v>643</v>
      </c>
      <c r="E40" s="27">
        <v>0</v>
      </c>
      <c r="F40" s="27">
        <v>0</v>
      </c>
      <c r="G40" s="27"/>
      <c r="H40" s="26"/>
      <c r="I40" s="27">
        <v>0</v>
      </c>
    </row>
    <row r="41" spans="1:11" ht="36" x14ac:dyDescent="0.2">
      <c r="A41" s="16" t="s">
        <v>92</v>
      </c>
      <c r="B41" s="17" t="s">
        <v>100</v>
      </c>
      <c r="C41" s="27">
        <v>32761</v>
      </c>
      <c r="D41" s="27">
        <v>22597</v>
      </c>
      <c r="E41" s="26">
        <v>52048</v>
      </c>
      <c r="F41" s="26">
        <v>30279</v>
      </c>
      <c r="G41" s="26">
        <v>39756</v>
      </c>
      <c r="H41" s="26">
        <v>41205</v>
      </c>
      <c r="I41" s="26">
        <f>I26*G55/1000000</f>
        <v>41723.75</v>
      </c>
    </row>
    <row r="42" spans="1:11" ht="36" x14ac:dyDescent="0.2">
      <c r="A42" s="20" t="s">
        <v>93</v>
      </c>
      <c r="B42" s="21" t="s">
        <v>100</v>
      </c>
      <c r="C42" s="27">
        <v>59187</v>
      </c>
      <c r="D42" s="26">
        <v>50185</v>
      </c>
      <c r="E42" s="27">
        <v>43977</v>
      </c>
      <c r="F42" s="27">
        <v>54172</v>
      </c>
      <c r="G42" s="27">
        <v>58555</v>
      </c>
      <c r="H42" s="26">
        <v>21667</v>
      </c>
      <c r="I42" s="27">
        <f>I27*G53/1000000</f>
        <v>278164.48929245683</v>
      </c>
    </row>
    <row r="43" spans="1:11" ht="36" x14ac:dyDescent="0.2">
      <c r="A43" s="16" t="s">
        <v>98</v>
      </c>
      <c r="B43" s="17" t="s">
        <v>100</v>
      </c>
      <c r="C43" s="32">
        <v>109992</v>
      </c>
      <c r="D43" s="27">
        <v>140624</v>
      </c>
      <c r="E43" s="26">
        <v>147978</v>
      </c>
      <c r="F43" s="26">
        <v>213675</v>
      </c>
      <c r="G43" s="26"/>
      <c r="H43" s="26"/>
      <c r="I43" s="26">
        <v>0</v>
      </c>
    </row>
    <row r="44" spans="1:11" ht="36" x14ac:dyDescent="0.2">
      <c r="A44" s="20" t="s">
        <v>94</v>
      </c>
      <c r="B44" s="21" t="s">
        <v>100</v>
      </c>
      <c r="C44" s="32"/>
      <c r="D44" s="27">
        <v>0</v>
      </c>
      <c r="E44" s="21">
        <v>0</v>
      </c>
      <c r="F44" s="27">
        <v>21649</v>
      </c>
      <c r="G44" s="27">
        <v>149486</v>
      </c>
      <c r="H44" s="26"/>
      <c r="I44" s="27">
        <v>0</v>
      </c>
    </row>
    <row r="45" spans="1:11" ht="36" x14ac:dyDescent="0.2">
      <c r="A45" s="20" t="s">
        <v>116</v>
      </c>
      <c r="B45" s="21"/>
      <c r="C45" s="32"/>
      <c r="D45" s="27"/>
      <c r="E45" s="21"/>
      <c r="F45" s="27"/>
      <c r="G45" s="27">
        <v>10392</v>
      </c>
      <c r="H45" s="26">
        <v>2318</v>
      </c>
      <c r="I45" s="27">
        <f>I30*G52/1000000</f>
        <v>9271.9977359999993</v>
      </c>
    </row>
    <row r="46" spans="1:11" ht="19.5" x14ac:dyDescent="0.2">
      <c r="A46" s="97" t="s">
        <v>95</v>
      </c>
      <c r="B46" s="98"/>
      <c r="C46" s="100">
        <v>2321201</v>
      </c>
      <c r="D46" s="100">
        <v>2338556</v>
      </c>
      <c r="E46" s="100">
        <v>2632096</v>
      </c>
      <c r="F46" s="100">
        <v>3612839</v>
      </c>
      <c r="G46" s="100">
        <f>SUM(G36:G45)</f>
        <v>2898962</v>
      </c>
      <c r="H46" s="100">
        <f t="shared" ref="H46:I46" si="2">SUM(H36:H45)</f>
        <v>434682</v>
      </c>
      <c r="I46" s="100">
        <f t="shared" si="2"/>
        <v>3874427.1189677469</v>
      </c>
    </row>
    <row r="47" spans="1:11" ht="15" thickBot="1" x14ac:dyDescent="0.25"/>
    <row r="48" spans="1:11" ht="20.25" thickBot="1" x14ac:dyDescent="0.25">
      <c r="D48" s="33" t="s">
        <v>0</v>
      </c>
      <c r="E48" s="34"/>
      <c r="F48" s="35" t="s">
        <v>121</v>
      </c>
      <c r="G48" s="36" t="s">
        <v>117</v>
      </c>
    </row>
    <row r="49" spans="4:7" ht="20.25" thickBot="1" x14ac:dyDescent="0.25">
      <c r="D49" s="37" t="s">
        <v>115</v>
      </c>
      <c r="E49" s="37" t="s">
        <v>22</v>
      </c>
      <c r="F49" s="38"/>
      <c r="G49" s="39"/>
    </row>
    <row r="50" spans="4:7" ht="36.75" thickBot="1" x14ac:dyDescent="0.25">
      <c r="D50" s="40" t="s">
        <v>88</v>
      </c>
      <c r="E50" s="40" t="s">
        <v>89</v>
      </c>
      <c r="F50" s="41">
        <v>29876212</v>
      </c>
      <c r="G50" s="41">
        <f>پنل!D4</f>
        <v>37000000</v>
      </c>
    </row>
    <row r="51" spans="4:7" ht="18.75" thickBot="1" x14ac:dyDescent="0.25">
      <c r="D51" s="40" t="s">
        <v>90</v>
      </c>
      <c r="E51" s="40" t="s">
        <v>89</v>
      </c>
      <c r="F51" s="41">
        <v>19278778</v>
      </c>
      <c r="G51" s="41">
        <f>F51</f>
        <v>19278778</v>
      </c>
    </row>
    <row r="52" spans="4:7" ht="54.75" thickBot="1" x14ac:dyDescent="0.25">
      <c r="D52" s="40" t="s">
        <v>116</v>
      </c>
      <c r="E52" s="40" t="s">
        <v>89</v>
      </c>
      <c r="F52" s="41">
        <v>1200414</v>
      </c>
      <c r="G52" s="41">
        <f>F52</f>
        <v>1200414</v>
      </c>
    </row>
    <row r="53" spans="4:7" ht="18.75" thickBot="1" x14ac:dyDescent="0.25">
      <c r="D53" s="40" t="s">
        <v>93</v>
      </c>
      <c r="E53" s="40" t="s">
        <v>89</v>
      </c>
      <c r="F53" s="41">
        <v>17877063</v>
      </c>
      <c r="G53" s="41">
        <f>F53</f>
        <v>17877063</v>
      </c>
    </row>
    <row r="54" spans="4:7" ht="36.75" thickBot="1" x14ac:dyDescent="0.25">
      <c r="D54" s="40" t="s">
        <v>91</v>
      </c>
      <c r="E54" s="40" t="s">
        <v>89</v>
      </c>
      <c r="F54" s="41">
        <v>24000000</v>
      </c>
      <c r="G54" s="41">
        <f>F54</f>
        <v>24000000</v>
      </c>
    </row>
    <row r="55" spans="4:7" ht="54.75" thickBot="1" x14ac:dyDescent="0.25">
      <c r="D55" s="40" t="s">
        <v>92</v>
      </c>
      <c r="E55" s="40" t="s">
        <v>89</v>
      </c>
      <c r="F55" s="41">
        <v>1250000</v>
      </c>
      <c r="G55" s="41">
        <f>F55</f>
        <v>1250000</v>
      </c>
    </row>
  </sheetData>
  <mergeCells count="6">
    <mergeCell ref="A34:I34"/>
    <mergeCell ref="F48:F49"/>
    <mergeCell ref="G48:G49"/>
    <mergeCell ref="A2:I2"/>
    <mergeCell ref="A19:I19"/>
    <mergeCell ref="D48:E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rightToLeft="1" workbookViewId="0">
      <selection activeCell="I1" sqref="I1"/>
    </sheetView>
  </sheetViews>
  <sheetFormatPr defaultColWidth="10.875" defaultRowHeight="14.25" x14ac:dyDescent="0.2"/>
  <cols>
    <col min="1" max="1" width="12.25" style="4" bestFit="1" customWidth="1"/>
    <col min="2" max="3" width="9.25" style="4" bestFit="1" customWidth="1"/>
    <col min="4" max="4" width="9.625" style="4" bestFit="1" customWidth="1"/>
    <col min="5" max="5" width="9.25" style="4" bestFit="1" customWidth="1"/>
    <col min="6" max="6" width="11" style="4" bestFit="1" customWidth="1"/>
    <col min="7" max="7" width="9.75" style="4" bestFit="1" customWidth="1"/>
    <col min="8" max="8" width="10.875" style="4"/>
    <col min="9" max="9" width="11.625" style="4" customWidth="1"/>
    <col min="10" max="10" width="11.5" style="4" bestFit="1" customWidth="1"/>
    <col min="11" max="11" width="9.625" style="4" bestFit="1" customWidth="1"/>
    <col min="12" max="12" width="9" style="4" bestFit="1" customWidth="1"/>
    <col min="13" max="16384" width="10.875" style="4"/>
  </cols>
  <sheetData>
    <row r="2" spans="1:10" ht="39" x14ac:dyDescent="0.2">
      <c r="A2" s="83" t="s">
        <v>27</v>
      </c>
      <c r="B2" s="83">
        <v>1396</v>
      </c>
      <c r="C2" s="83">
        <v>1397</v>
      </c>
      <c r="D2" s="83" t="s">
        <v>122</v>
      </c>
      <c r="E2" s="48" t="s">
        <v>123</v>
      </c>
    </row>
    <row r="3" spans="1:10" ht="39.75" thickBot="1" x14ac:dyDescent="0.25">
      <c r="A3" s="46" t="s">
        <v>28</v>
      </c>
      <c r="B3" s="50" t="s">
        <v>29</v>
      </c>
      <c r="C3" s="50" t="s">
        <v>30</v>
      </c>
      <c r="D3" s="50" t="s">
        <v>126</v>
      </c>
      <c r="E3" s="50">
        <f>J11</f>
        <v>2446404.2582732518</v>
      </c>
      <c r="G3" s="81" t="s">
        <v>137</v>
      </c>
      <c r="H3" s="81">
        <v>1397</v>
      </c>
      <c r="I3" s="81" t="s">
        <v>119</v>
      </c>
      <c r="J3" s="82" t="s">
        <v>120</v>
      </c>
    </row>
    <row r="4" spans="1:10" ht="36.75" thickBot="1" x14ac:dyDescent="0.25">
      <c r="A4" s="47" t="s">
        <v>31</v>
      </c>
      <c r="B4" s="51" t="s">
        <v>32</v>
      </c>
      <c r="C4" s="51">
        <v>19849</v>
      </c>
      <c r="D4" s="51" t="s">
        <v>127</v>
      </c>
      <c r="E4" s="51">
        <f>C4*1.2</f>
        <v>23818.799999999999</v>
      </c>
      <c r="G4" s="77" t="s">
        <v>138</v>
      </c>
      <c r="H4" s="77">
        <v>561917</v>
      </c>
      <c r="I4" s="77">
        <v>68975</v>
      </c>
      <c r="J4" s="77">
        <f>پنل!D9</f>
        <v>592289.61126570532</v>
      </c>
    </row>
    <row r="5" spans="1:10" ht="36.75" thickBot="1" x14ac:dyDescent="0.25">
      <c r="A5" s="46" t="s">
        <v>33</v>
      </c>
      <c r="B5" s="50" t="s">
        <v>34</v>
      </c>
      <c r="C5" s="50" t="s">
        <v>35</v>
      </c>
      <c r="D5" s="50" t="s">
        <v>128</v>
      </c>
      <c r="E5" s="50">
        <f>E28</f>
        <v>380815.6</v>
      </c>
      <c r="G5" s="78" t="s">
        <v>139</v>
      </c>
      <c r="H5" s="79">
        <f>H4/'آمار تولید و فروش'!G4</f>
        <v>7.8971948168760715</v>
      </c>
      <c r="I5" s="79">
        <f>I4/'آمار تولید و فروش'!H4</f>
        <v>8.343413572033386</v>
      </c>
      <c r="J5" s="79">
        <f>H5</f>
        <v>7.8971948168760715</v>
      </c>
    </row>
    <row r="6" spans="1:10" ht="18" x14ac:dyDescent="0.2">
      <c r="A6" s="47" t="s">
        <v>24</v>
      </c>
      <c r="B6" s="51" t="s">
        <v>36</v>
      </c>
      <c r="C6" s="51" t="s">
        <v>37</v>
      </c>
      <c r="D6" s="51" t="s">
        <v>129</v>
      </c>
      <c r="E6" s="51">
        <f>SUM(E3:E5)</f>
        <v>2851038.6582732517</v>
      </c>
      <c r="G6" s="76"/>
      <c r="H6" s="76"/>
      <c r="I6" s="76"/>
      <c r="J6" s="76"/>
    </row>
    <row r="7" spans="1:10" ht="36" x14ac:dyDescent="0.2">
      <c r="A7" s="46" t="s">
        <v>38</v>
      </c>
      <c r="B7" s="50" t="s">
        <v>39</v>
      </c>
      <c r="C7" s="50" t="s">
        <v>40</v>
      </c>
      <c r="D7" s="50" t="s">
        <v>130</v>
      </c>
      <c r="E7" s="50"/>
      <c r="G7" s="76"/>
      <c r="H7" s="76"/>
      <c r="I7" s="76"/>
      <c r="J7" s="76"/>
    </row>
    <row r="8" spans="1:10" ht="39.75" thickBot="1" x14ac:dyDescent="0.25">
      <c r="A8" s="47" t="s">
        <v>41</v>
      </c>
      <c r="B8" s="51" t="s">
        <v>42</v>
      </c>
      <c r="C8" s="51" t="s">
        <v>43</v>
      </c>
      <c r="D8" s="51" t="s">
        <v>131</v>
      </c>
      <c r="E8" s="51"/>
      <c r="G8" s="81" t="s">
        <v>140</v>
      </c>
      <c r="H8" s="81">
        <v>1397</v>
      </c>
      <c r="I8" s="81" t="s">
        <v>119</v>
      </c>
      <c r="J8" s="82" t="s">
        <v>120</v>
      </c>
    </row>
    <row r="9" spans="1:10" ht="54.75" thickBot="1" x14ac:dyDescent="0.25">
      <c r="A9" s="46" t="s">
        <v>44</v>
      </c>
      <c r="B9" s="50" t="s">
        <v>23</v>
      </c>
      <c r="C9" s="50" t="s">
        <v>23</v>
      </c>
      <c r="D9" s="50" t="s">
        <v>23</v>
      </c>
      <c r="E9" s="50"/>
      <c r="G9" s="77" t="s">
        <v>138</v>
      </c>
      <c r="H9" s="77">
        <v>1847813</v>
      </c>
      <c r="I9" s="77">
        <v>278012</v>
      </c>
      <c r="J9" s="77">
        <f>J4*J15/1000000</f>
        <v>2387624.2582732518</v>
      </c>
    </row>
    <row r="10" spans="1:10" ht="54.75" thickBot="1" x14ac:dyDescent="0.25">
      <c r="A10" s="47" t="s">
        <v>45</v>
      </c>
      <c r="B10" s="51" t="s">
        <v>23</v>
      </c>
      <c r="C10" s="51" t="s">
        <v>23</v>
      </c>
      <c r="D10" s="51" t="s">
        <v>23</v>
      </c>
      <c r="E10" s="51"/>
      <c r="G10" s="78" t="s">
        <v>141</v>
      </c>
      <c r="H10" s="78">
        <v>29390</v>
      </c>
      <c r="I10" s="78" t="s">
        <v>143</v>
      </c>
      <c r="J10" s="78">
        <f>H10*2</f>
        <v>58780</v>
      </c>
    </row>
    <row r="11" spans="1:10" ht="20.25" thickBot="1" x14ac:dyDescent="0.25">
      <c r="A11" s="46" t="s">
        <v>46</v>
      </c>
      <c r="B11" s="50" t="s">
        <v>23</v>
      </c>
      <c r="C11" s="50" t="s">
        <v>23</v>
      </c>
      <c r="D11" s="50" t="s">
        <v>23</v>
      </c>
      <c r="E11" s="50"/>
      <c r="G11" s="96" t="s">
        <v>95</v>
      </c>
      <c r="H11" s="96">
        <f>SUM(H9:H10)</f>
        <v>1877203</v>
      </c>
      <c r="I11" s="96">
        <f>SUM(I9:I10)</f>
        <v>278012</v>
      </c>
      <c r="J11" s="96">
        <f>SUM(J9:J10)</f>
        <v>2446404.2582732518</v>
      </c>
    </row>
    <row r="12" spans="1:10" ht="36" x14ac:dyDescent="0.2">
      <c r="A12" s="47" t="s">
        <v>47</v>
      </c>
      <c r="B12" s="51" t="s">
        <v>42</v>
      </c>
      <c r="C12" s="51" t="s">
        <v>43</v>
      </c>
      <c r="D12" s="51" t="s">
        <v>131</v>
      </c>
      <c r="E12" s="51"/>
      <c r="G12" s="76"/>
      <c r="H12" s="76"/>
      <c r="I12" s="76"/>
      <c r="J12" s="76"/>
    </row>
    <row r="13" spans="1:10" ht="54" x14ac:dyDescent="0.2">
      <c r="A13" s="46" t="s">
        <v>48</v>
      </c>
      <c r="B13" s="50" t="s">
        <v>49</v>
      </c>
      <c r="C13" s="50" t="s">
        <v>50</v>
      </c>
      <c r="D13" s="50" t="s">
        <v>132</v>
      </c>
      <c r="E13" s="50"/>
      <c r="G13" s="76"/>
      <c r="H13" s="76"/>
      <c r="I13" s="76"/>
      <c r="J13" s="76"/>
    </row>
    <row r="14" spans="1:10" ht="54.75" thickBot="1" x14ac:dyDescent="0.25">
      <c r="A14" s="47" t="s">
        <v>51</v>
      </c>
      <c r="B14" s="51" t="s">
        <v>52</v>
      </c>
      <c r="C14" s="51" t="s">
        <v>53</v>
      </c>
      <c r="D14" s="51" t="s">
        <v>133</v>
      </c>
      <c r="E14" s="51"/>
      <c r="G14" s="81" t="s">
        <v>142</v>
      </c>
      <c r="H14" s="81">
        <v>1397</v>
      </c>
      <c r="I14" s="81" t="s">
        <v>119</v>
      </c>
      <c r="J14" s="82" t="s">
        <v>120</v>
      </c>
    </row>
    <row r="15" spans="1:10" ht="36.75" thickBot="1" x14ac:dyDescent="0.25">
      <c r="A15" s="46" t="s">
        <v>54</v>
      </c>
      <c r="B15" s="50" t="s">
        <v>55</v>
      </c>
      <c r="C15" s="50" t="s">
        <v>56</v>
      </c>
      <c r="D15" s="50" t="s">
        <v>134</v>
      </c>
      <c r="E15" s="50"/>
      <c r="G15" s="77" t="s">
        <v>138</v>
      </c>
      <c r="H15" s="80" t="s">
        <v>144</v>
      </c>
      <c r="I15" s="77">
        <v>4031177</v>
      </c>
      <c r="J15" s="77">
        <f>پنل!D8</f>
        <v>4031177</v>
      </c>
    </row>
    <row r="16" spans="1:10" ht="36" x14ac:dyDescent="0.2">
      <c r="A16" s="47" t="s">
        <v>57</v>
      </c>
      <c r="B16" s="51" t="s">
        <v>58</v>
      </c>
      <c r="C16" s="51" t="s">
        <v>59</v>
      </c>
      <c r="D16" s="51" t="s">
        <v>135</v>
      </c>
      <c r="E16" s="51"/>
    </row>
    <row r="17" spans="1:12" ht="39" x14ac:dyDescent="0.2">
      <c r="A17" s="94" t="s">
        <v>60</v>
      </c>
      <c r="B17" s="95" t="s">
        <v>61</v>
      </c>
      <c r="C17" s="95" t="s">
        <v>62</v>
      </c>
      <c r="D17" s="95" t="s">
        <v>136</v>
      </c>
      <c r="E17" s="95">
        <f>E6</f>
        <v>2851038.6582732517</v>
      </c>
    </row>
    <row r="20" spans="1:12" ht="15" thickBot="1" x14ac:dyDescent="0.25">
      <c r="A20" s="1"/>
    </row>
    <row r="21" spans="1:12" ht="59.25" thickBot="1" x14ac:dyDescent="0.25">
      <c r="A21" s="84" t="s">
        <v>124</v>
      </c>
      <c r="B21" s="85">
        <v>1396</v>
      </c>
      <c r="C21" s="86">
        <v>1397</v>
      </c>
      <c r="D21" s="86" t="s">
        <v>125</v>
      </c>
      <c r="E21" s="52" t="s">
        <v>123</v>
      </c>
      <c r="H21" s="87" t="s">
        <v>64</v>
      </c>
      <c r="I21" s="86">
        <v>1396</v>
      </c>
      <c r="J21" s="86">
        <v>1397</v>
      </c>
      <c r="K21" s="88" t="s">
        <v>125</v>
      </c>
      <c r="L21" s="55" t="s">
        <v>123</v>
      </c>
    </row>
    <row r="22" spans="1:12" ht="36.75" thickBot="1" x14ac:dyDescent="0.25">
      <c r="A22" s="42" t="s">
        <v>65</v>
      </c>
      <c r="B22" s="43" t="s">
        <v>66</v>
      </c>
      <c r="C22" s="43">
        <v>208253</v>
      </c>
      <c r="D22" s="53">
        <v>37773</v>
      </c>
      <c r="E22" s="53">
        <f>C22*1.2</f>
        <v>249903.59999999998</v>
      </c>
      <c r="H22" s="42" t="s">
        <v>65</v>
      </c>
      <c r="I22" s="53" t="s">
        <v>67</v>
      </c>
      <c r="J22" s="53">
        <v>16577</v>
      </c>
      <c r="K22" s="56">
        <v>4351</v>
      </c>
      <c r="L22" s="57">
        <f>J22*1.25</f>
        <v>20721.25</v>
      </c>
    </row>
    <row r="23" spans="1:12" ht="18.75" thickBot="1" x14ac:dyDescent="0.25">
      <c r="A23" s="44" t="s">
        <v>68</v>
      </c>
      <c r="B23" s="45" t="s">
        <v>69</v>
      </c>
      <c r="C23" s="45" t="s">
        <v>70</v>
      </c>
      <c r="D23" s="54">
        <v>4167</v>
      </c>
      <c r="E23" s="54">
        <f>D23*4</f>
        <v>16668</v>
      </c>
      <c r="H23" s="44" t="s">
        <v>68</v>
      </c>
      <c r="I23" s="54" t="s">
        <v>71</v>
      </c>
      <c r="J23" s="54" t="s">
        <v>72</v>
      </c>
      <c r="K23" s="58">
        <v>779</v>
      </c>
      <c r="L23" s="59" t="str">
        <f>I23</f>
        <v>۳,۰۸۵ </v>
      </c>
    </row>
    <row r="24" spans="1:12" ht="54.75" thickBot="1" x14ac:dyDescent="0.25">
      <c r="A24" s="42" t="s">
        <v>73</v>
      </c>
      <c r="B24" s="43" t="s">
        <v>74</v>
      </c>
      <c r="C24" s="43">
        <v>54669</v>
      </c>
      <c r="D24" s="53">
        <v>7278</v>
      </c>
      <c r="E24" s="53">
        <f>C24*1.25</f>
        <v>68336.25</v>
      </c>
      <c r="H24" s="42" t="s">
        <v>73</v>
      </c>
      <c r="I24" s="53">
        <v>286</v>
      </c>
      <c r="J24" s="53" t="s">
        <v>75</v>
      </c>
      <c r="K24" s="56">
        <v>67</v>
      </c>
      <c r="L24" s="57">
        <f>I24</f>
        <v>286</v>
      </c>
    </row>
    <row r="25" spans="1:12" ht="36.75" thickBot="1" x14ac:dyDescent="0.25">
      <c r="A25" s="44" t="s">
        <v>76</v>
      </c>
      <c r="B25" s="45" t="s">
        <v>77</v>
      </c>
      <c r="C25" s="45">
        <v>10611</v>
      </c>
      <c r="D25" s="54">
        <v>52</v>
      </c>
      <c r="E25" s="54">
        <f>C25*1.25</f>
        <v>13263.75</v>
      </c>
      <c r="H25" s="44" t="s">
        <v>76</v>
      </c>
      <c r="I25" s="54" t="s">
        <v>23</v>
      </c>
      <c r="J25" s="54" t="s">
        <v>23</v>
      </c>
      <c r="K25" s="58"/>
      <c r="L25" s="59" t="s">
        <v>23</v>
      </c>
    </row>
    <row r="26" spans="1:12" ht="36.75" thickBot="1" x14ac:dyDescent="0.25">
      <c r="A26" s="42" t="s">
        <v>78</v>
      </c>
      <c r="B26" s="43" t="s">
        <v>23</v>
      </c>
      <c r="C26" s="43" t="s">
        <v>23</v>
      </c>
      <c r="D26" s="53"/>
      <c r="E26" s="53" t="s">
        <v>23</v>
      </c>
      <c r="H26" s="42" t="s">
        <v>78</v>
      </c>
      <c r="I26" s="53" t="s">
        <v>79</v>
      </c>
      <c r="J26" s="53">
        <v>450</v>
      </c>
      <c r="K26" s="56"/>
      <c r="L26" s="57">
        <f>J26</f>
        <v>450</v>
      </c>
    </row>
    <row r="27" spans="1:12" ht="18.75" thickBot="1" x14ac:dyDescent="0.25">
      <c r="A27" s="44" t="s">
        <v>80</v>
      </c>
      <c r="B27" s="45" t="s">
        <v>81</v>
      </c>
      <c r="C27" s="45" t="s">
        <v>82</v>
      </c>
      <c r="D27" s="54">
        <v>8161</v>
      </c>
      <c r="E27" s="54">
        <f>D27*4</f>
        <v>32644</v>
      </c>
      <c r="H27" s="44" t="s">
        <v>80</v>
      </c>
      <c r="I27" s="54" t="s">
        <v>83</v>
      </c>
      <c r="J27" s="54">
        <v>46241</v>
      </c>
      <c r="K27" s="58">
        <v>11113</v>
      </c>
      <c r="L27" s="59">
        <f>J27*1.2</f>
        <v>55489.2</v>
      </c>
    </row>
    <row r="28" spans="1:12" ht="20.25" thickBot="1" x14ac:dyDescent="0.25">
      <c r="A28" s="89" t="s">
        <v>24</v>
      </c>
      <c r="B28" s="90" t="s">
        <v>34</v>
      </c>
      <c r="C28" s="90" t="s">
        <v>35</v>
      </c>
      <c r="D28" s="91">
        <f>SUM(D22:D27)</f>
        <v>57431</v>
      </c>
      <c r="E28" s="91">
        <f>SUM(E22:E27)</f>
        <v>380815.6</v>
      </c>
      <c r="H28" s="89" t="s">
        <v>24</v>
      </c>
      <c r="I28" s="91" t="s">
        <v>84</v>
      </c>
      <c r="J28" s="91" t="s">
        <v>85</v>
      </c>
      <c r="K28" s="92">
        <v>16310</v>
      </c>
      <c r="L28" s="93">
        <f>SUM(L22:L27)</f>
        <v>76946.45</v>
      </c>
    </row>
    <row r="30" spans="1:12" ht="45" x14ac:dyDescent="0.2">
      <c r="A30" s="49" t="s">
        <v>63</v>
      </c>
      <c r="B30"/>
      <c r="C30"/>
      <c r="D30"/>
      <c r="E30"/>
      <c r="F30"/>
      <c r="G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rightToLeft="1" tabSelected="1" zoomScaleNormal="100" workbookViewId="0">
      <selection activeCell="N7" sqref="N7"/>
    </sheetView>
  </sheetViews>
  <sheetFormatPr defaultRowHeight="14.25" x14ac:dyDescent="0.2"/>
  <cols>
    <col min="1" max="1" width="9" style="3"/>
    <col min="2" max="2" width="10.625" style="3" bestFit="1" customWidth="1"/>
    <col min="3" max="3" width="6.875" style="3" bestFit="1" customWidth="1"/>
    <col min="4" max="4" width="9.25" style="3" bestFit="1" customWidth="1"/>
    <col min="5" max="16384" width="9" style="3"/>
  </cols>
  <sheetData>
    <row r="1" spans="1:16" ht="15" thickBot="1" x14ac:dyDescent="0.25">
      <c r="A1" s="4"/>
      <c r="B1" s="4"/>
      <c r="C1" s="4"/>
      <c r="D1" s="4"/>
      <c r="E1" s="4"/>
    </row>
    <row r="2" spans="1:16" ht="41.25" thickBot="1" x14ac:dyDescent="0.25">
      <c r="A2" s="4"/>
      <c r="B2" s="105" t="s">
        <v>105</v>
      </c>
      <c r="C2" s="105" t="s">
        <v>89</v>
      </c>
      <c r="D2" s="105">
        <f>75000</f>
        <v>75000</v>
      </c>
      <c r="E2" s="4"/>
    </row>
    <row r="3" spans="1:16" ht="21" thickBot="1" x14ac:dyDescent="0.25">
      <c r="A3" s="4"/>
      <c r="B3" s="106"/>
      <c r="C3" s="106"/>
      <c r="D3" s="106"/>
      <c r="E3" s="4"/>
      <c r="I3" s="110" t="s">
        <v>146</v>
      </c>
      <c r="J3" s="111" t="s">
        <v>106</v>
      </c>
      <c r="K3" s="111"/>
      <c r="L3" s="111"/>
      <c r="M3" s="111"/>
      <c r="N3" s="111"/>
      <c r="O3" s="111"/>
      <c r="P3" s="111"/>
    </row>
    <row r="4" spans="1:16" ht="21" thickBot="1" x14ac:dyDescent="0.25">
      <c r="A4" s="4"/>
      <c r="B4" s="105" t="s">
        <v>106</v>
      </c>
      <c r="C4" s="105" t="s">
        <v>107</v>
      </c>
      <c r="D4" s="105">
        <v>37000000</v>
      </c>
      <c r="E4" s="4"/>
      <c r="I4" s="112" t="s">
        <v>105</v>
      </c>
      <c r="J4" s="113">
        <f>D11</f>
        <v>4236.3213658373425</v>
      </c>
      <c r="K4" s="114">
        <v>30000000</v>
      </c>
      <c r="L4" s="114">
        <v>33000000</v>
      </c>
      <c r="M4" s="114">
        <v>35000000</v>
      </c>
      <c r="N4" s="114">
        <v>37000000</v>
      </c>
      <c r="O4" s="114">
        <v>42000000</v>
      </c>
      <c r="P4" s="114">
        <v>50000000</v>
      </c>
    </row>
    <row r="5" spans="1:16" ht="21" thickBot="1" x14ac:dyDescent="0.25">
      <c r="A5" s="4"/>
      <c r="B5" s="107" t="s">
        <v>108</v>
      </c>
      <c r="C5" s="107" t="s">
        <v>107</v>
      </c>
      <c r="D5" s="107">
        <f>'آمار تولید و فروش'!F51</f>
        <v>19278778</v>
      </c>
      <c r="E5" s="4"/>
      <c r="I5" s="112"/>
      <c r="J5" s="114">
        <v>65000</v>
      </c>
      <c r="K5" s="115">
        <f t="dataTable" ref="K5:P11" dt2D="1" dtr="1" r1="D4" r2="D2"/>
        <v>1496.6130014397183</v>
      </c>
      <c r="L5" s="115">
        <v>2323.0547313424308</v>
      </c>
      <c r="M5" s="115">
        <v>2874.0158846109061</v>
      </c>
      <c r="N5" s="115">
        <v>3424.9770378793814</v>
      </c>
      <c r="O5" s="115">
        <v>4802.3799210505704</v>
      </c>
      <c r="P5" s="115">
        <v>7006.2245341244725</v>
      </c>
    </row>
    <row r="6" spans="1:16" ht="21" thickBot="1" x14ac:dyDescent="0.25">
      <c r="A6" s="4"/>
      <c r="B6" s="105" t="s">
        <v>109</v>
      </c>
      <c r="C6" s="105" t="s">
        <v>107</v>
      </c>
      <c r="D6" s="105">
        <f>'آمار تولید و فروش'!F53</f>
        <v>17877063</v>
      </c>
      <c r="E6" s="4"/>
      <c r="I6" s="112"/>
      <c r="J6" s="114">
        <v>68000</v>
      </c>
      <c r="K6" s="115">
        <v>1651.014882760659</v>
      </c>
      <c r="L6" s="115">
        <v>2515.6000771204194</v>
      </c>
      <c r="M6" s="115">
        <v>3091.9902066935942</v>
      </c>
      <c r="N6" s="115">
        <v>3668.3803362667682</v>
      </c>
      <c r="O6" s="115">
        <v>5109.3556601997034</v>
      </c>
      <c r="P6" s="115">
        <v>7414.9161784924045</v>
      </c>
    </row>
    <row r="7" spans="1:16" ht="21" thickBot="1" x14ac:dyDescent="0.25">
      <c r="A7" s="4"/>
      <c r="B7" s="106"/>
      <c r="C7" s="106"/>
      <c r="D7" s="106"/>
      <c r="E7" s="4"/>
      <c r="I7" s="112"/>
      <c r="J7" s="114">
        <v>71000</v>
      </c>
      <c r="K7" s="115">
        <v>1805.4167640816006</v>
      </c>
      <c r="L7" s="115">
        <v>2708.1454228984103</v>
      </c>
      <c r="M7" s="115">
        <v>3309.9645287762837</v>
      </c>
      <c r="N7" s="115">
        <v>3911.7836346541571</v>
      </c>
      <c r="O7" s="115">
        <v>5416.3313993488391</v>
      </c>
      <c r="P7" s="115">
        <v>7823.607822860331</v>
      </c>
    </row>
    <row r="8" spans="1:16" ht="41.25" thickBot="1" x14ac:dyDescent="0.25">
      <c r="A8" s="4"/>
      <c r="B8" s="105" t="s">
        <v>110</v>
      </c>
      <c r="C8" s="105" t="s">
        <v>107</v>
      </c>
      <c r="D8" s="105">
        <f>'بهای تمام شده'!I15</f>
        <v>4031177</v>
      </c>
      <c r="E8" s="4"/>
      <c r="I8" s="112"/>
      <c r="J8" s="114">
        <v>75000</v>
      </c>
      <c r="K8" s="115">
        <v>2011.2859391761924</v>
      </c>
      <c r="L8" s="115">
        <v>2964.8725506023993</v>
      </c>
      <c r="M8" s="115">
        <v>3600.5969582198713</v>
      </c>
      <c r="N8" s="115">
        <v>4236.3213658373425</v>
      </c>
      <c r="O8" s="115">
        <v>5825.6323848810234</v>
      </c>
      <c r="P8" s="115">
        <v>8368.5300153509088</v>
      </c>
    </row>
    <row r="9" spans="1:16" ht="41.25" thickBot="1" x14ac:dyDescent="0.25">
      <c r="A9" s="4"/>
      <c r="B9" s="107" t="s">
        <v>111</v>
      </c>
      <c r="C9" s="107" t="s">
        <v>89</v>
      </c>
      <c r="D9" s="107">
        <f>'بهای تمام شده'!J5*'آمار تولید و فروش'!I4</f>
        <v>592289.61126570532</v>
      </c>
      <c r="E9" s="4"/>
      <c r="I9" s="112"/>
      <c r="J9" s="114">
        <v>78000</v>
      </c>
      <c r="K9" s="115">
        <v>2165.6878204971331</v>
      </c>
      <c r="L9" s="115">
        <v>3157.4178963803884</v>
      </c>
      <c r="M9" s="115">
        <v>3818.571280302559</v>
      </c>
      <c r="N9" s="115">
        <v>4479.7246642247283</v>
      </c>
      <c r="O9" s="115">
        <v>6132.6081240301573</v>
      </c>
      <c r="P9" s="115">
        <v>8777.2216597188399</v>
      </c>
    </row>
    <row r="10" spans="1:16" ht="21" thickBot="1" x14ac:dyDescent="0.25">
      <c r="A10" s="4"/>
      <c r="B10" s="106"/>
      <c r="C10" s="106"/>
      <c r="D10" s="106"/>
      <c r="E10" s="4"/>
      <c r="I10" s="112"/>
      <c r="J10" s="114">
        <v>80000</v>
      </c>
      <c r="K10" s="115">
        <v>2268.6224080444285</v>
      </c>
      <c r="L10" s="115">
        <v>3285.7814602323824</v>
      </c>
      <c r="M10" s="115">
        <v>3963.8874950243521</v>
      </c>
      <c r="N10" s="115">
        <v>4641.9935298163227</v>
      </c>
      <c r="O10" s="115">
        <v>6337.2586167962481</v>
      </c>
      <c r="P10" s="115">
        <v>9049.6827559641279</v>
      </c>
    </row>
    <row r="11" spans="1:16" ht="21" thickBot="1" x14ac:dyDescent="0.25">
      <c r="A11" s="4"/>
      <c r="B11" s="107" t="s">
        <v>112</v>
      </c>
      <c r="C11" s="107" t="s">
        <v>113</v>
      </c>
      <c r="D11" s="107">
        <f>'سود و زیان'!I19</f>
        <v>4236.3213658373425</v>
      </c>
      <c r="E11" s="4"/>
      <c r="I11" s="112"/>
      <c r="J11" s="114">
        <v>81000</v>
      </c>
      <c r="K11" s="115">
        <v>2320.0897018180754</v>
      </c>
      <c r="L11" s="115">
        <v>3349.9632421583792</v>
      </c>
      <c r="M11" s="115">
        <v>4036.5456023852485</v>
      </c>
      <c r="N11" s="115">
        <v>4723.1279626121177</v>
      </c>
      <c r="O11" s="115">
        <v>6439.5838631792922</v>
      </c>
      <c r="P11" s="115">
        <v>9185.9133040867691</v>
      </c>
    </row>
    <row r="12" spans="1:16" ht="21" thickBot="1" x14ac:dyDescent="0.25">
      <c r="A12" s="4"/>
      <c r="B12" s="107" t="s">
        <v>114</v>
      </c>
      <c r="C12" s="107" t="s">
        <v>113</v>
      </c>
      <c r="D12" s="107">
        <v>23390</v>
      </c>
      <c r="E12" s="4"/>
    </row>
    <row r="13" spans="1:16" ht="21" thickBot="1" x14ac:dyDescent="0.25">
      <c r="A13" s="4"/>
      <c r="B13" s="107" t="s">
        <v>145</v>
      </c>
      <c r="C13" s="107"/>
      <c r="D13" s="108">
        <f>D12/D11</f>
        <v>5.5212997268390147</v>
      </c>
      <c r="E13" s="4"/>
    </row>
    <row r="14" spans="1:16" x14ac:dyDescent="0.2">
      <c r="A14" s="4"/>
      <c r="B14" s="4"/>
      <c r="C14" s="4"/>
      <c r="D14" s="4"/>
      <c r="E14" s="4"/>
    </row>
    <row r="15" spans="1:16" x14ac:dyDescent="0.2">
      <c r="B15" s="3">
        <v>6</v>
      </c>
      <c r="D15" s="109">
        <f>$D$12/B15</f>
        <v>3898.3333333333335</v>
      </c>
    </row>
    <row r="16" spans="1:16" x14ac:dyDescent="0.2">
      <c r="B16" s="3">
        <v>8</v>
      </c>
      <c r="D16" s="109">
        <f t="shared" ref="D16:D17" si="0">$D$12/B16</f>
        <v>2923.75</v>
      </c>
    </row>
    <row r="17" spans="2:4" x14ac:dyDescent="0.2">
      <c r="B17" s="3">
        <v>10</v>
      </c>
      <c r="D17" s="109">
        <f t="shared" si="0"/>
        <v>2339</v>
      </c>
    </row>
  </sheetData>
  <mergeCells count="2">
    <mergeCell ref="J3:P3"/>
    <mergeCell ref="I4:I11"/>
  </mergeCells>
  <conditionalFormatting sqref="K5:P11">
    <cfRule type="colorScale" priority="1">
      <colorScale>
        <cfvo type="num" val="$D$17"/>
        <cfvo type="num" val="$D$16"/>
        <cfvo type="num" val="$D$15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سود و زیان</vt:lpstr>
      <vt:lpstr>آمار تولید و فروش</vt:lpstr>
      <vt:lpstr>بهای تمام شده</vt:lpstr>
      <vt:lpstr>پنل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2019-08-16T14:44:10Z</dcterms:modified>
</cp:coreProperties>
</file>