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3"/>
  </bookViews>
  <sheets>
    <sheet name="تولیدوفروش" sheetId="5" r:id="rId1"/>
    <sheet name="بهای تمام شده" sheetId="6" r:id="rId2"/>
    <sheet name="صورت سودوزیان" sheetId="7" r:id="rId3"/>
    <sheet name="پنل" sheetId="8" r:id="rId4"/>
  </sheets>
  <calcPr calcId="124519"/>
</workbook>
</file>

<file path=xl/calcChain.xml><?xml version="1.0" encoding="utf-8"?>
<calcChain xmlns="http://schemas.openxmlformats.org/spreadsheetml/2006/main">
  <c r="E15" i="8"/>
  <c r="C15" s="1"/>
  <c r="E22"/>
  <c r="F207" i="5" s="1"/>
  <c r="E23" i="8"/>
  <c r="C23" s="1"/>
  <c r="E24"/>
  <c r="E25"/>
  <c r="E26"/>
  <c r="E27"/>
  <c r="E28"/>
  <c r="E29"/>
  <c r="E16"/>
  <c r="F197" i="5" s="1"/>
  <c r="E17" i="8"/>
  <c r="E18"/>
  <c r="E19"/>
  <c r="C19" s="1"/>
  <c r="E20"/>
  <c r="F198" i="5" s="1"/>
  <c r="D11" i="7"/>
  <c r="D10"/>
  <c r="D9"/>
  <c r="D6"/>
  <c r="D41" i="8"/>
  <c r="D43"/>
  <c r="C40"/>
  <c r="D40" s="1"/>
  <c r="C39"/>
  <c r="D39" s="1"/>
  <c r="C42"/>
  <c r="D42" s="1"/>
  <c r="F7" i="5"/>
  <c r="G49" i="6"/>
  <c r="G48"/>
  <c r="F2"/>
  <c r="G7"/>
  <c r="D15"/>
  <c r="G15" s="1"/>
  <c r="G51" i="5"/>
  <c r="G52"/>
  <c r="G53"/>
  <c r="G54"/>
  <c r="G55"/>
  <c r="G56"/>
  <c r="G57"/>
  <c r="G58"/>
  <c r="G59"/>
  <c r="G60"/>
  <c r="G61"/>
  <c r="G62"/>
  <c r="G63"/>
  <c r="G50"/>
  <c r="G105"/>
  <c r="G106"/>
  <c r="G107"/>
  <c r="G108"/>
  <c r="G109"/>
  <c r="G110"/>
  <c r="G111"/>
  <c r="G112"/>
  <c r="G113"/>
  <c r="G114"/>
  <c r="G115"/>
  <c r="G116"/>
  <c r="G117"/>
  <c r="G104"/>
  <c r="D63" i="6"/>
  <c r="E63"/>
  <c r="E9"/>
  <c r="E2" i="5" s="1"/>
  <c r="D9" i="6"/>
  <c r="D2" i="5" s="1"/>
  <c r="E26" i="6"/>
  <c r="E32" s="1"/>
  <c r="E39" s="1"/>
  <c r="E8" i="5" s="1"/>
  <c r="E27" i="6"/>
  <c r="E33" s="1"/>
  <c r="E40" s="1"/>
  <c r="D27"/>
  <c r="D33" s="1"/>
  <c r="D40" s="1"/>
  <c r="D26"/>
  <c r="D32" s="1"/>
  <c r="D39" s="1"/>
  <c r="D8" i="5" s="1"/>
  <c r="E22" i="6"/>
  <c r="D22"/>
  <c r="E129" i="5"/>
  <c r="E127"/>
  <c r="D129"/>
  <c r="D127"/>
  <c r="E86"/>
  <c r="E159" s="1"/>
  <c r="E177" s="1"/>
  <c r="E87"/>
  <c r="E88"/>
  <c r="E89"/>
  <c r="E162" s="1"/>
  <c r="E180" s="1"/>
  <c r="E90"/>
  <c r="E163" s="1"/>
  <c r="E181" s="1"/>
  <c r="E92"/>
  <c r="E94"/>
  <c r="E167" s="1"/>
  <c r="E185" s="1"/>
  <c r="E95"/>
  <c r="E168" s="1"/>
  <c r="E186" s="1"/>
  <c r="E96"/>
  <c r="E169" s="1"/>
  <c r="E187" s="1"/>
  <c r="E97"/>
  <c r="E170" s="1"/>
  <c r="E188" s="1"/>
  <c r="E98"/>
  <c r="E171" s="1"/>
  <c r="E189" s="1"/>
  <c r="E99"/>
  <c r="D87"/>
  <c r="D160" s="1"/>
  <c r="D178" s="1"/>
  <c r="D88"/>
  <c r="D161" s="1"/>
  <c r="D179" s="1"/>
  <c r="D89"/>
  <c r="D162" s="1"/>
  <c r="D180" s="1"/>
  <c r="D90"/>
  <c r="D92"/>
  <c r="D165" s="1"/>
  <c r="D183" s="1"/>
  <c r="D94"/>
  <c r="D95"/>
  <c r="D96"/>
  <c r="D169" s="1"/>
  <c r="D187" s="1"/>
  <c r="D97"/>
  <c r="D170" s="1"/>
  <c r="D188" s="1"/>
  <c r="D98"/>
  <c r="D99"/>
  <c r="D172" s="1"/>
  <c r="D190" s="1"/>
  <c r="D86"/>
  <c r="E76"/>
  <c r="E93" s="1"/>
  <c r="E74"/>
  <c r="E91" s="1"/>
  <c r="E164" s="1"/>
  <c r="E182" s="1"/>
  <c r="D76"/>
  <c r="D93" s="1"/>
  <c r="D74"/>
  <c r="D91" s="1"/>
  <c r="E26"/>
  <c r="D26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E32"/>
  <c r="D32"/>
  <c r="E14" i="6" l="1"/>
  <c r="E15"/>
  <c r="D13"/>
  <c r="G13" s="1"/>
  <c r="E13"/>
  <c r="D14"/>
  <c r="G14" s="1"/>
  <c r="G8" s="1"/>
  <c r="F203" i="5"/>
  <c r="F196"/>
  <c r="E40" i="8"/>
  <c r="F195" i="5"/>
  <c r="F201"/>
  <c r="C22" i="8"/>
  <c r="F200" i="5"/>
  <c r="F39" i="6"/>
  <c r="C24" i="8"/>
  <c r="C20"/>
  <c r="F208" i="5" s="1"/>
  <c r="C25" i="8"/>
  <c r="F7" i="6"/>
  <c r="D167" i="5"/>
  <c r="D185" s="1"/>
  <c r="E160"/>
  <c r="E178" s="1"/>
  <c r="E28" i="6"/>
  <c r="E34" s="1"/>
  <c r="D28"/>
  <c r="D34" s="1"/>
  <c r="E46" i="5"/>
  <c r="E51" s="1"/>
  <c r="E136"/>
  <c r="E147" s="1"/>
  <c r="D168"/>
  <c r="D186" s="1"/>
  <c r="E172"/>
  <c r="E190" s="1"/>
  <c r="E161"/>
  <c r="E179" s="1"/>
  <c r="D166"/>
  <c r="D184" s="1"/>
  <c r="D171"/>
  <c r="D189" s="1"/>
  <c r="E165"/>
  <c r="E183" s="1"/>
  <c r="D163"/>
  <c r="D181" s="1"/>
  <c r="D100"/>
  <c r="D105" s="1"/>
  <c r="D136"/>
  <c r="D164"/>
  <c r="D182" s="1"/>
  <c r="E100"/>
  <c r="E4" s="1"/>
  <c r="D159"/>
  <c r="D177" s="1"/>
  <c r="E166"/>
  <c r="E184" s="1"/>
  <c r="D46"/>
  <c r="D51" s="1"/>
  <c r="G9" i="6" l="1"/>
  <c r="G2" i="5" s="1"/>
  <c r="F2" s="1"/>
  <c r="F8" i="6"/>
  <c r="F9" s="1"/>
  <c r="F15" s="1"/>
  <c r="C29" i="8"/>
  <c r="F40" i="6"/>
  <c r="F33" s="1"/>
  <c r="F27" s="1"/>
  <c r="F8" i="5"/>
  <c r="F32" i="6"/>
  <c r="F26" s="1"/>
  <c r="F20" s="1"/>
  <c r="G20" s="1"/>
  <c r="G26" s="1"/>
  <c r="E145" i="5"/>
  <c r="E59"/>
  <c r="E41" i="6"/>
  <c r="D201" i="5"/>
  <c r="E199"/>
  <c r="E203"/>
  <c r="E207"/>
  <c r="E198"/>
  <c r="E202"/>
  <c r="E206"/>
  <c r="E197"/>
  <c r="E201"/>
  <c r="E205"/>
  <c r="E223" s="1"/>
  <c r="E195"/>
  <c r="E196"/>
  <c r="E200"/>
  <c r="E204"/>
  <c r="E208"/>
  <c r="D202"/>
  <c r="D204"/>
  <c r="D207"/>
  <c r="D205"/>
  <c r="D200"/>
  <c r="D206"/>
  <c r="D140"/>
  <c r="D144"/>
  <c r="D146"/>
  <c r="D149"/>
  <c r="D151"/>
  <c r="D141"/>
  <c r="D143"/>
  <c r="D148"/>
  <c r="D153"/>
  <c r="D142"/>
  <c r="D147"/>
  <c r="D150"/>
  <c r="D152"/>
  <c r="D154"/>
  <c r="E50"/>
  <c r="D145"/>
  <c r="E140"/>
  <c r="E141"/>
  <c r="E142"/>
  <c r="E143"/>
  <c r="E144"/>
  <c r="E146"/>
  <c r="E148"/>
  <c r="E149"/>
  <c r="E150"/>
  <c r="E151"/>
  <c r="E152"/>
  <c r="E153"/>
  <c r="E154"/>
  <c r="D63"/>
  <c r="D56"/>
  <c r="D113"/>
  <c r="D222" s="1"/>
  <c r="D3"/>
  <c r="D5" s="1"/>
  <c r="G5" s="1"/>
  <c r="D64"/>
  <c r="E3"/>
  <c r="E5" s="1"/>
  <c r="E56"/>
  <c r="E60"/>
  <c r="E52"/>
  <c r="E64"/>
  <c r="D54"/>
  <c r="D62"/>
  <c r="D50"/>
  <c r="E57"/>
  <c r="D59"/>
  <c r="D57"/>
  <c r="D52"/>
  <c r="D60"/>
  <c r="E58"/>
  <c r="E55"/>
  <c r="E63"/>
  <c r="D55"/>
  <c r="E62"/>
  <c r="D58"/>
  <c r="D61"/>
  <c r="E53"/>
  <c r="E61"/>
  <c r="D53"/>
  <c r="E54"/>
  <c r="D106"/>
  <c r="D4"/>
  <c r="D112"/>
  <c r="E111"/>
  <c r="D117"/>
  <c r="D108"/>
  <c r="D111"/>
  <c r="D116"/>
  <c r="E113"/>
  <c r="E104"/>
  <c r="E112"/>
  <c r="E118"/>
  <c r="E117"/>
  <c r="E108"/>
  <c r="E116"/>
  <c r="E115"/>
  <c r="E114"/>
  <c r="E106"/>
  <c r="E110"/>
  <c r="D104"/>
  <c r="D114"/>
  <c r="D115"/>
  <c r="D110"/>
  <c r="D118"/>
  <c r="E107"/>
  <c r="D107"/>
  <c r="E109"/>
  <c r="D109"/>
  <c r="E105"/>
  <c r="D203"/>
  <c r="D196"/>
  <c r="D214" s="1"/>
  <c r="D195"/>
  <c r="D199"/>
  <c r="D198"/>
  <c r="D216" s="1"/>
  <c r="D208"/>
  <c r="D197"/>
  <c r="D41" i="6"/>
  <c r="E173" i="5"/>
  <c r="E191" s="1"/>
  <c r="E209" s="1"/>
  <c r="D173"/>
  <c r="D191" s="1"/>
  <c r="D209" s="1"/>
  <c r="F21" i="6" l="1"/>
  <c r="G21" s="1"/>
  <c r="G27" s="1"/>
  <c r="F13"/>
  <c r="F14"/>
  <c r="E217" i="5"/>
  <c r="D6"/>
  <c r="D225"/>
  <c r="D220"/>
  <c r="D218"/>
  <c r="D223"/>
  <c r="E225"/>
  <c r="E216"/>
  <c r="D224"/>
  <c r="E218"/>
  <c r="E220"/>
  <c r="D219"/>
  <c r="E222"/>
  <c r="E224"/>
  <c r="E213"/>
  <c r="D226"/>
  <c r="D215"/>
  <c r="D217"/>
  <c r="G3"/>
  <c r="G40" s="1"/>
  <c r="F40" s="1"/>
  <c r="E219"/>
  <c r="E214"/>
  <c r="E226"/>
  <c r="E6"/>
  <c r="E215"/>
  <c r="D213"/>
  <c r="D221"/>
  <c r="E221"/>
  <c r="F22" i="6" l="1"/>
  <c r="F47" s="1"/>
  <c r="G47" s="1"/>
  <c r="F41"/>
  <c r="F34" s="1"/>
  <c r="F28" s="1"/>
  <c r="G45" i="5"/>
  <c r="F45" s="1"/>
  <c r="G4"/>
  <c r="G94" s="1"/>
  <c r="F94" s="1"/>
  <c r="G38"/>
  <c r="F38" s="1"/>
  <c r="G32"/>
  <c r="F32" s="1"/>
  <c r="G36"/>
  <c r="F36" s="1"/>
  <c r="G33"/>
  <c r="F33" s="1"/>
  <c r="G37"/>
  <c r="F37" s="1"/>
  <c r="G35"/>
  <c r="F35" s="1"/>
  <c r="G34"/>
  <c r="F34" s="1"/>
  <c r="G39"/>
  <c r="F39" s="1"/>
  <c r="G44"/>
  <c r="F44" s="1"/>
  <c r="F3"/>
  <c r="F5" s="1"/>
  <c r="G43"/>
  <c r="F43" s="1"/>
  <c r="G41"/>
  <c r="F41" s="1"/>
  <c r="G42"/>
  <c r="F42" s="1"/>
  <c r="E227"/>
  <c r="D227"/>
  <c r="G22" i="6" l="1"/>
  <c r="G28" s="1"/>
  <c r="F185" i="5"/>
  <c r="G96"/>
  <c r="F96" s="1"/>
  <c r="G86"/>
  <c r="F86" s="1"/>
  <c r="G50" i="6"/>
  <c r="G52" s="1"/>
  <c r="G61" s="1"/>
  <c r="D3" i="7" s="1"/>
  <c r="F4" i="5"/>
  <c r="G87"/>
  <c r="F87" s="1"/>
  <c r="G90"/>
  <c r="F90" s="1"/>
  <c r="G98"/>
  <c r="F98" s="1"/>
  <c r="G89"/>
  <c r="F89" s="1"/>
  <c r="G99"/>
  <c r="F99" s="1"/>
  <c r="G91"/>
  <c r="F91" s="1"/>
  <c r="G92"/>
  <c r="F92" s="1"/>
  <c r="G95"/>
  <c r="F95" s="1"/>
  <c r="G97"/>
  <c r="F97" s="1"/>
  <c r="G93"/>
  <c r="F93" s="1"/>
  <c r="G88"/>
  <c r="F88" s="1"/>
  <c r="F6"/>
  <c r="F46"/>
  <c r="F58" s="1"/>
  <c r="G46"/>
  <c r="G64" s="1"/>
  <c r="G118" s="1"/>
  <c r="F190" l="1"/>
  <c r="F180"/>
  <c r="F177"/>
  <c r="G8"/>
  <c r="F178"/>
  <c r="F179"/>
  <c r="F182"/>
  <c r="F183"/>
  <c r="F189"/>
  <c r="G63" i="6"/>
  <c r="F100" i="5"/>
  <c r="F107" s="1"/>
  <c r="G100"/>
  <c r="F61"/>
  <c r="F56"/>
  <c r="F63"/>
  <c r="F62"/>
  <c r="F55"/>
  <c r="F50"/>
  <c r="F60"/>
  <c r="F54"/>
  <c r="F59"/>
  <c r="F52"/>
  <c r="F53"/>
  <c r="F64"/>
  <c r="F51"/>
  <c r="F57"/>
  <c r="F118" l="1"/>
  <c r="F114"/>
  <c r="F105"/>
  <c r="F214" s="1"/>
  <c r="F108"/>
  <c r="F117"/>
  <c r="F226" s="1"/>
  <c r="F111"/>
  <c r="F116"/>
  <c r="F225" s="1"/>
  <c r="F112"/>
  <c r="F221" s="1"/>
  <c r="F115"/>
  <c r="F104"/>
  <c r="F109"/>
  <c r="F218" s="1"/>
  <c r="F110"/>
  <c r="F219" s="1"/>
  <c r="F113"/>
  <c r="F106"/>
  <c r="F215" s="1"/>
  <c r="F216"/>
  <c r="F213" l="1"/>
  <c r="F159" l="1"/>
  <c r="F122" s="1"/>
  <c r="G122" l="1"/>
  <c r="G159" l="1"/>
  <c r="F164"/>
  <c r="F127" s="1"/>
  <c r="F165"/>
  <c r="F128" s="1"/>
  <c r="F171"/>
  <c r="F134" s="1"/>
  <c r="F167"/>
  <c r="F130" s="1"/>
  <c r="F172"/>
  <c r="F135" s="1"/>
  <c r="F161"/>
  <c r="F124" s="1"/>
  <c r="F162"/>
  <c r="F125" s="1"/>
  <c r="F160"/>
  <c r="F123" s="1"/>
  <c r="G123" s="1"/>
  <c r="G124" l="1"/>
  <c r="G130"/>
  <c r="G128"/>
  <c r="G125"/>
  <c r="G127"/>
  <c r="G160"/>
  <c r="G135"/>
  <c r="G134"/>
  <c r="G167" l="1"/>
  <c r="G172"/>
  <c r="G171"/>
  <c r="G165"/>
  <c r="G161"/>
  <c r="G164"/>
  <c r="G162"/>
  <c r="C28" i="8"/>
  <c r="F199" i="5"/>
  <c r="F181" s="1"/>
  <c r="F163" s="1"/>
  <c r="F126" s="1"/>
  <c r="C18" i="8"/>
  <c r="F206" i="5"/>
  <c r="F224" s="1"/>
  <c r="C27" i="8" l="1"/>
  <c r="F205" i="5"/>
  <c r="G126"/>
  <c r="F188"/>
  <c r="F170" s="1"/>
  <c r="F133" s="1"/>
  <c r="F217"/>
  <c r="F187" l="1"/>
  <c r="F169" s="1"/>
  <c r="F132" s="1"/>
  <c r="G132" s="1"/>
  <c r="G169" s="1"/>
  <c r="F223"/>
  <c r="G133"/>
  <c r="G163"/>
  <c r="G170" l="1"/>
  <c r="C26" i="8"/>
  <c r="F204" i="5"/>
  <c r="F222" s="1"/>
  <c r="C17" i="8"/>
  <c r="F202" i="5"/>
  <c r="F184" s="1"/>
  <c r="F166" s="1"/>
  <c r="F129" s="1"/>
  <c r="F220" l="1"/>
  <c r="F227" s="1"/>
  <c r="E30" i="8" s="1"/>
  <c r="G129" i="5"/>
  <c r="F186"/>
  <c r="F168" s="1"/>
  <c r="F131" s="1"/>
  <c r="F136" s="1"/>
  <c r="F153" l="1"/>
  <c r="F141"/>
  <c r="F148"/>
  <c r="F152"/>
  <c r="F144"/>
  <c r="F150"/>
  <c r="F140"/>
  <c r="F145"/>
  <c r="F146"/>
  <c r="F154"/>
  <c r="F151"/>
  <c r="F142"/>
  <c r="F143"/>
  <c r="F173"/>
  <c r="F191" s="1"/>
  <c r="F147"/>
  <c r="G166"/>
  <c r="G131"/>
  <c r="G136" s="1"/>
  <c r="F149"/>
  <c r="G148" l="1"/>
  <c r="G152"/>
  <c r="G140"/>
  <c r="G173"/>
  <c r="G146"/>
  <c r="G143"/>
  <c r="G150"/>
  <c r="G151"/>
  <c r="G144"/>
  <c r="G141"/>
  <c r="G154"/>
  <c r="G153"/>
  <c r="G142"/>
  <c r="D2" i="7"/>
  <c r="G145" i="5"/>
  <c r="C30" i="8"/>
  <c r="F209" i="5"/>
  <c r="G149"/>
  <c r="G168"/>
  <c r="G7"/>
  <c r="G147"/>
  <c r="D4" i="7" l="1"/>
  <c r="D5"/>
  <c r="G186" i="5"/>
  <c r="G204" s="1"/>
  <c r="G222" s="1"/>
  <c r="F26" i="8" s="1"/>
  <c r="G191" i="5"/>
  <c r="G209" s="1"/>
  <c r="G2" i="6"/>
  <c r="G179" i="5"/>
  <c r="G197" s="1"/>
  <c r="G215" s="1"/>
  <c r="F16" i="8" s="1"/>
  <c r="G181" i="5"/>
  <c r="G199" s="1"/>
  <c r="G217" s="1"/>
  <c r="F18" i="8" s="1"/>
  <c r="G188" i="5"/>
  <c r="G206" s="1"/>
  <c r="G224" s="1"/>
  <c r="F28" i="8" s="1"/>
  <c r="G190" i="5"/>
  <c r="G208" s="1"/>
  <c r="G226" s="1"/>
  <c r="F29" i="8" s="1"/>
  <c r="G178" i="5"/>
  <c r="G196" s="1"/>
  <c r="G214" s="1"/>
  <c r="F24" i="8" s="1"/>
  <c r="G187" i="5"/>
  <c r="G205" s="1"/>
  <c r="G223" s="1"/>
  <c r="F27" i="8" s="1"/>
  <c r="G189" i="5"/>
  <c r="G207" s="1"/>
  <c r="G225" s="1"/>
  <c r="F22" i="8" s="1"/>
  <c r="G183" i="5"/>
  <c r="G201" s="1"/>
  <c r="G219" s="1"/>
  <c r="F25" i="8" s="1"/>
  <c r="G180" i="5"/>
  <c r="G198" s="1"/>
  <c r="G216" s="1"/>
  <c r="F20" i="8" s="1"/>
  <c r="G177" i="5"/>
  <c r="G195" s="1"/>
  <c r="G213" s="1"/>
  <c r="G185"/>
  <c r="G203" s="1"/>
  <c r="G221" s="1"/>
  <c r="F23" i="8" s="1"/>
  <c r="G182" i="5"/>
  <c r="G200" s="1"/>
  <c r="G218" s="1"/>
  <c r="F15" i="8" s="1"/>
  <c r="G184" i="5"/>
  <c r="G202" s="1"/>
  <c r="G220" s="1"/>
  <c r="F17" i="8" s="1"/>
  <c r="F30" l="1"/>
  <c r="D8" i="7"/>
  <c r="D12" s="1"/>
  <c r="G34" i="6"/>
  <c r="G41" s="1"/>
  <c r="G33"/>
  <c r="G40" s="1"/>
  <c r="G32"/>
  <c r="G39" s="1"/>
  <c r="G227" i="5"/>
  <c r="F19" i="8"/>
  <c r="D13" i="7" l="1"/>
  <c r="D14" s="1"/>
  <c r="D15" s="1"/>
  <c r="C8" i="8" s="1"/>
  <c r="K8" s="1"/>
</calcChain>
</file>

<file path=xl/sharedStrings.xml><?xml version="1.0" encoding="utf-8"?>
<sst xmlns="http://schemas.openxmlformats.org/spreadsheetml/2006/main" count="585" uniqueCount="115">
  <si>
    <t>شرح محصول</t>
  </si>
  <si>
    <t>واحد</t>
  </si>
  <si>
    <t>مترمکعب</t>
  </si>
  <si>
    <t>گازمايع</t>
  </si>
  <si>
    <t>متر مکعب</t>
  </si>
  <si>
    <t>پروپان</t>
  </si>
  <si>
    <t>بنزين موتور</t>
  </si>
  <si>
    <t>سوخت سنگين جت</t>
  </si>
  <si>
    <t>نفت سفيد</t>
  </si>
  <si>
    <t>نفت گاز</t>
  </si>
  <si>
    <t>حلال ها</t>
  </si>
  <si>
    <t>نفت کوره</t>
  </si>
  <si>
    <t>لوپکات</t>
  </si>
  <si>
    <t>آيزوريسايکل</t>
  </si>
  <si>
    <t>نفتا</t>
  </si>
  <si>
    <t>وکيوم سلاپس</t>
  </si>
  <si>
    <t>وکيوم باتوم</t>
  </si>
  <si>
    <t>گوگرد</t>
  </si>
  <si>
    <t>جمع كـل</t>
  </si>
  <si>
    <t>جمع</t>
  </si>
  <si>
    <t>شرح</t>
  </si>
  <si>
    <t>مواد مستقيم مصرفي</t>
  </si>
  <si>
    <t>دستمزدمستقيم توليد</t>
  </si>
  <si>
    <t>سربارتوليد</t>
  </si>
  <si>
    <t>هزينه جذب نشده درتوليد</t>
  </si>
  <si>
    <t>جمع هزينه هاي توليد</t>
  </si>
  <si>
    <t>موجودي كالاي درجريان ساخت اول دوره</t>
  </si>
  <si>
    <t>موجودي كالاي درجريان ساخت پايان دوره</t>
  </si>
  <si>
    <t>ضايعات غيرعادي</t>
  </si>
  <si>
    <t>بهاي تمام شده كالاي توليد شده</t>
  </si>
  <si>
    <t>موجودي كالاي ساخته شده اول دوره</t>
  </si>
  <si>
    <t>موجودي كالاي ساخته شده پايان دوره</t>
  </si>
  <si>
    <t>بهاي تمام شده كالاي فروش رفته</t>
  </si>
  <si>
    <t>بهاي تمام شده خدمات ارايه شده</t>
  </si>
  <si>
    <t>جمع بهاي تمام شده</t>
  </si>
  <si>
    <t>مقدارتولید</t>
  </si>
  <si>
    <t>سه ماهه 98</t>
  </si>
  <si>
    <t>ریال</t>
  </si>
  <si>
    <t>نرخ فروش</t>
  </si>
  <si>
    <t>مبلغ فروش</t>
  </si>
  <si>
    <t>میلیون ریال</t>
  </si>
  <si>
    <t>نفت خام</t>
  </si>
  <si>
    <t>بشکه</t>
  </si>
  <si>
    <t>ميعانات گازي</t>
  </si>
  <si>
    <t>نرخ دلار</t>
  </si>
  <si>
    <t>سهم مواد مستقیم از هزینه های تولید</t>
  </si>
  <si>
    <t>مقدارتولید (بشکه)</t>
  </si>
  <si>
    <t>ریال/بشکه</t>
  </si>
  <si>
    <t>مقدار فروش</t>
  </si>
  <si>
    <t>مقدار فروش (بشکه)</t>
  </si>
  <si>
    <t>میانگین نرخ</t>
  </si>
  <si>
    <t>$/BBL</t>
  </si>
  <si>
    <t>سهم از فروش</t>
  </si>
  <si>
    <t>مقدار مصرف</t>
  </si>
  <si>
    <t>مبلغ مواد مصرفی</t>
  </si>
  <si>
    <t>نرخ مواد مصرفی</t>
  </si>
  <si>
    <t>نرخ دلاری</t>
  </si>
  <si>
    <t>دلار</t>
  </si>
  <si>
    <t>میانگین</t>
  </si>
  <si>
    <t>نرخ بدون تخفیف</t>
  </si>
  <si>
    <t>crack spread</t>
  </si>
  <si>
    <t xml:space="preserve">crack spreadموزون </t>
  </si>
  <si>
    <t>سهم از مقدار فروش</t>
  </si>
  <si>
    <t>۱۳۹۸/۰۳/۳۱</t>
  </si>
  <si>
    <t>۱۳۹۷/۱۲/۲۹</t>
  </si>
  <si>
    <t>سود (زیان) خالص</t>
  </si>
  <si>
    <t>درآمدهای عملیاتی</t>
  </si>
  <si>
    <t>بهای تمام ‌شده درآمدهای عملیاتی</t>
  </si>
  <si>
    <t>سود (زیان) ناخالص</t>
  </si>
  <si>
    <t>هزینه‌های فروش، اداری و عمومی</t>
  </si>
  <si>
    <t>سایر درآمدهای عملیاتی</t>
  </si>
  <si>
    <t>سایر هزینه‌های عملیاتی</t>
  </si>
  <si>
    <t>سود (زیان) عملیاتی</t>
  </si>
  <si>
    <t>هزینه‌های مالی</t>
  </si>
  <si>
    <t>سایر درآمدها و هزینه‌های غیرعملیاتی- درآمد سرمایه‌گذاری‌ها</t>
  </si>
  <si>
    <t>سایر درآمدها و هزینه‌های غیرعملیاتی- اقلام متفرقه</t>
  </si>
  <si>
    <t>سود (زیان) عملیات در حال تداوم قبل از مالیات</t>
  </si>
  <si>
    <t>مالیات بر درآمد</t>
  </si>
  <si>
    <t>سود (زیان) خالص هر سهم– ریال</t>
  </si>
  <si>
    <t>سرمایه</t>
  </si>
  <si>
    <t>بهای تمام شده</t>
  </si>
  <si>
    <t>درصد</t>
  </si>
  <si>
    <t>جمع تولید</t>
  </si>
  <si>
    <t>جمع فروش</t>
  </si>
  <si>
    <t>جمع خوراک</t>
  </si>
  <si>
    <t>نسبت تولید به خوراک</t>
  </si>
  <si>
    <t>نسبت فروش به تولید</t>
  </si>
  <si>
    <t xml:space="preserve">شرح </t>
  </si>
  <si>
    <t>کارشناسی نه ماهه 98</t>
  </si>
  <si>
    <t>کارشناسی 1398</t>
  </si>
  <si>
    <t>سهم از مقدارتولید</t>
  </si>
  <si>
    <t>میانگین کرک</t>
  </si>
  <si>
    <t xml:space="preserve">میانگین </t>
  </si>
  <si>
    <t>crack Spread نه ماهه</t>
  </si>
  <si>
    <t>crack Spread موزون سال</t>
  </si>
  <si>
    <t>نرخ دلار 9 ماهه</t>
  </si>
  <si>
    <t>نسبت مصرف</t>
  </si>
  <si>
    <t>مصرف نفت خام 12 ماهه</t>
  </si>
  <si>
    <t>نرخ نفت خام 9 ماهه</t>
  </si>
  <si>
    <t>eps</t>
  </si>
  <si>
    <t>مجصولات ویژه</t>
  </si>
  <si>
    <t>محصولات اصلی</t>
  </si>
  <si>
    <t>نفت سنگین ایران</t>
  </si>
  <si>
    <t>بنزین اکتان 95 سنگاپور</t>
  </si>
  <si>
    <t>بنزین اکتان 92 سنگاپور</t>
  </si>
  <si>
    <t>گازوئیل 50 ppm فوب خلیج فارس</t>
  </si>
  <si>
    <t>قیمت نفت</t>
  </si>
  <si>
    <t>نفت کوره hsfo380 خلیج فارس</t>
  </si>
  <si>
    <t>نفت سفید خلیج فارس</t>
  </si>
  <si>
    <t>crack Spread فعلی</t>
  </si>
  <si>
    <t>تغییرات کرک اسپرد</t>
  </si>
  <si>
    <t>سهم از تولید و فروش سال</t>
  </si>
  <si>
    <t>نرخ محصولات</t>
  </si>
  <si>
    <t>بنزین  اکتان 91</t>
  </si>
  <si>
    <t>بنزین اکتان 87</t>
  </si>
</sst>
</file>

<file path=xl/styles.xml><?xml version="1.0" encoding="utf-8"?>
<styleSheet xmlns="http://schemas.openxmlformats.org/spreadsheetml/2006/main">
  <numFmts count="7">
    <numFmt numFmtId="164" formatCode="[$-3000401]#,##0.00"/>
    <numFmt numFmtId="165" formatCode="[$-3000401]#,##0"/>
    <numFmt numFmtId="166" formatCode="[$-3000401]0"/>
    <numFmt numFmtId="167" formatCode="[$-3000401]#,##0.0"/>
    <numFmt numFmtId="168" formatCode="0.00000"/>
    <numFmt numFmtId="169" formatCode="0.0%"/>
    <numFmt numFmtId="170" formatCode="#,##0.0000000000000"/>
  </numFmts>
  <fonts count="12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rgb="FFFFFFFF"/>
      <name val="Tahoma"/>
      <family val="2"/>
    </font>
    <font>
      <sz val="9"/>
      <color rgb="FF055274"/>
      <name val="Tahoma"/>
      <family val="2"/>
    </font>
    <font>
      <b/>
      <sz val="12"/>
      <color rgb="FFFFFFFF"/>
      <name val="B Mitra"/>
      <charset val="178"/>
    </font>
    <font>
      <b/>
      <sz val="12"/>
      <color theme="1"/>
      <name val="B Mitra"/>
      <charset val="178"/>
    </font>
    <font>
      <sz val="12.1"/>
      <color rgb="FFFFFFFF"/>
      <name val="Tahoma"/>
      <family val="2"/>
    </font>
    <font>
      <sz val="8"/>
      <color rgb="FF333333"/>
      <name val="Tahoma"/>
      <family val="2"/>
    </font>
    <font>
      <sz val="8"/>
      <color rgb="FF555555"/>
      <name val="Tahoma"/>
      <family val="2"/>
    </font>
    <font>
      <sz val="8"/>
      <color rgb="FFFF0000"/>
      <name val="Tahoma"/>
      <family val="2"/>
    </font>
    <font>
      <b/>
      <sz val="12"/>
      <color rgb="FFFF0000"/>
      <name val="B Mitra"/>
      <charset val="178"/>
    </font>
    <font>
      <b/>
      <sz val="9"/>
      <color rgb="FF055274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D0E4F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EC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EBF8"/>
        <bgColor indexed="64"/>
      </patternFill>
    </fill>
    <fill>
      <patternFill patternType="solid">
        <fgColor rgb="FFFEE2A0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1C6EA4"/>
      </left>
      <right style="medium">
        <color rgb="FFBBBBBB"/>
      </right>
      <top style="medium">
        <color rgb="FF1C6EA4"/>
      </top>
      <bottom/>
      <diagonal/>
    </border>
    <border>
      <left style="medium">
        <color rgb="FFBBBBBB"/>
      </left>
      <right style="medium">
        <color rgb="FFBBBBBB"/>
      </right>
      <top style="medium">
        <color rgb="FF1C6EA4"/>
      </top>
      <bottom/>
      <diagonal/>
    </border>
    <border>
      <left style="medium">
        <color rgb="FFBBBBBB"/>
      </left>
      <right style="medium">
        <color rgb="FF1C6EA4"/>
      </right>
      <top style="medium">
        <color rgb="FFBBBBBB"/>
      </top>
      <bottom style="medium">
        <color rgb="FFBBBBBB"/>
      </bottom>
      <diagonal/>
    </border>
    <border>
      <left style="medium">
        <color rgb="FF1C6EA4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1C6EA4"/>
      </left>
      <right style="medium">
        <color rgb="FFBBBBBB"/>
      </right>
      <top style="medium">
        <color rgb="FFBBBBBB"/>
      </top>
      <bottom style="medium">
        <color rgb="FF1C6EA4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1C6EA4"/>
      </bottom>
      <diagonal/>
    </border>
    <border>
      <left style="medium">
        <color rgb="FFBBBBBB"/>
      </left>
      <right style="medium">
        <color rgb="FF1C6EA4"/>
      </right>
      <top style="medium">
        <color rgb="FFBBBBBB"/>
      </top>
      <bottom style="medium">
        <color rgb="FF1C6EA4"/>
      </bottom>
      <diagonal/>
    </border>
    <border>
      <left/>
      <right style="medium">
        <color rgb="FFBBBBBB"/>
      </right>
      <top style="medium">
        <color rgb="FFBBBBBB"/>
      </top>
      <bottom style="medium">
        <color rgb="FF1C6EA4"/>
      </bottom>
      <diagonal/>
    </border>
    <border>
      <left style="medium">
        <color rgb="FFFFFFFF"/>
      </left>
      <right style="medium">
        <color rgb="FFCCCCCC"/>
      </right>
      <top/>
      <bottom/>
      <diagonal/>
    </border>
    <border>
      <left style="medium">
        <color rgb="FFBCBCBC"/>
      </left>
      <right style="medium">
        <color rgb="FFCCCCCC"/>
      </right>
      <top/>
      <bottom/>
      <diagonal/>
    </border>
    <border>
      <left style="medium">
        <color rgb="FFD3D3D3"/>
      </left>
      <right style="medium">
        <color rgb="FFCCCCCC"/>
      </right>
      <top/>
      <bottom/>
      <diagonal/>
    </border>
    <border>
      <left style="medium">
        <color rgb="FFBCBCBC"/>
      </left>
      <right style="medium">
        <color rgb="FFD3D3D3"/>
      </right>
      <top/>
      <bottom/>
      <diagonal/>
    </border>
    <border>
      <left style="medium">
        <color rgb="FFD3D3D3"/>
      </left>
      <right style="medium">
        <color rgb="FFCCCCCC"/>
      </right>
      <top/>
      <bottom style="medium">
        <color rgb="FFD3D3D3"/>
      </bottom>
      <diagonal/>
    </border>
    <border>
      <left style="medium">
        <color rgb="FFBCBCBC"/>
      </left>
      <right style="medium">
        <color rgb="FFCCCCCC"/>
      </right>
      <top/>
      <bottom style="medium">
        <color rgb="FFD3D3D3"/>
      </bottom>
      <diagonal/>
    </border>
    <border>
      <left style="medium">
        <color rgb="FFBCBCBC"/>
      </left>
      <right style="medium">
        <color rgb="FFD3D3D3"/>
      </right>
      <top/>
      <bottom style="medium">
        <color rgb="FFD3D3D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165" fontId="3" fillId="2" borderId="1" xfId="0" applyNumberFormat="1" applyFont="1" applyFill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/>
    </xf>
    <xf numFmtId="165" fontId="3" fillId="3" borderId="4" xfId="0" applyNumberFormat="1" applyFont="1" applyFill="1" applyBorder="1" applyAlignment="1">
      <alignment horizontal="center" wrapText="1"/>
    </xf>
    <xf numFmtId="166" fontId="3" fillId="2" borderId="1" xfId="0" applyNumberFormat="1" applyFont="1" applyFill="1" applyBorder="1" applyAlignment="1">
      <alignment horizontal="center" wrapText="1"/>
    </xf>
    <xf numFmtId="166" fontId="3" fillId="3" borderId="1" xfId="0" applyNumberFormat="1" applyFont="1" applyFill="1" applyBorder="1" applyAlignment="1">
      <alignment horizontal="center" wrapText="1"/>
    </xf>
    <xf numFmtId="166" fontId="3" fillId="3" borderId="4" xfId="0" applyNumberFormat="1" applyFont="1" applyFill="1" applyBorder="1" applyAlignment="1">
      <alignment horizontal="center" wrapText="1"/>
    </xf>
    <xf numFmtId="166" fontId="3" fillId="2" borderId="4" xfId="0" applyNumberFormat="1" applyFont="1" applyFill="1" applyBorder="1" applyAlignment="1">
      <alignment horizontal="center" wrapText="1"/>
    </xf>
    <xf numFmtId="165" fontId="3" fillId="2" borderId="7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165" fontId="3" fillId="2" borderId="8" xfId="0" applyNumberFormat="1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/>
    <xf numFmtId="0" fontId="2" fillId="4" borderId="2" xfId="0" applyFont="1" applyFill="1" applyBorder="1" applyAlignment="1"/>
    <xf numFmtId="0" fontId="2" fillId="4" borderId="3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0" fontId="3" fillId="2" borderId="7" xfId="1" applyNumberFormat="1" applyFont="1" applyFill="1" applyBorder="1" applyAlignment="1">
      <alignment horizontal="center" wrapText="1"/>
    </xf>
    <xf numFmtId="168" fontId="0" fillId="0" borderId="0" xfId="0" applyNumberFormat="1"/>
    <xf numFmtId="9" fontId="3" fillId="2" borderId="1" xfId="1" applyFont="1" applyFill="1" applyBorder="1" applyAlignment="1">
      <alignment horizontal="center"/>
    </xf>
    <xf numFmtId="9" fontId="3" fillId="2" borderId="1" xfId="1" applyNumberFormat="1" applyFont="1" applyFill="1" applyBorder="1" applyAlignment="1">
      <alignment horizontal="center"/>
    </xf>
    <xf numFmtId="9" fontId="3" fillId="3" borderId="1" xfId="1" applyNumberFormat="1" applyFont="1" applyFill="1" applyBorder="1" applyAlignment="1">
      <alignment horizontal="center"/>
    </xf>
    <xf numFmtId="9" fontId="3" fillId="2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/>
    </xf>
    <xf numFmtId="167" fontId="3" fillId="2" borderId="1" xfId="0" applyNumberFormat="1" applyFont="1" applyFill="1" applyBorder="1" applyAlignment="1">
      <alignment horizontal="center"/>
    </xf>
    <xf numFmtId="165" fontId="3" fillId="0" borderId="0" xfId="0" applyNumberFormat="1" applyFont="1"/>
    <xf numFmtId="0" fontId="6" fillId="5" borderId="10" xfId="0" applyFont="1" applyFill="1" applyBorder="1" applyAlignment="1">
      <alignment vertical="center"/>
    </xf>
    <xf numFmtId="0" fontId="6" fillId="5" borderId="10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justify" vertical="center"/>
    </xf>
    <xf numFmtId="165" fontId="7" fillId="6" borderId="11" xfId="0" applyNumberFormat="1" applyFont="1" applyFill="1" applyBorder="1" applyAlignment="1">
      <alignment horizontal="center" vertical="center"/>
    </xf>
    <xf numFmtId="165" fontId="7" fillId="6" borderId="13" xfId="0" applyNumberFormat="1" applyFont="1" applyFill="1" applyBorder="1" applyAlignment="1">
      <alignment horizontal="center" vertical="center"/>
    </xf>
    <xf numFmtId="165" fontId="9" fillId="6" borderId="11" xfId="0" applyNumberFormat="1" applyFont="1" applyFill="1" applyBorder="1" applyAlignment="1">
      <alignment horizontal="center" vertical="center"/>
    </xf>
    <xf numFmtId="165" fontId="9" fillId="6" borderId="13" xfId="0" applyNumberFormat="1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justify" vertical="center"/>
    </xf>
    <xf numFmtId="165" fontId="7" fillId="8" borderId="11" xfId="0" applyNumberFormat="1" applyFont="1" applyFill="1" applyBorder="1" applyAlignment="1">
      <alignment horizontal="center" vertical="center"/>
    </xf>
    <xf numFmtId="165" fontId="7" fillId="8" borderId="13" xfId="0" applyNumberFormat="1" applyFont="1" applyFill="1" applyBorder="1" applyAlignment="1">
      <alignment horizontal="center" vertical="center"/>
    </xf>
    <xf numFmtId="166" fontId="7" fillId="6" borderId="11" xfId="0" applyNumberFormat="1" applyFont="1" applyFill="1" applyBorder="1" applyAlignment="1">
      <alignment horizontal="center" vertical="center"/>
    </xf>
    <xf numFmtId="166" fontId="7" fillId="6" borderId="13" xfId="0" applyNumberFormat="1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justify" vertical="center"/>
    </xf>
    <xf numFmtId="165" fontId="7" fillId="8" borderId="15" xfId="0" applyNumberFormat="1" applyFont="1" applyFill="1" applyBorder="1" applyAlignment="1">
      <alignment horizontal="center" vertical="center"/>
    </xf>
    <xf numFmtId="165" fontId="7" fillId="8" borderId="16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169" fontId="3" fillId="3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5" fontId="0" fillId="0" borderId="0" xfId="0" applyNumberFormat="1"/>
    <xf numFmtId="170" fontId="0" fillId="0" borderId="0" xfId="0" applyNumberFormat="1"/>
    <xf numFmtId="0" fontId="3" fillId="3" borderId="0" xfId="0" applyFont="1" applyFill="1" applyBorder="1" applyAlignment="1">
      <alignment horizontal="center" vertical="center" wrapText="1"/>
    </xf>
    <xf numFmtId="167" fontId="0" fillId="0" borderId="0" xfId="0" applyNumberFormat="1" applyAlignment="1"/>
    <xf numFmtId="9" fontId="3" fillId="3" borderId="1" xfId="1" applyFont="1" applyFill="1" applyBorder="1" applyAlignment="1">
      <alignment horizontal="center"/>
    </xf>
    <xf numFmtId="164" fontId="3" fillId="9" borderId="1" xfId="0" applyNumberFormat="1" applyFont="1" applyFill="1" applyBorder="1" applyAlignment="1">
      <alignment horizontal="center"/>
    </xf>
    <xf numFmtId="164" fontId="3" fillId="9" borderId="1" xfId="0" applyNumberFormat="1" applyFont="1" applyFill="1" applyBorder="1" applyAlignment="1">
      <alignment horizontal="center" vertical="center" wrapText="1"/>
    </xf>
    <xf numFmtId="9" fontId="3" fillId="9" borderId="1" xfId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right" vertical="center" wrapText="1"/>
    </xf>
    <xf numFmtId="165" fontId="11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7"/>
  <sheetViews>
    <sheetView rightToLeft="1" topLeftCell="A211" workbookViewId="0">
      <selection activeCell="F195" sqref="F195"/>
    </sheetView>
  </sheetViews>
  <sheetFormatPr defaultRowHeight="14.25"/>
  <cols>
    <col min="1" max="1" width="17.375" bestFit="1" customWidth="1"/>
    <col min="2" max="2" width="13.25" bestFit="1" customWidth="1"/>
    <col min="4" max="7" width="11.125" bestFit="1" customWidth="1"/>
    <col min="8" max="8" width="16.5" bestFit="1" customWidth="1"/>
  </cols>
  <sheetData>
    <row r="1" spans="1:7" ht="38.25" thickBot="1">
      <c r="B1" s="14" t="s">
        <v>87</v>
      </c>
      <c r="C1" s="14" t="s">
        <v>1</v>
      </c>
      <c r="D1" s="15">
        <v>1397</v>
      </c>
      <c r="E1" s="15" t="s">
        <v>36</v>
      </c>
      <c r="F1" s="15" t="s">
        <v>88</v>
      </c>
      <c r="G1" s="15" t="s">
        <v>89</v>
      </c>
    </row>
    <row r="2" spans="1:7" ht="15" thickBot="1">
      <c r="B2" s="17" t="s">
        <v>84</v>
      </c>
      <c r="C2" s="17" t="s">
        <v>42</v>
      </c>
      <c r="D2" s="18">
        <f>'بهای تمام شده'!D9</f>
        <v>114901200</v>
      </c>
      <c r="E2" s="18">
        <f>'بهای تمام شده'!E9</f>
        <v>29691736</v>
      </c>
      <c r="F2" s="18">
        <f>G2-E2</f>
        <v>85209464</v>
      </c>
      <c r="G2" s="18">
        <f>'بهای تمام شده'!G9</f>
        <v>114901200</v>
      </c>
    </row>
    <row r="3" spans="1:7" ht="15" thickBot="1">
      <c r="B3" s="19" t="s">
        <v>82</v>
      </c>
      <c r="C3" s="19" t="s">
        <v>42</v>
      </c>
      <c r="D3" s="20">
        <f>D46</f>
        <v>113179199.65917</v>
      </c>
      <c r="E3" s="20">
        <f>E46</f>
        <v>28291389.265319996</v>
      </c>
      <c r="F3" s="20">
        <f t="shared" ref="F3:F4" si="0">G3-E3</f>
        <v>84887810.393849999</v>
      </c>
      <c r="G3" s="20">
        <f>G5*G2</f>
        <v>113179199.65917</v>
      </c>
    </row>
    <row r="4" spans="1:7" ht="15" thickBot="1">
      <c r="B4" s="17" t="s">
        <v>83</v>
      </c>
      <c r="C4" s="17" t="s">
        <v>42</v>
      </c>
      <c r="D4" s="18">
        <f>D100</f>
        <v>108194072.36785002</v>
      </c>
      <c r="E4" s="18">
        <f>E100</f>
        <v>25777698.14787</v>
      </c>
      <c r="F4" s="18">
        <f t="shared" si="0"/>
        <v>87401501.511299998</v>
      </c>
      <c r="G4" s="18">
        <f>G6*G3</f>
        <v>113179199.65917</v>
      </c>
    </row>
    <row r="5" spans="1:7" ht="23.25" thickBot="1">
      <c r="B5" s="19" t="s">
        <v>85</v>
      </c>
      <c r="C5" s="19"/>
      <c r="D5" s="62">
        <f>D3/D2</f>
        <v>0.98501320838398554</v>
      </c>
      <c r="E5" s="62">
        <f>E3/E2</f>
        <v>0.95283715527175628</v>
      </c>
      <c r="F5" s="62">
        <f>F3/F2</f>
        <v>0.99622514224300251</v>
      </c>
      <c r="G5" s="62">
        <f>D5</f>
        <v>0.98501320838398554</v>
      </c>
    </row>
    <row r="6" spans="1:7" ht="23.25" thickBot="1">
      <c r="B6" s="17" t="s">
        <v>86</v>
      </c>
      <c r="C6" s="17"/>
      <c r="D6" s="61">
        <f>D4/D3</f>
        <v>0.95595367959543553</v>
      </c>
      <c r="E6" s="61">
        <f>E4/E3</f>
        <v>0.9111499582478505</v>
      </c>
      <c r="F6" s="61">
        <f>F4/F3</f>
        <v>1.0296119207903625</v>
      </c>
      <c r="G6" s="61">
        <v>1</v>
      </c>
    </row>
    <row r="7" spans="1:7" ht="15" thickBot="1">
      <c r="B7" s="19" t="s">
        <v>44</v>
      </c>
      <c r="C7" s="19" t="s">
        <v>37</v>
      </c>
      <c r="D7" s="20">
        <v>61299</v>
      </c>
      <c r="E7" s="8">
        <v>101844</v>
      </c>
      <c r="F7" s="8">
        <f>پنل!C5</f>
        <v>120000</v>
      </c>
      <c r="G7" s="8">
        <f>(F7*F136+E136*E7)/G136</f>
        <v>115872.58911875951</v>
      </c>
    </row>
    <row r="8" spans="1:7" s="16" customFormat="1" ht="15" thickBot="1">
      <c r="B8" s="17" t="s">
        <v>106</v>
      </c>
      <c r="C8" s="17" t="s">
        <v>57</v>
      </c>
      <c r="D8" s="18">
        <f>'بهای تمام شده'!D39</f>
        <v>64.384382576362398</v>
      </c>
      <c r="E8" s="18">
        <f>'بهای تمام شده'!E39</f>
        <v>66.856844820860871</v>
      </c>
      <c r="F8" s="18">
        <f>'بهای تمام شده'!F39</f>
        <v>50</v>
      </c>
      <c r="G8" s="18">
        <f>(F4*F8+E4*E8)/G4</f>
        <v>53.839315517570284</v>
      </c>
    </row>
    <row r="9" spans="1:7" s="16" customFormat="1" ht="18.75">
      <c r="A9" s="63"/>
    </row>
    <row r="10" spans="1:7" s="16" customFormat="1" ht="19.5" thickBot="1">
      <c r="A10" s="63" t="s">
        <v>35</v>
      </c>
    </row>
    <row r="11" spans="1:7" s="16" customFormat="1" ht="38.25" thickBot="1">
      <c r="B11" s="14" t="s">
        <v>0</v>
      </c>
      <c r="C11" s="14" t="s">
        <v>1</v>
      </c>
      <c r="D11" s="15">
        <v>1397</v>
      </c>
      <c r="E11" s="15" t="s">
        <v>36</v>
      </c>
      <c r="F11" s="15" t="s">
        <v>88</v>
      </c>
      <c r="G11" s="15" t="s">
        <v>89</v>
      </c>
    </row>
    <row r="12" spans="1:7" s="16" customFormat="1" ht="15" thickBot="1">
      <c r="B12" s="17" t="s">
        <v>3</v>
      </c>
      <c r="C12" s="17" t="s">
        <v>4</v>
      </c>
      <c r="D12" s="18">
        <v>424885</v>
      </c>
      <c r="E12" s="1">
        <v>84932</v>
      </c>
      <c r="F12" s="1"/>
      <c r="G12" s="1"/>
    </row>
    <row r="13" spans="1:7" s="16" customFormat="1" ht="15" thickBot="1">
      <c r="B13" s="19" t="s">
        <v>5</v>
      </c>
      <c r="C13" s="19" t="s">
        <v>4</v>
      </c>
      <c r="D13" s="20">
        <v>145</v>
      </c>
      <c r="E13" s="8">
        <v>64</v>
      </c>
      <c r="F13" s="8"/>
      <c r="G13" s="8"/>
    </row>
    <row r="14" spans="1:7" s="16" customFormat="1" ht="15" thickBot="1">
      <c r="B14" s="17" t="s">
        <v>6</v>
      </c>
      <c r="C14" s="17" t="s">
        <v>4</v>
      </c>
      <c r="D14" s="18">
        <v>4139134</v>
      </c>
      <c r="E14" s="1">
        <v>1003570</v>
      </c>
      <c r="F14" s="1"/>
      <c r="G14" s="1"/>
    </row>
    <row r="15" spans="1:7" s="16" customFormat="1" ht="15" thickBot="1">
      <c r="B15" s="19" t="s">
        <v>7</v>
      </c>
      <c r="C15" s="19" t="s">
        <v>4</v>
      </c>
      <c r="D15" s="21">
        <v>200971</v>
      </c>
      <c r="E15" s="2">
        <v>45158</v>
      </c>
      <c r="F15" s="2"/>
      <c r="G15" s="2"/>
    </row>
    <row r="16" spans="1:7" s="16" customFormat="1" ht="15" thickBot="1">
      <c r="B16" s="17" t="s">
        <v>8</v>
      </c>
      <c r="C16" s="17" t="s">
        <v>4</v>
      </c>
      <c r="D16" s="18">
        <v>805571</v>
      </c>
      <c r="E16" s="1">
        <v>212734</v>
      </c>
      <c r="F16" s="1"/>
      <c r="G16" s="1"/>
    </row>
    <row r="17" spans="1:8" s="16" customFormat="1" ht="15" thickBot="1">
      <c r="B17" s="19" t="s">
        <v>9</v>
      </c>
      <c r="C17" s="19" t="s">
        <v>4</v>
      </c>
      <c r="D17" s="2">
        <v>5952909</v>
      </c>
      <c r="E17" s="2">
        <v>1543216</v>
      </c>
      <c r="F17" s="2"/>
      <c r="G17" s="2"/>
    </row>
    <row r="18" spans="1:8" s="16" customFormat="1" ht="15" thickBot="1">
      <c r="B18" s="17" t="s">
        <v>10</v>
      </c>
      <c r="C18" s="17" t="s">
        <v>2</v>
      </c>
      <c r="D18" s="1">
        <v>50004</v>
      </c>
      <c r="E18" s="1">
        <v>12759</v>
      </c>
      <c r="F18" s="1"/>
      <c r="G18" s="1"/>
    </row>
    <row r="19" spans="1:8" s="16" customFormat="1" ht="15" thickBot="1">
      <c r="B19" s="19" t="s">
        <v>11</v>
      </c>
      <c r="C19" s="19" t="s">
        <v>4</v>
      </c>
      <c r="D19" s="21">
        <v>4126218</v>
      </c>
      <c r="E19" s="2">
        <v>1074511</v>
      </c>
      <c r="F19" s="2"/>
      <c r="G19" s="2"/>
    </row>
    <row r="20" spans="1:8" s="16" customFormat="1" ht="15" thickBot="1">
      <c r="B20" s="17" t="s">
        <v>12</v>
      </c>
      <c r="C20" s="17" t="s">
        <v>4</v>
      </c>
      <c r="D20" s="18">
        <v>295152</v>
      </c>
      <c r="E20" s="1">
        <v>49275</v>
      </c>
      <c r="F20" s="1"/>
      <c r="G20" s="1"/>
    </row>
    <row r="21" spans="1:8" s="16" customFormat="1" ht="15" thickBot="1">
      <c r="B21" s="19" t="s">
        <v>13</v>
      </c>
      <c r="C21" s="19" t="s">
        <v>2</v>
      </c>
      <c r="D21" s="21">
        <v>44621</v>
      </c>
      <c r="E21" s="2">
        <v>6890</v>
      </c>
      <c r="F21" s="2"/>
      <c r="G21" s="2"/>
    </row>
    <row r="22" spans="1:8" s="16" customFormat="1" ht="15" thickBot="1">
      <c r="B22" s="17" t="s">
        <v>14</v>
      </c>
      <c r="C22" s="17" t="s">
        <v>4</v>
      </c>
      <c r="D22" s="18">
        <v>75127</v>
      </c>
      <c r="E22" s="1">
        <v>8793</v>
      </c>
      <c r="F22" s="1"/>
      <c r="G22" s="1"/>
    </row>
    <row r="23" spans="1:8" s="16" customFormat="1" ht="15" thickBot="1">
      <c r="B23" s="19" t="s">
        <v>15</v>
      </c>
      <c r="C23" s="19" t="s">
        <v>4</v>
      </c>
      <c r="D23" s="21">
        <v>36394</v>
      </c>
      <c r="E23" s="2">
        <v>10212</v>
      </c>
      <c r="F23" s="2"/>
      <c r="G23" s="2"/>
    </row>
    <row r="24" spans="1:8" s="16" customFormat="1" ht="15" thickBot="1">
      <c r="B24" s="17" t="s">
        <v>16</v>
      </c>
      <c r="C24" s="17" t="s">
        <v>4</v>
      </c>
      <c r="D24" s="18">
        <v>1817075</v>
      </c>
      <c r="E24" s="1">
        <v>438831</v>
      </c>
      <c r="F24" s="1"/>
      <c r="G24" s="1"/>
    </row>
    <row r="25" spans="1:8" s="16" customFormat="1" ht="15" thickBot="1">
      <c r="B25" s="19" t="s">
        <v>17</v>
      </c>
      <c r="C25" s="19" t="s">
        <v>4</v>
      </c>
      <c r="D25" s="21">
        <v>25851</v>
      </c>
      <c r="E25" s="2">
        <v>7027</v>
      </c>
      <c r="F25" s="2"/>
      <c r="G25" s="2"/>
    </row>
    <row r="26" spans="1:8" s="16" customFormat="1" ht="15" thickBot="1">
      <c r="B26" s="17" t="s">
        <v>19</v>
      </c>
      <c r="C26" s="17"/>
      <c r="D26" s="18">
        <f>SUM(D12:D25)</f>
        <v>17994057</v>
      </c>
      <c r="E26" s="18">
        <f>SUM(E12:E25)</f>
        <v>4497972</v>
      </c>
      <c r="F26" s="18"/>
      <c r="G26" s="18"/>
    </row>
    <row r="27" spans="1:8" s="16" customFormat="1"/>
    <row r="28" spans="1:8">
      <c r="H28" s="34"/>
    </row>
    <row r="29" spans="1:8">
      <c r="H29" s="34"/>
    </row>
    <row r="30" spans="1:8" ht="19.5" thickBot="1">
      <c r="A30" s="22" t="s">
        <v>46</v>
      </c>
      <c r="B30" s="16"/>
      <c r="C30" s="16"/>
      <c r="D30" s="16"/>
      <c r="E30" s="16"/>
      <c r="F30" s="16"/>
      <c r="G30" s="16"/>
      <c r="H30" s="34"/>
    </row>
    <row r="31" spans="1:8" ht="38.25" thickBot="1">
      <c r="A31" s="16"/>
      <c r="B31" s="14" t="s">
        <v>0</v>
      </c>
      <c r="C31" s="14" t="s">
        <v>1</v>
      </c>
      <c r="D31" s="15">
        <v>1397</v>
      </c>
      <c r="E31" s="15" t="s">
        <v>36</v>
      </c>
      <c r="F31" s="15" t="s">
        <v>88</v>
      </c>
      <c r="G31" s="15" t="s">
        <v>89</v>
      </c>
      <c r="H31" s="34"/>
    </row>
    <row r="32" spans="1:8" ht="15" thickBot="1">
      <c r="A32" s="16"/>
      <c r="B32" s="17" t="s">
        <v>3</v>
      </c>
      <c r="C32" s="17" t="s">
        <v>42</v>
      </c>
      <c r="D32" s="28">
        <f>D12*6.28981</f>
        <v>2672445.92185</v>
      </c>
      <c r="E32" s="28">
        <f>E12*6.28981</f>
        <v>534206.14292000001</v>
      </c>
      <c r="F32" s="28">
        <f>G32-E32</f>
        <v>2138239.77893</v>
      </c>
      <c r="G32" s="28">
        <f>G50*G$3</f>
        <v>2672445.92185</v>
      </c>
    </row>
    <row r="33" spans="1:8" ht="15" thickBot="1">
      <c r="A33" s="16"/>
      <c r="B33" s="19" t="s">
        <v>5</v>
      </c>
      <c r="C33" s="19" t="s">
        <v>42</v>
      </c>
      <c r="D33" s="31">
        <f t="shared" ref="D33:E33" si="1">D13*6.28981</f>
        <v>912.02245000000005</v>
      </c>
      <c r="E33" s="31">
        <f t="shared" si="1"/>
        <v>402.54784000000001</v>
      </c>
      <c r="F33" s="31">
        <f t="shared" ref="F33:F45" si="2">G33-E33</f>
        <v>509.47460999999993</v>
      </c>
      <c r="G33" s="31">
        <f t="shared" ref="G33:G45" si="3">G51*G$3</f>
        <v>912.02244999999994</v>
      </c>
    </row>
    <row r="34" spans="1:8" ht="15" thickBot="1">
      <c r="A34" s="16"/>
      <c r="B34" s="17" t="s">
        <v>6</v>
      </c>
      <c r="C34" s="17" t="s">
        <v>42</v>
      </c>
      <c r="D34" s="28">
        <f t="shared" ref="D34:E34" si="4">D14*6.28981</f>
        <v>26034366.424540002</v>
      </c>
      <c r="E34" s="28">
        <f t="shared" si="4"/>
        <v>6312264.6217</v>
      </c>
      <c r="F34" s="28">
        <f t="shared" si="2"/>
        <v>19722101.802840002</v>
      </c>
      <c r="G34" s="28">
        <f t="shared" si="3"/>
        <v>26034366.424540002</v>
      </c>
    </row>
    <row r="35" spans="1:8" ht="15" thickBot="1">
      <c r="A35" s="16"/>
      <c r="B35" s="19" t="s">
        <v>7</v>
      </c>
      <c r="C35" s="19" t="s">
        <v>42</v>
      </c>
      <c r="D35" s="31">
        <f t="shared" ref="D35:E35" si="5">D15*6.28981</f>
        <v>1264069.40551</v>
      </c>
      <c r="E35" s="31">
        <f t="shared" si="5"/>
        <v>284035.23998000001</v>
      </c>
      <c r="F35" s="31">
        <f t="shared" si="2"/>
        <v>980034.16552999988</v>
      </c>
      <c r="G35" s="31">
        <f t="shared" si="3"/>
        <v>1264069.40551</v>
      </c>
    </row>
    <row r="36" spans="1:8" ht="15" thickBot="1">
      <c r="A36" s="16"/>
      <c r="B36" s="17" t="s">
        <v>8</v>
      </c>
      <c r="C36" s="17" t="s">
        <v>42</v>
      </c>
      <c r="D36" s="28">
        <f t="shared" ref="D36:E36" si="6">D16*6.28981</f>
        <v>5066888.5315100001</v>
      </c>
      <c r="E36" s="28">
        <f t="shared" si="6"/>
        <v>1338056.4405400001</v>
      </c>
      <c r="F36" s="28">
        <f t="shared" si="2"/>
        <v>3728832.0909700003</v>
      </c>
      <c r="G36" s="28">
        <f t="shared" si="3"/>
        <v>5066888.5315100001</v>
      </c>
    </row>
    <row r="37" spans="1:8" ht="15" thickBot="1">
      <c r="A37" s="16"/>
      <c r="B37" s="19" t="s">
        <v>9</v>
      </c>
      <c r="C37" s="19" t="s">
        <v>42</v>
      </c>
      <c r="D37" s="31">
        <f t="shared" ref="D37:E37" si="7">D17*6.28981</f>
        <v>37442666.557290003</v>
      </c>
      <c r="E37" s="31">
        <f t="shared" si="7"/>
        <v>9706535.4289600011</v>
      </c>
      <c r="F37" s="31">
        <f t="shared" si="2"/>
        <v>27736131.12833</v>
      </c>
      <c r="G37" s="31">
        <f t="shared" si="3"/>
        <v>37442666.557290003</v>
      </c>
    </row>
    <row r="38" spans="1:8" ht="15" thickBot="1">
      <c r="A38" s="16"/>
      <c r="B38" s="17" t="s">
        <v>10</v>
      </c>
      <c r="C38" s="17" t="s">
        <v>42</v>
      </c>
      <c r="D38" s="28">
        <f t="shared" ref="D38:E38" si="8">D18*6.28981</f>
        <v>314515.65924000001</v>
      </c>
      <c r="E38" s="28">
        <f t="shared" si="8"/>
        <v>80251.685790000003</v>
      </c>
      <c r="F38" s="28">
        <f t="shared" si="2"/>
        <v>234263.97344999999</v>
      </c>
      <c r="G38" s="28">
        <f t="shared" si="3"/>
        <v>314515.65924000001</v>
      </c>
    </row>
    <row r="39" spans="1:8" ht="15" thickBot="1">
      <c r="A39" s="16"/>
      <c r="B39" s="19" t="s">
        <v>11</v>
      </c>
      <c r="C39" s="19" t="s">
        <v>42</v>
      </c>
      <c r="D39" s="31">
        <f t="shared" ref="D39:E39" si="9">D19*6.28981</f>
        <v>25953127.23858</v>
      </c>
      <c r="E39" s="31">
        <f t="shared" si="9"/>
        <v>6758470.0329100005</v>
      </c>
      <c r="F39" s="31">
        <f t="shared" si="2"/>
        <v>19194657.205669999</v>
      </c>
      <c r="G39" s="31">
        <f t="shared" si="3"/>
        <v>25953127.23858</v>
      </c>
    </row>
    <row r="40" spans="1:8" ht="15" thickBot="1">
      <c r="A40" s="16"/>
      <c r="B40" s="17" t="s">
        <v>12</v>
      </c>
      <c r="C40" s="17" t="s">
        <v>42</v>
      </c>
      <c r="D40" s="28">
        <f t="shared" ref="D40:E40" si="10">D20*6.28981</f>
        <v>1856450.0011200001</v>
      </c>
      <c r="E40" s="28">
        <f t="shared" si="10"/>
        <v>309930.38774999999</v>
      </c>
      <c r="F40" s="28">
        <f t="shared" si="2"/>
        <v>1546519.6133700002</v>
      </c>
      <c r="G40" s="28">
        <f t="shared" si="3"/>
        <v>1856450.0011200001</v>
      </c>
    </row>
    <row r="41" spans="1:8" ht="15" thickBot="1">
      <c r="A41" s="16"/>
      <c r="B41" s="19" t="s">
        <v>13</v>
      </c>
      <c r="C41" s="19" t="s">
        <v>42</v>
      </c>
      <c r="D41" s="31">
        <f t="shared" ref="D41:E41" si="11">D21*6.28981</f>
        <v>280657.61200999998</v>
      </c>
      <c r="E41" s="31">
        <f t="shared" si="11"/>
        <v>43336.7909</v>
      </c>
      <c r="F41" s="31">
        <f t="shared" si="2"/>
        <v>237320.82110999999</v>
      </c>
      <c r="G41" s="31">
        <f t="shared" si="3"/>
        <v>280657.61200999998</v>
      </c>
    </row>
    <row r="42" spans="1:8" ht="15" thickBot="1">
      <c r="A42" s="16"/>
      <c r="B42" s="17" t="s">
        <v>14</v>
      </c>
      <c r="C42" s="17" t="s">
        <v>42</v>
      </c>
      <c r="D42" s="28">
        <f t="shared" ref="D42:E42" si="12">D22*6.28981</f>
        <v>472534.55586999998</v>
      </c>
      <c r="E42" s="28">
        <f t="shared" si="12"/>
        <v>55306.299330000002</v>
      </c>
      <c r="F42" s="28">
        <f t="shared" si="2"/>
        <v>417228.25653999991</v>
      </c>
      <c r="G42" s="28">
        <f t="shared" si="3"/>
        <v>472534.55586999992</v>
      </c>
    </row>
    <row r="43" spans="1:8" ht="15" thickBot="1">
      <c r="A43" s="16"/>
      <c r="B43" s="19" t="s">
        <v>15</v>
      </c>
      <c r="C43" s="19" t="s">
        <v>42</v>
      </c>
      <c r="D43" s="31">
        <f t="shared" ref="D43:E43" si="13">D23*6.28981</f>
        <v>228911.34513999999</v>
      </c>
      <c r="E43" s="31">
        <f t="shared" si="13"/>
        <v>64231.539720000001</v>
      </c>
      <c r="F43" s="31">
        <f t="shared" si="2"/>
        <v>164679.80541999996</v>
      </c>
      <c r="G43" s="31">
        <f t="shared" si="3"/>
        <v>228911.34513999996</v>
      </c>
    </row>
    <row r="44" spans="1:8" ht="15" thickBot="1">
      <c r="A44" s="16"/>
      <c r="B44" s="17" t="s">
        <v>16</v>
      </c>
      <c r="C44" s="17" t="s">
        <v>42</v>
      </c>
      <c r="D44" s="28">
        <f t="shared" ref="D44:E44" si="14">D24*6.28981</f>
        <v>11429056.50575</v>
      </c>
      <c r="E44" s="28">
        <f t="shared" si="14"/>
        <v>2760163.6121100001</v>
      </c>
      <c r="F44" s="28">
        <f t="shared" si="2"/>
        <v>8668892.8936400004</v>
      </c>
      <c r="G44" s="28">
        <f t="shared" si="3"/>
        <v>11429056.50575</v>
      </c>
    </row>
    <row r="45" spans="1:8" ht="15" thickBot="1">
      <c r="A45" s="16"/>
      <c r="B45" s="19" t="s">
        <v>17</v>
      </c>
      <c r="C45" s="19" t="s">
        <v>42</v>
      </c>
      <c r="D45" s="31">
        <f t="shared" ref="D45:E45" si="15">D25*6.28981</f>
        <v>162597.87831</v>
      </c>
      <c r="E45" s="31">
        <f t="shared" si="15"/>
        <v>44198.494870000002</v>
      </c>
      <c r="F45" s="31">
        <f t="shared" si="2"/>
        <v>118399.38344000001</v>
      </c>
      <c r="G45" s="31">
        <f t="shared" si="3"/>
        <v>162597.87831</v>
      </c>
    </row>
    <row r="46" spans="1:8" s="16" customFormat="1" ht="15" thickBot="1">
      <c r="B46" s="17" t="s">
        <v>19</v>
      </c>
      <c r="C46" s="17" t="s">
        <v>42</v>
      </c>
      <c r="D46" s="18">
        <f>SUM(D32:D45)</f>
        <v>113179199.65917</v>
      </c>
      <c r="E46" s="18">
        <f>SUM(E32:E45)</f>
        <v>28291389.265319996</v>
      </c>
      <c r="F46" s="18">
        <f>SUM(F32:F45)</f>
        <v>84887810.393849999</v>
      </c>
      <c r="G46" s="18">
        <f>SUM(G32:G45)</f>
        <v>113179199.65917</v>
      </c>
    </row>
    <row r="47" spans="1:8" ht="18.75">
      <c r="A47" s="22"/>
      <c r="B47" s="16"/>
      <c r="C47" s="16"/>
      <c r="D47" s="16"/>
      <c r="E47" s="16"/>
      <c r="F47" s="16"/>
      <c r="G47" s="16"/>
    </row>
    <row r="48" spans="1:8" ht="19.5" thickBot="1">
      <c r="A48" s="22" t="s">
        <v>90</v>
      </c>
      <c r="B48" s="16"/>
      <c r="C48" s="16"/>
      <c r="D48" s="16"/>
      <c r="E48" s="16"/>
      <c r="F48" s="16"/>
      <c r="G48" s="16"/>
      <c r="H48" s="34"/>
    </row>
    <row r="49" spans="1:8" ht="38.25" thickBot="1">
      <c r="A49" s="16"/>
      <c r="B49" s="14" t="s">
        <v>0</v>
      </c>
      <c r="C49" s="14" t="s">
        <v>1</v>
      </c>
      <c r="D49" s="15">
        <v>1397</v>
      </c>
      <c r="E49" s="15" t="s">
        <v>36</v>
      </c>
      <c r="F49" s="15" t="s">
        <v>88</v>
      </c>
      <c r="G49" s="15" t="s">
        <v>89</v>
      </c>
      <c r="H49" s="34"/>
    </row>
    <row r="50" spans="1:8" ht="15" thickBot="1">
      <c r="A50" s="16"/>
      <c r="B50" s="17" t="s">
        <v>3</v>
      </c>
      <c r="C50" s="17" t="s">
        <v>42</v>
      </c>
      <c r="D50" s="36">
        <f>D32/D$46</f>
        <v>2.3612518288677199E-2</v>
      </c>
      <c r="E50" s="36">
        <f>E32/E$46</f>
        <v>1.8882287395297261E-2</v>
      </c>
      <c r="F50" s="36">
        <f>F32/F$46</f>
        <v>2.5189008516173395E-2</v>
      </c>
      <c r="G50" s="36">
        <f>پنل!B19</f>
        <v>2.3612518288677199E-2</v>
      </c>
    </row>
    <row r="51" spans="1:8" ht="15" thickBot="1">
      <c r="A51" s="16"/>
      <c r="B51" s="19" t="s">
        <v>5</v>
      </c>
      <c r="C51" s="19" t="s">
        <v>42</v>
      </c>
      <c r="D51" s="37">
        <f t="shared" ref="D51:E63" si="16">D33/D$46</f>
        <v>8.0582161099078432E-6</v>
      </c>
      <c r="E51" s="37">
        <f t="shared" si="16"/>
        <v>1.4228634593545716E-5</v>
      </c>
      <c r="F51" s="37">
        <f t="shared" ref="F51" si="17">F33/F$46</f>
        <v>6.0017405047463758E-6</v>
      </c>
      <c r="G51" s="37">
        <f>پنل!B24</f>
        <v>8.0582161099078432E-6</v>
      </c>
    </row>
    <row r="52" spans="1:8" ht="15" thickBot="1">
      <c r="A52" s="16"/>
      <c r="B52" s="17" t="s">
        <v>6</v>
      </c>
      <c r="C52" s="17" t="s">
        <v>42</v>
      </c>
      <c r="D52" s="36">
        <f t="shared" si="16"/>
        <v>0.23002783641287788</v>
      </c>
      <c r="E52" s="36">
        <f t="shared" si="16"/>
        <v>0.22311610654757302</v>
      </c>
      <c r="F52" s="36">
        <f t="shared" ref="F52" si="18">F34/F$46</f>
        <v>0.23233137609906876</v>
      </c>
      <c r="G52" s="36">
        <f>پنل!B16</f>
        <v>0.23002783641287788</v>
      </c>
    </row>
    <row r="53" spans="1:8" ht="15" thickBot="1">
      <c r="A53" s="16"/>
      <c r="B53" s="19" t="s">
        <v>7</v>
      </c>
      <c r="C53" s="19" t="s">
        <v>42</v>
      </c>
      <c r="D53" s="37">
        <f t="shared" si="16"/>
        <v>1.1168743102236476E-2</v>
      </c>
      <c r="E53" s="37">
        <f t="shared" si="16"/>
        <v>1.0039635640239648E-2</v>
      </c>
      <c r="F53" s="37">
        <f t="shared" ref="F53" si="19">F35/F$46</f>
        <v>1.1545051768716631E-2</v>
      </c>
      <c r="G53" s="37">
        <f>پنل!B20</f>
        <v>1.1168743102236476E-2</v>
      </c>
    </row>
    <row r="54" spans="1:8" ht="15" thickBot="1">
      <c r="A54" s="16"/>
      <c r="B54" s="17" t="s">
        <v>8</v>
      </c>
      <c r="C54" s="17" t="s">
        <v>42</v>
      </c>
      <c r="D54" s="36">
        <f t="shared" si="16"/>
        <v>4.4768725585341874E-2</v>
      </c>
      <c r="E54" s="36">
        <f t="shared" si="16"/>
        <v>4.7295536744114915E-2</v>
      </c>
      <c r="F54" s="36">
        <f t="shared" ref="F54" si="20">F36/F$46</f>
        <v>4.392659056311516E-2</v>
      </c>
      <c r="G54" s="36">
        <f>پنل!B18</f>
        <v>4.4768725585341874E-2</v>
      </c>
    </row>
    <row r="55" spans="1:8" ht="15" thickBot="1">
      <c r="A55" s="16"/>
      <c r="B55" s="19" t="s">
        <v>9</v>
      </c>
      <c r="C55" s="19" t="s">
        <v>42</v>
      </c>
      <c r="D55" s="37">
        <f t="shared" si="16"/>
        <v>0.3308263945145889</v>
      </c>
      <c r="E55" s="37">
        <f t="shared" si="16"/>
        <v>0.34309150879551947</v>
      </c>
      <c r="F55" s="37">
        <f t="shared" ref="F55" si="21">F37/F$46</f>
        <v>0.32673868014316743</v>
      </c>
      <c r="G55" s="37">
        <f>پنل!B15</f>
        <v>0.3308263945145889</v>
      </c>
    </row>
    <row r="56" spans="1:8" ht="15" thickBot="1">
      <c r="A56" s="16"/>
      <c r="B56" s="17" t="s">
        <v>10</v>
      </c>
      <c r="C56" s="17" t="s">
        <v>42</v>
      </c>
      <c r="D56" s="36">
        <f t="shared" si="16"/>
        <v>2.7789175059298745E-3</v>
      </c>
      <c r="E56" s="36">
        <f t="shared" si="16"/>
        <v>2.8366116996726529E-3</v>
      </c>
      <c r="F56" s="36">
        <f t="shared" ref="F56" si="22">F38/F$46</f>
        <v>2.7596891987565282E-3</v>
      </c>
      <c r="G56" s="36">
        <f>پنل!B25</f>
        <v>2.7789175059298745E-3</v>
      </c>
    </row>
    <row r="57" spans="1:8" ht="15" thickBot="1">
      <c r="A57" s="16"/>
      <c r="B57" s="19" t="s">
        <v>11</v>
      </c>
      <c r="C57" s="19" t="s">
        <v>42</v>
      </c>
      <c r="D57" s="37">
        <f t="shared" si="16"/>
        <v>0.22931004386614981</v>
      </c>
      <c r="E57" s="37">
        <f t="shared" si="16"/>
        <v>0.2388878810272719</v>
      </c>
      <c r="F57" s="37">
        <f t="shared" ref="F57" si="23">F39/F$46</f>
        <v>0.2261179445742969</v>
      </c>
      <c r="G57" s="37">
        <f>پنل!B17</f>
        <v>0.22931004386614981</v>
      </c>
    </row>
    <row r="58" spans="1:8" ht="15" thickBot="1">
      <c r="A58" s="16"/>
      <c r="B58" s="17" t="s">
        <v>12</v>
      </c>
      <c r="C58" s="17" t="s">
        <v>42</v>
      </c>
      <c r="D58" s="36">
        <f t="shared" si="16"/>
        <v>1.6402748974286344E-2</v>
      </c>
      <c r="E58" s="36">
        <f t="shared" si="16"/>
        <v>1.095493702495258E-2</v>
      </c>
      <c r="F58" s="36">
        <f t="shared" ref="F58" si="24">F40/F$46</f>
        <v>1.8218394445500309E-2</v>
      </c>
      <c r="G58" s="36">
        <f>پنل!B23</f>
        <v>1.6402748974286344E-2</v>
      </c>
    </row>
    <row r="59" spans="1:8" ht="15" thickBot="1">
      <c r="A59" s="16"/>
      <c r="B59" s="19" t="s">
        <v>13</v>
      </c>
      <c r="C59" s="19" t="s">
        <v>42</v>
      </c>
      <c r="D59" s="37">
        <f t="shared" si="16"/>
        <v>2.4797631795875712E-3</v>
      </c>
      <c r="E59" s="37">
        <f t="shared" si="16"/>
        <v>1.531801442961406E-3</v>
      </c>
      <c r="F59" s="37">
        <f t="shared" ref="F59" si="25">F41/F$46</f>
        <v>2.7956996417850067E-3</v>
      </c>
      <c r="G59" s="37">
        <f>پنل!B26</f>
        <v>2.4797631795875712E-3</v>
      </c>
    </row>
    <row r="60" spans="1:8" ht="15" thickBot="1">
      <c r="A60" s="16"/>
      <c r="B60" s="17" t="s">
        <v>14</v>
      </c>
      <c r="C60" s="17" t="s">
        <v>42</v>
      </c>
      <c r="D60" s="36">
        <f t="shared" si="16"/>
        <v>4.1751007013037687E-3</v>
      </c>
      <c r="E60" s="36">
        <f t="shared" si="16"/>
        <v>1.954880999703867E-3</v>
      </c>
      <c r="F60" s="36">
        <f t="shared" ref="F60" si="26">F42/F$46</f>
        <v>4.9150549955783466E-3</v>
      </c>
      <c r="G60" s="36">
        <f>پنل!B27</f>
        <v>4.1751007013037687E-3</v>
      </c>
    </row>
    <row r="61" spans="1:8" ht="15" thickBot="1">
      <c r="A61" s="16"/>
      <c r="B61" s="19" t="s">
        <v>15</v>
      </c>
      <c r="C61" s="19" t="s">
        <v>42</v>
      </c>
      <c r="D61" s="37">
        <f t="shared" si="16"/>
        <v>2.0225566696826622E-3</v>
      </c>
      <c r="E61" s="37">
        <f t="shared" si="16"/>
        <v>2.2703565073326384E-3</v>
      </c>
      <c r="F61" s="37">
        <f t="shared" ref="F61" si="27">F43/F$46</f>
        <v>1.9399699987070319E-3</v>
      </c>
      <c r="G61" s="37">
        <f>پنل!B28</f>
        <v>2.0225566696826622E-3</v>
      </c>
    </row>
    <row r="62" spans="1:8" ht="15" thickBot="1">
      <c r="A62" s="16"/>
      <c r="B62" s="17" t="s">
        <v>16</v>
      </c>
      <c r="C62" s="17" t="s">
        <v>42</v>
      </c>
      <c r="D62" s="36">
        <f t="shared" si="16"/>
        <v>0.10098195198559169</v>
      </c>
      <c r="E62" s="36">
        <f t="shared" si="16"/>
        <v>9.7561967926879059E-2</v>
      </c>
      <c r="F62" s="36">
        <f t="shared" ref="F62" si="28">F44/F$46</f>
        <v>0.10212176345955143</v>
      </c>
      <c r="G62" s="36">
        <f>پنل!B22</f>
        <v>0.10098195198559169</v>
      </c>
    </row>
    <row r="63" spans="1:8" ht="15" thickBot="1">
      <c r="A63" s="16"/>
      <c r="B63" s="19" t="s">
        <v>17</v>
      </c>
      <c r="C63" s="19" t="s">
        <v>42</v>
      </c>
      <c r="D63" s="37">
        <f t="shared" si="16"/>
        <v>1.4366409976360529E-3</v>
      </c>
      <c r="E63" s="37">
        <f t="shared" si="16"/>
        <v>1.5622596138882149E-3</v>
      </c>
      <c r="F63" s="37">
        <f t="shared" ref="F63" si="29">F45/F$46</f>
        <v>1.3947748550783431E-3</v>
      </c>
      <c r="G63" s="37">
        <f>پنل!B29</f>
        <v>1.4366409976360529E-3</v>
      </c>
    </row>
    <row r="64" spans="1:8" s="16" customFormat="1" ht="15" thickBot="1">
      <c r="B64" s="17" t="s">
        <v>19</v>
      </c>
      <c r="C64" s="17" t="s">
        <v>42</v>
      </c>
      <c r="D64" s="38">
        <f>D46/D$46</f>
        <v>1</v>
      </c>
      <c r="E64" s="38">
        <f>E46/E$46</f>
        <v>1</v>
      </c>
      <c r="F64" s="38">
        <f>F46/F$46</f>
        <v>1</v>
      </c>
      <c r="G64" s="38">
        <f>G46/G$46</f>
        <v>1</v>
      </c>
    </row>
    <row r="65" spans="1:7" ht="18.75">
      <c r="A65" s="22"/>
      <c r="B65" s="16"/>
      <c r="C65" s="16"/>
      <c r="D65" s="16"/>
      <c r="E65" s="16"/>
      <c r="F65" s="16"/>
      <c r="G65" s="16"/>
    </row>
    <row r="66" spans="1:7" ht="18.75">
      <c r="A66" s="22"/>
      <c r="B66" s="16"/>
      <c r="C66" s="16"/>
      <c r="D66" s="16"/>
      <c r="E66" s="16"/>
      <c r="F66" s="16"/>
      <c r="G66" s="16"/>
    </row>
    <row r="67" spans="1:7" ht="19.5" thickBot="1">
      <c r="A67" s="63" t="s">
        <v>48</v>
      </c>
      <c r="B67" s="16"/>
      <c r="C67" s="16"/>
      <c r="D67" s="16"/>
      <c r="E67" s="16"/>
      <c r="F67" s="16"/>
      <c r="G67" s="16"/>
    </row>
    <row r="68" spans="1:7" ht="38.25" thickBot="1">
      <c r="A68" s="16"/>
      <c r="B68" s="14" t="s">
        <v>0</v>
      </c>
      <c r="C68" s="14" t="s">
        <v>1</v>
      </c>
      <c r="D68" s="15">
        <v>1397</v>
      </c>
      <c r="E68" s="15" t="s">
        <v>36</v>
      </c>
      <c r="F68" s="15" t="s">
        <v>88</v>
      </c>
      <c r="G68" s="15" t="s">
        <v>89</v>
      </c>
    </row>
    <row r="69" spans="1:7" ht="15" thickBot="1">
      <c r="A69" s="16"/>
      <c r="B69" s="17" t="s">
        <v>3</v>
      </c>
      <c r="C69" s="17" t="s">
        <v>4</v>
      </c>
      <c r="D69" s="28">
        <v>426000</v>
      </c>
      <c r="E69" s="28">
        <v>87110</v>
      </c>
      <c r="F69" s="28"/>
      <c r="G69" s="28"/>
    </row>
    <row r="70" spans="1:7" ht="15" thickBot="1">
      <c r="A70" s="16"/>
      <c r="B70" s="19" t="s">
        <v>5</v>
      </c>
      <c r="C70" s="19" t="s">
        <v>4</v>
      </c>
      <c r="D70" s="31">
        <v>145</v>
      </c>
      <c r="E70" s="31">
        <v>64</v>
      </c>
      <c r="F70" s="31"/>
      <c r="G70" s="31"/>
    </row>
    <row r="71" spans="1:7" ht="15" thickBot="1">
      <c r="A71" s="16"/>
      <c r="B71" s="17" t="s">
        <v>6</v>
      </c>
      <c r="C71" s="17" t="s">
        <v>4</v>
      </c>
      <c r="D71" s="28">
        <v>4115925</v>
      </c>
      <c r="E71" s="28">
        <v>969899</v>
      </c>
      <c r="F71" s="28"/>
      <c r="G71" s="28"/>
    </row>
    <row r="72" spans="1:7" ht="15" thickBot="1">
      <c r="A72" s="16"/>
      <c r="B72" s="19" t="s">
        <v>7</v>
      </c>
      <c r="C72" s="19" t="s">
        <v>4</v>
      </c>
      <c r="D72" s="31">
        <v>196178</v>
      </c>
      <c r="E72" s="31">
        <v>49046</v>
      </c>
      <c r="F72" s="31"/>
      <c r="G72" s="31"/>
    </row>
    <row r="73" spans="1:7" ht="15" thickBot="1">
      <c r="A73" s="16"/>
      <c r="B73" s="17" t="s">
        <v>8</v>
      </c>
      <c r="C73" s="17" t="s">
        <v>4</v>
      </c>
      <c r="D73" s="28">
        <v>706239</v>
      </c>
      <c r="E73" s="28">
        <v>128430</v>
      </c>
      <c r="F73" s="28"/>
      <c r="G73" s="28"/>
    </row>
    <row r="74" spans="1:7" ht="15" thickBot="1">
      <c r="A74" s="16"/>
      <c r="B74" s="19" t="s">
        <v>9</v>
      </c>
      <c r="C74" s="19" t="s">
        <v>4</v>
      </c>
      <c r="D74" s="31">
        <f>5238735+503880</f>
        <v>5742615</v>
      </c>
      <c r="E74" s="31">
        <f>1034507+196338</f>
        <v>1230845</v>
      </c>
      <c r="F74" s="31"/>
      <c r="G74" s="31"/>
    </row>
    <row r="75" spans="1:7" ht="15" thickBot="1">
      <c r="A75" s="16"/>
      <c r="B75" s="17" t="s">
        <v>10</v>
      </c>
      <c r="C75" s="17" t="s">
        <v>2</v>
      </c>
      <c r="D75" s="28">
        <v>50004</v>
      </c>
      <c r="E75" s="28">
        <v>12759</v>
      </c>
      <c r="F75" s="28"/>
      <c r="G75" s="28"/>
    </row>
    <row r="76" spans="1:7" ht="15" thickBot="1">
      <c r="A76" s="16"/>
      <c r="B76" s="19" t="s">
        <v>11</v>
      </c>
      <c r="C76" s="19" t="s">
        <v>4</v>
      </c>
      <c r="D76" s="31">
        <f>510885+3149054</f>
        <v>3659939</v>
      </c>
      <c r="E76" s="31">
        <f>70545+1051578</f>
        <v>1122123</v>
      </c>
      <c r="F76" s="31"/>
      <c r="G76" s="31"/>
    </row>
    <row r="77" spans="1:7" ht="15" thickBot="1">
      <c r="A77" s="16"/>
      <c r="B77" s="17" t="s">
        <v>12</v>
      </c>
      <c r="C77" s="17" t="s">
        <v>4</v>
      </c>
      <c r="D77" s="28">
        <v>295152</v>
      </c>
      <c r="E77" s="28">
        <v>49275</v>
      </c>
      <c r="F77" s="28"/>
      <c r="G77" s="28"/>
    </row>
    <row r="78" spans="1:7" ht="15" thickBot="1">
      <c r="A78" s="16"/>
      <c r="B78" s="19" t="s">
        <v>13</v>
      </c>
      <c r="C78" s="19" t="s">
        <v>2</v>
      </c>
      <c r="D78" s="31">
        <v>44621</v>
      </c>
      <c r="E78" s="31">
        <v>6890</v>
      </c>
      <c r="F78" s="31"/>
      <c r="G78" s="31"/>
    </row>
    <row r="79" spans="1:7" ht="15" thickBot="1">
      <c r="A79" s="16"/>
      <c r="B79" s="17" t="s">
        <v>14</v>
      </c>
      <c r="C79" s="17" t="s">
        <v>4</v>
      </c>
      <c r="D79" s="28">
        <v>76652</v>
      </c>
      <c r="E79" s="28">
        <v>8793</v>
      </c>
      <c r="F79" s="28"/>
      <c r="G79" s="28"/>
    </row>
    <row r="80" spans="1:7" ht="15" thickBot="1">
      <c r="A80" s="16"/>
      <c r="B80" s="19" t="s">
        <v>15</v>
      </c>
      <c r="C80" s="19" t="s">
        <v>4</v>
      </c>
      <c r="D80" s="31">
        <v>36394</v>
      </c>
      <c r="E80" s="31">
        <v>10212</v>
      </c>
      <c r="F80" s="31"/>
      <c r="G80" s="31"/>
    </row>
    <row r="81" spans="1:7" ht="15" thickBot="1">
      <c r="A81" s="16"/>
      <c r="B81" s="17" t="s">
        <v>16</v>
      </c>
      <c r="C81" s="17" t="s">
        <v>4</v>
      </c>
      <c r="D81" s="28">
        <v>1830043</v>
      </c>
      <c r="E81" s="28">
        <v>418408</v>
      </c>
      <c r="F81" s="28"/>
      <c r="G81" s="28"/>
    </row>
    <row r="82" spans="1:7" ht="15" thickBot="1">
      <c r="A82" s="16"/>
      <c r="B82" s="19" t="s">
        <v>17</v>
      </c>
      <c r="C82" s="19" t="s">
        <v>4</v>
      </c>
      <c r="D82" s="31">
        <v>21578</v>
      </c>
      <c r="E82" s="31">
        <v>4473</v>
      </c>
      <c r="F82" s="31"/>
      <c r="G82" s="31"/>
    </row>
    <row r="84" spans="1:7" ht="19.5" thickBot="1">
      <c r="A84" s="22" t="s">
        <v>49</v>
      </c>
      <c r="B84" s="16"/>
      <c r="C84" s="16"/>
      <c r="D84" s="16"/>
      <c r="E84" s="16"/>
      <c r="F84" s="16"/>
      <c r="G84" s="16"/>
    </row>
    <row r="85" spans="1:7" ht="38.25" thickBot="1">
      <c r="A85" s="16"/>
      <c r="B85" s="14" t="s">
        <v>0</v>
      </c>
      <c r="C85" s="14" t="s">
        <v>1</v>
      </c>
      <c r="D85" s="15">
        <v>1397</v>
      </c>
      <c r="E85" s="15" t="s">
        <v>36</v>
      </c>
      <c r="F85" s="15" t="s">
        <v>88</v>
      </c>
      <c r="G85" s="15" t="s">
        <v>89</v>
      </c>
    </row>
    <row r="86" spans="1:7" ht="15" thickBot="1">
      <c r="A86" s="16"/>
      <c r="B86" s="17" t="s">
        <v>3</v>
      </c>
      <c r="C86" s="17" t="s">
        <v>42</v>
      </c>
      <c r="D86" s="28">
        <f>D69*6.28981</f>
        <v>2679459.06</v>
      </c>
      <c r="E86" s="28">
        <f>E69*6.28981</f>
        <v>547905.34909999999</v>
      </c>
      <c r="F86" s="28">
        <f>G86-E86</f>
        <v>2124540.5727500003</v>
      </c>
      <c r="G86" s="28">
        <f>G104*G$4</f>
        <v>2672445.92185</v>
      </c>
    </row>
    <row r="87" spans="1:7" ht="15" thickBot="1">
      <c r="A87" s="16"/>
      <c r="B87" s="19" t="s">
        <v>5</v>
      </c>
      <c r="C87" s="19" t="s">
        <v>42</v>
      </c>
      <c r="D87" s="31">
        <f t="shared" ref="D87:E99" si="30">D70*6.28981</f>
        <v>912.02245000000005</v>
      </c>
      <c r="E87" s="31">
        <f t="shared" si="30"/>
        <v>402.54784000000001</v>
      </c>
      <c r="F87" s="31">
        <f t="shared" ref="F87:F99" si="31">G87-E87</f>
        <v>509.47460999999993</v>
      </c>
      <c r="G87" s="31">
        <f t="shared" ref="G87:G99" si="32">G105*G$4</f>
        <v>912.02244999999994</v>
      </c>
    </row>
    <row r="88" spans="1:7" ht="15" thickBot="1">
      <c r="A88" s="16"/>
      <c r="B88" s="17" t="s">
        <v>6</v>
      </c>
      <c r="C88" s="17" t="s">
        <v>42</v>
      </c>
      <c r="D88" s="28">
        <f t="shared" si="30"/>
        <v>25888386.22425</v>
      </c>
      <c r="E88" s="28">
        <f t="shared" si="30"/>
        <v>6100480.4291900005</v>
      </c>
      <c r="F88" s="28">
        <f t="shared" si="31"/>
        <v>19933885.995350003</v>
      </c>
      <c r="G88" s="28">
        <f t="shared" si="32"/>
        <v>26034366.424540002</v>
      </c>
    </row>
    <row r="89" spans="1:7" ht="15" thickBot="1">
      <c r="A89" s="16"/>
      <c r="B89" s="19" t="s">
        <v>7</v>
      </c>
      <c r="C89" s="19" t="s">
        <v>42</v>
      </c>
      <c r="D89" s="31">
        <f t="shared" si="30"/>
        <v>1233922.3461800001</v>
      </c>
      <c r="E89" s="31">
        <f t="shared" si="30"/>
        <v>308490.02126000001</v>
      </c>
      <c r="F89" s="31">
        <f t="shared" si="31"/>
        <v>955579.38424999989</v>
      </c>
      <c r="G89" s="31">
        <f t="shared" si="32"/>
        <v>1264069.40551</v>
      </c>
    </row>
    <row r="90" spans="1:7" ht="15" thickBot="1">
      <c r="A90" s="16"/>
      <c r="B90" s="17" t="s">
        <v>8</v>
      </c>
      <c r="C90" s="17" t="s">
        <v>42</v>
      </c>
      <c r="D90" s="28">
        <f t="shared" si="30"/>
        <v>4442109.1245900001</v>
      </c>
      <c r="E90" s="28">
        <f t="shared" si="30"/>
        <v>807800.29830000002</v>
      </c>
      <c r="F90" s="28">
        <f t="shared" si="31"/>
        <v>4259088.2332100002</v>
      </c>
      <c r="G90" s="28">
        <f t="shared" si="32"/>
        <v>5066888.5315100001</v>
      </c>
    </row>
    <row r="91" spans="1:7" ht="15" thickBot="1">
      <c r="A91" s="16"/>
      <c r="B91" s="19" t="s">
        <v>9</v>
      </c>
      <c r="C91" s="19" t="s">
        <v>42</v>
      </c>
      <c r="D91" s="31">
        <f t="shared" si="30"/>
        <v>36119957.253150001</v>
      </c>
      <c r="E91" s="31">
        <f t="shared" si="30"/>
        <v>7741781.1894500004</v>
      </c>
      <c r="F91" s="31">
        <f t="shared" si="31"/>
        <v>29700885.367840003</v>
      </c>
      <c r="G91" s="31">
        <f t="shared" si="32"/>
        <v>37442666.557290003</v>
      </c>
    </row>
    <row r="92" spans="1:7" ht="15" thickBot="1">
      <c r="A92" s="16"/>
      <c r="B92" s="17" t="s">
        <v>10</v>
      </c>
      <c r="C92" s="17" t="s">
        <v>42</v>
      </c>
      <c r="D92" s="28">
        <f t="shared" si="30"/>
        <v>314515.65924000001</v>
      </c>
      <c r="E92" s="28">
        <f t="shared" si="30"/>
        <v>80251.685790000003</v>
      </c>
      <c r="F92" s="28">
        <f t="shared" si="31"/>
        <v>234263.97344999999</v>
      </c>
      <c r="G92" s="28">
        <f t="shared" si="32"/>
        <v>314515.65924000001</v>
      </c>
    </row>
    <row r="93" spans="1:7" ht="15" thickBot="1">
      <c r="A93" s="16"/>
      <c r="B93" s="19" t="s">
        <v>11</v>
      </c>
      <c r="C93" s="19" t="s">
        <v>42</v>
      </c>
      <c r="D93" s="31">
        <f t="shared" si="30"/>
        <v>23020320.92159</v>
      </c>
      <c r="E93" s="31">
        <f t="shared" si="30"/>
        <v>7057940.4666299997</v>
      </c>
      <c r="F93" s="31">
        <f t="shared" si="31"/>
        <v>18895186.771949999</v>
      </c>
      <c r="G93" s="31">
        <f t="shared" si="32"/>
        <v>25953127.23858</v>
      </c>
    </row>
    <row r="94" spans="1:7" ht="15" thickBot="1">
      <c r="A94" s="16"/>
      <c r="B94" s="17" t="s">
        <v>12</v>
      </c>
      <c r="C94" s="17" t="s">
        <v>42</v>
      </c>
      <c r="D94" s="28">
        <f t="shared" si="30"/>
        <v>1856450.0011200001</v>
      </c>
      <c r="E94" s="28">
        <f t="shared" si="30"/>
        <v>309930.38774999999</v>
      </c>
      <c r="F94" s="28">
        <f t="shared" si="31"/>
        <v>1546519.6133700002</v>
      </c>
      <c r="G94" s="28">
        <f t="shared" si="32"/>
        <v>1856450.0011200001</v>
      </c>
    </row>
    <row r="95" spans="1:7" ht="15" thickBot="1">
      <c r="A95" s="16"/>
      <c r="B95" s="19" t="s">
        <v>13</v>
      </c>
      <c r="C95" s="19" t="s">
        <v>42</v>
      </c>
      <c r="D95" s="31">
        <f t="shared" si="30"/>
        <v>280657.61200999998</v>
      </c>
      <c r="E95" s="31">
        <f t="shared" si="30"/>
        <v>43336.7909</v>
      </c>
      <c r="F95" s="31">
        <f t="shared" si="31"/>
        <v>237320.82110999999</v>
      </c>
      <c r="G95" s="31">
        <f t="shared" si="32"/>
        <v>280657.61200999998</v>
      </c>
    </row>
    <row r="96" spans="1:7" ht="15" thickBot="1">
      <c r="A96" s="16"/>
      <c r="B96" s="17" t="s">
        <v>14</v>
      </c>
      <c r="C96" s="17" t="s">
        <v>42</v>
      </c>
      <c r="D96" s="28">
        <f t="shared" si="30"/>
        <v>482126.51611999999</v>
      </c>
      <c r="E96" s="28">
        <f t="shared" si="30"/>
        <v>55306.299330000002</v>
      </c>
      <c r="F96" s="28">
        <f t="shared" si="31"/>
        <v>417228.25653999991</v>
      </c>
      <c r="G96" s="28">
        <f t="shared" si="32"/>
        <v>472534.55586999992</v>
      </c>
    </row>
    <row r="97" spans="1:8" ht="15" thickBot="1">
      <c r="A97" s="16"/>
      <c r="B97" s="19" t="s">
        <v>15</v>
      </c>
      <c r="C97" s="19" t="s">
        <v>42</v>
      </c>
      <c r="D97" s="31">
        <f t="shared" si="30"/>
        <v>228911.34513999999</v>
      </c>
      <c r="E97" s="31">
        <f t="shared" si="30"/>
        <v>64231.539720000001</v>
      </c>
      <c r="F97" s="31">
        <f t="shared" si="31"/>
        <v>164679.80541999996</v>
      </c>
      <c r="G97" s="31">
        <f t="shared" si="32"/>
        <v>228911.34513999996</v>
      </c>
    </row>
    <row r="98" spans="1:8" ht="15" thickBot="1">
      <c r="A98" s="16"/>
      <c r="B98" s="17" t="s">
        <v>16</v>
      </c>
      <c r="C98" s="17" t="s">
        <v>42</v>
      </c>
      <c r="D98" s="28">
        <f t="shared" si="30"/>
        <v>11510622.76183</v>
      </c>
      <c r="E98" s="28">
        <f t="shared" si="30"/>
        <v>2631706.8224800001</v>
      </c>
      <c r="F98" s="28">
        <f t="shared" si="31"/>
        <v>8797349.6832699999</v>
      </c>
      <c r="G98" s="28">
        <f t="shared" si="32"/>
        <v>11429056.50575</v>
      </c>
    </row>
    <row r="99" spans="1:8" ht="15" thickBot="1">
      <c r="A99" s="16"/>
      <c r="B99" s="19" t="s">
        <v>17</v>
      </c>
      <c r="C99" s="19" t="s">
        <v>42</v>
      </c>
      <c r="D99" s="31">
        <f t="shared" si="30"/>
        <v>135721.52017999999</v>
      </c>
      <c r="E99" s="31">
        <f t="shared" si="30"/>
        <v>28134.32013</v>
      </c>
      <c r="F99" s="31">
        <f t="shared" si="31"/>
        <v>134463.55817999999</v>
      </c>
      <c r="G99" s="31">
        <f t="shared" si="32"/>
        <v>162597.87831</v>
      </c>
    </row>
    <row r="100" spans="1:8" s="16" customFormat="1" ht="15" thickBot="1">
      <c r="B100" s="17" t="s">
        <v>19</v>
      </c>
      <c r="C100" s="17" t="s">
        <v>42</v>
      </c>
      <c r="D100" s="18">
        <f>SUM(D86:D99)</f>
        <v>108194072.36785002</v>
      </c>
      <c r="E100" s="18">
        <f>SUM(E86:E99)</f>
        <v>25777698.14787</v>
      </c>
      <c r="F100" s="18">
        <f>SUM(F86:F99)</f>
        <v>87401501.511299998</v>
      </c>
      <c r="G100" s="18">
        <f>SUM(G86:G99)</f>
        <v>113179199.65917</v>
      </c>
    </row>
    <row r="102" spans="1:8" ht="19.5" thickBot="1">
      <c r="A102" s="22" t="s">
        <v>62</v>
      </c>
      <c r="B102" s="16"/>
      <c r="C102" s="16"/>
      <c r="D102" s="16"/>
      <c r="E102" s="16"/>
      <c r="F102" s="16"/>
      <c r="G102" s="16"/>
    </row>
    <row r="103" spans="1:8" ht="38.25" thickBot="1">
      <c r="A103" s="16"/>
      <c r="B103" s="14" t="s">
        <v>0</v>
      </c>
      <c r="C103" s="14" t="s">
        <v>1</v>
      </c>
      <c r="D103" s="15">
        <v>1397</v>
      </c>
      <c r="E103" s="15" t="s">
        <v>36</v>
      </c>
      <c r="F103" s="15" t="s">
        <v>88</v>
      </c>
      <c r="G103" s="15" t="s">
        <v>89</v>
      </c>
    </row>
    <row r="104" spans="1:8" ht="15" thickBot="1">
      <c r="A104" s="16"/>
      <c r="B104" s="17" t="s">
        <v>3</v>
      </c>
      <c r="C104" s="17"/>
      <c r="D104" s="36">
        <f>D86/D$100</f>
        <v>2.4765303693256711E-2</v>
      </c>
      <c r="E104" s="36">
        <f>E86/E$100</f>
        <v>2.1255014546179452E-2</v>
      </c>
      <c r="F104" s="36">
        <f>F86/F$100</f>
        <v>2.4307826936764032E-2</v>
      </c>
      <c r="G104" s="36">
        <f>پنل!B19</f>
        <v>2.3612518288677199E-2</v>
      </c>
    </row>
    <row r="105" spans="1:8" ht="15" thickBot="1">
      <c r="A105" s="16"/>
      <c r="B105" s="19" t="s">
        <v>5</v>
      </c>
      <c r="C105" s="19"/>
      <c r="D105" s="37">
        <f t="shared" ref="D105:F118" si="33">D87/D$100</f>
        <v>8.429504778221182E-6</v>
      </c>
      <c r="E105" s="37">
        <f t="shared" si="33"/>
        <v>1.5616128239645104E-5</v>
      </c>
      <c r="F105" s="37">
        <f t="shared" si="33"/>
        <v>5.8291288043161454E-6</v>
      </c>
      <c r="G105" s="37">
        <f>پنل!B24</f>
        <v>8.0582161099078432E-6</v>
      </c>
      <c r="H105" s="42"/>
    </row>
    <row r="106" spans="1:8" ht="15" thickBot="1">
      <c r="A106" s="16"/>
      <c r="B106" s="17" t="s">
        <v>6</v>
      </c>
      <c r="C106" s="17"/>
      <c r="D106" s="36">
        <f t="shared" si="33"/>
        <v>0.23927730658137941</v>
      </c>
      <c r="E106" s="36">
        <f t="shared" si="33"/>
        <v>0.23665729942974292</v>
      </c>
      <c r="F106" s="36">
        <f t="shared" si="33"/>
        <v>0.22807258056971463</v>
      </c>
      <c r="G106" s="36">
        <f>پنل!B16</f>
        <v>0.23002783641287788</v>
      </c>
    </row>
    <row r="107" spans="1:8" ht="15" thickBot="1">
      <c r="A107" s="16"/>
      <c r="B107" s="19" t="s">
        <v>7</v>
      </c>
      <c r="C107" s="19"/>
      <c r="D107" s="37">
        <f t="shared" si="33"/>
        <v>1.1404713023323276E-2</v>
      </c>
      <c r="E107" s="37">
        <f t="shared" si="33"/>
        <v>1.1967322275650527E-2</v>
      </c>
      <c r="F107" s="37">
        <f t="shared" si="33"/>
        <v>1.0933214735749758E-2</v>
      </c>
      <c r="G107" s="37">
        <f>پنل!B20</f>
        <v>1.1168743102236476E-2</v>
      </c>
    </row>
    <row r="108" spans="1:8" ht="15" thickBot="1">
      <c r="A108" s="16"/>
      <c r="B108" s="17" t="s">
        <v>8</v>
      </c>
      <c r="C108" s="17"/>
      <c r="D108" s="36">
        <f t="shared" si="33"/>
        <v>4.1056862241835509E-2</v>
      </c>
      <c r="E108" s="36">
        <f t="shared" si="33"/>
        <v>3.1337177340900323E-2</v>
      </c>
      <c r="F108" s="36">
        <f t="shared" si="33"/>
        <v>4.8730149477573328E-2</v>
      </c>
      <c r="G108" s="36">
        <f>پنل!B18</f>
        <v>4.4768725585341874E-2</v>
      </c>
    </row>
    <row r="109" spans="1:8" ht="15" thickBot="1">
      <c r="A109" s="16"/>
      <c r="B109" s="19" t="s">
        <v>9</v>
      </c>
      <c r="C109" s="19"/>
      <c r="D109" s="37">
        <f t="shared" si="33"/>
        <v>0.33384414194472156</v>
      </c>
      <c r="E109" s="37">
        <f t="shared" si="33"/>
        <v>0.30032864629884343</v>
      </c>
      <c r="F109" s="37">
        <f t="shared" si="33"/>
        <v>0.33982122565709039</v>
      </c>
      <c r="G109" s="37">
        <f>پنل!B15</f>
        <v>0.3308263945145889</v>
      </c>
    </row>
    <row r="110" spans="1:8" ht="15" thickBot="1">
      <c r="A110" s="16"/>
      <c r="B110" s="17" t="s">
        <v>10</v>
      </c>
      <c r="C110" s="17"/>
      <c r="D110" s="36">
        <f t="shared" si="33"/>
        <v>2.9069583236563581E-3</v>
      </c>
      <c r="E110" s="36">
        <f t="shared" si="33"/>
        <v>3.1132215657754983E-3</v>
      </c>
      <c r="F110" s="36">
        <f t="shared" si="33"/>
        <v>2.6803197816883317E-3</v>
      </c>
      <c r="G110" s="36">
        <f>پنل!B25</f>
        <v>2.7789175059298745E-3</v>
      </c>
    </row>
    <row r="111" spans="1:8" ht="15" thickBot="1">
      <c r="A111" s="16"/>
      <c r="B111" s="19" t="s">
        <v>11</v>
      </c>
      <c r="C111" s="19"/>
      <c r="D111" s="37">
        <f t="shared" si="33"/>
        <v>0.21276878129998655</v>
      </c>
      <c r="E111" s="37">
        <f t="shared" si="33"/>
        <v>0.27380026044773875</v>
      </c>
      <c r="F111" s="37">
        <f t="shared" si="33"/>
        <v>0.21618835426422361</v>
      </c>
      <c r="G111" s="37">
        <f>پنل!B17</f>
        <v>0.22931004386614981</v>
      </c>
    </row>
    <row r="112" spans="1:8" ht="15" thickBot="1">
      <c r="A112" s="16"/>
      <c r="B112" s="17" t="s">
        <v>12</v>
      </c>
      <c r="C112" s="17"/>
      <c r="D112" s="36">
        <f t="shared" si="33"/>
        <v>1.715851858138992E-2</v>
      </c>
      <c r="E112" s="36">
        <f t="shared" si="33"/>
        <v>1.2023198734508007E-2</v>
      </c>
      <c r="F112" s="36">
        <f t="shared" si="33"/>
        <v>1.7694428432331374E-2</v>
      </c>
      <c r="G112" s="36">
        <f>پنل!B23</f>
        <v>1.6402748974286344E-2</v>
      </c>
    </row>
    <row r="113" spans="1:7" ht="15" thickBot="1">
      <c r="A113" s="16"/>
      <c r="B113" s="19" t="s">
        <v>13</v>
      </c>
      <c r="C113" s="19"/>
      <c r="D113" s="37">
        <f t="shared" si="33"/>
        <v>2.5940202255793606E-3</v>
      </c>
      <c r="E113" s="37">
        <f t="shared" si="33"/>
        <v>1.6811738057992932E-3</v>
      </c>
      <c r="F113" s="37">
        <f t="shared" si="33"/>
        <v>2.7152945545142284E-3</v>
      </c>
      <c r="G113" s="37">
        <f>پنل!B26</f>
        <v>2.4797631795875712E-3</v>
      </c>
    </row>
    <row r="114" spans="1:7" ht="15" thickBot="1">
      <c r="A114" s="16"/>
      <c r="B114" s="17" t="s">
        <v>14</v>
      </c>
      <c r="C114" s="17"/>
      <c r="D114" s="36">
        <f t="shared" si="33"/>
        <v>4.4561268983462753E-3</v>
      </c>
      <c r="E114" s="36">
        <f t="shared" si="33"/>
        <v>2.1455096189249906E-3</v>
      </c>
      <c r="F114" s="36">
        <f t="shared" si="33"/>
        <v>4.7736966679692242E-3</v>
      </c>
      <c r="G114" s="36">
        <f>پنل!B27</f>
        <v>4.1751007013037687E-3</v>
      </c>
    </row>
    <row r="115" spans="1:7" ht="15" thickBot="1">
      <c r="A115" s="16"/>
      <c r="B115" s="19" t="s">
        <v>15</v>
      </c>
      <c r="C115" s="19"/>
      <c r="D115" s="37">
        <f t="shared" si="33"/>
        <v>2.1157475648178044E-3</v>
      </c>
      <c r="E115" s="37">
        <f t="shared" si="33"/>
        <v>2.4917484622383719E-3</v>
      </c>
      <c r="F115" s="37">
        <f t="shared" si="33"/>
        <v>1.8841759303037692E-3</v>
      </c>
      <c r="G115" s="37">
        <f>پنل!B28</f>
        <v>2.0225566696826622E-3</v>
      </c>
    </row>
    <row r="116" spans="1:7" ht="15" thickBot="1">
      <c r="A116" s="16"/>
      <c r="B116" s="17" t="s">
        <v>16</v>
      </c>
      <c r="C116" s="17"/>
      <c r="D116" s="36">
        <f t="shared" si="33"/>
        <v>0.1063886635368981</v>
      </c>
      <c r="E116" s="36">
        <f t="shared" si="33"/>
        <v>0.10209239038270983</v>
      </c>
      <c r="F116" s="36">
        <f t="shared" si="33"/>
        <v>0.10065444564625248</v>
      </c>
      <c r="G116" s="36">
        <f>پنل!B22</f>
        <v>0.10098195198559169</v>
      </c>
    </row>
    <row r="117" spans="1:7" ht="15" thickBot="1">
      <c r="A117" s="16"/>
      <c r="B117" s="19" t="s">
        <v>17</v>
      </c>
      <c r="C117" s="19"/>
      <c r="D117" s="37">
        <f t="shared" si="33"/>
        <v>1.2544265800307354E-3</v>
      </c>
      <c r="E117" s="37">
        <f t="shared" si="33"/>
        <v>1.0914209627489462E-3</v>
      </c>
      <c r="F117" s="37">
        <f t="shared" si="33"/>
        <v>1.5384582170206243E-3</v>
      </c>
      <c r="G117" s="37">
        <f>پنل!B29</f>
        <v>1.4366409976360529E-3</v>
      </c>
    </row>
    <row r="118" spans="1:7" ht="15" thickBot="1">
      <c r="A118" s="16"/>
      <c r="B118" s="17" t="s">
        <v>19</v>
      </c>
      <c r="C118" s="17"/>
      <c r="D118" s="38">
        <f t="shared" si="33"/>
        <v>1</v>
      </c>
      <c r="E118" s="38">
        <f t="shared" si="33"/>
        <v>1</v>
      </c>
      <c r="F118" s="38">
        <f t="shared" si="33"/>
        <v>1</v>
      </c>
      <c r="G118" s="38">
        <f t="shared" ref="G104:G118" si="34">G64</f>
        <v>1</v>
      </c>
    </row>
    <row r="119" spans="1:7" s="16" customFormat="1">
      <c r="A119"/>
      <c r="B119"/>
      <c r="C119"/>
      <c r="D119"/>
      <c r="E119"/>
      <c r="F119"/>
      <c r="G119"/>
    </row>
    <row r="120" spans="1:7" ht="19.5" thickBot="1">
      <c r="A120" s="22" t="s">
        <v>39</v>
      </c>
      <c r="B120" s="16"/>
      <c r="C120" s="16"/>
      <c r="D120" s="16"/>
      <c r="E120" s="16"/>
      <c r="F120" s="16"/>
      <c r="G120" s="16"/>
    </row>
    <row r="121" spans="1:7" ht="38.25" thickBot="1">
      <c r="A121" s="16"/>
      <c r="B121" s="14" t="s">
        <v>0</v>
      </c>
      <c r="C121" s="14" t="s">
        <v>1</v>
      </c>
      <c r="D121" s="15">
        <v>1397</v>
      </c>
      <c r="E121" s="15" t="s">
        <v>36</v>
      </c>
      <c r="F121" s="15" t="s">
        <v>88</v>
      </c>
      <c r="G121" s="15" t="s">
        <v>89</v>
      </c>
    </row>
    <row r="122" spans="1:7" ht="15" thickBot="1">
      <c r="A122" s="16"/>
      <c r="B122" s="17" t="s">
        <v>3</v>
      </c>
      <c r="C122" s="17" t="s">
        <v>40</v>
      </c>
      <c r="D122" s="28">
        <v>7223409</v>
      </c>
      <c r="E122" s="28">
        <v>2243496</v>
      </c>
      <c r="F122" s="28">
        <f>F86*F159/1000000</f>
        <v>7705854.0097904215</v>
      </c>
      <c r="G122" s="28">
        <f>F122+E122</f>
        <v>9949350.0097904205</v>
      </c>
    </row>
    <row r="123" spans="1:7" ht="15" thickBot="1">
      <c r="A123" s="16"/>
      <c r="B123" s="19" t="s">
        <v>5</v>
      </c>
      <c r="C123" s="19" t="s">
        <v>40</v>
      </c>
      <c r="D123" s="31">
        <v>2163</v>
      </c>
      <c r="E123" s="31">
        <v>1449</v>
      </c>
      <c r="F123" s="31">
        <f>F87*F160/1000000</f>
        <v>1474.8183007357254</v>
      </c>
      <c r="G123" s="31">
        <f t="shared" ref="G123:G135" si="35">F123+E123</f>
        <v>2923.8183007357256</v>
      </c>
    </row>
    <row r="124" spans="1:7" ht="15" thickBot="1">
      <c r="A124" s="16"/>
      <c r="B124" s="17" t="s">
        <v>6</v>
      </c>
      <c r="C124" s="17" t="s">
        <v>40</v>
      </c>
      <c r="D124" s="28">
        <v>106204100</v>
      </c>
      <c r="E124" s="28">
        <v>43495879</v>
      </c>
      <c r="F124" s="28">
        <f>F88*F161/1000000</f>
        <v>142051938.35455573</v>
      </c>
      <c r="G124" s="28">
        <f t="shared" si="35"/>
        <v>185547817.35455573</v>
      </c>
    </row>
    <row r="125" spans="1:7" ht="15" thickBot="1">
      <c r="A125" s="16"/>
      <c r="B125" s="19" t="s">
        <v>7</v>
      </c>
      <c r="C125" s="19" t="s">
        <v>40</v>
      </c>
      <c r="D125" s="31">
        <v>6294419</v>
      </c>
      <c r="E125" s="31">
        <v>2573849</v>
      </c>
      <c r="F125" s="31">
        <f>F89*F162/1000000</f>
        <v>7682945.2598483274</v>
      </c>
      <c r="G125" s="31">
        <f t="shared" si="35"/>
        <v>10256794.259848326</v>
      </c>
    </row>
    <row r="126" spans="1:7" ht="15" thickBot="1">
      <c r="A126" s="16"/>
      <c r="B126" s="17" t="s">
        <v>8</v>
      </c>
      <c r="C126" s="17" t="s">
        <v>40</v>
      </c>
      <c r="D126" s="28">
        <v>25675794</v>
      </c>
      <c r="E126" s="28">
        <v>6355434</v>
      </c>
      <c r="F126" s="28">
        <f>F90*F163/1000000</f>
        <v>33417461.522109229</v>
      </c>
      <c r="G126" s="28">
        <f t="shared" si="35"/>
        <v>39772895.522109225</v>
      </c>
    </row>
    <row r="127" spans="1:7" ht="15" thickBot="1">
      <c r="A127" s="16"/>
      <c r="B127" s="19" t="s">
        <v>9</v>
      </c>
      <c r="C127" s="19" t="s">
        <v>40</v>
      </c>
      <c r="D127" s="31">
        <f>15508431+156769575</f>
        <v>172278006</v>
      </c>
      <c r="E127" s="31">
        <f>9785770+50875601</f>
        <v>60661371</v>
      </c>
      <c r="F127" s="31">
        <f>F91*F164/1000000</f>
        <v>236190579.17902306</v>
      </c>
      <c r="G127" s="31">
        <f t="shared" si="35"/>
        <v>296851950.17902303</v>
      </c>
    </row>
    <row r="128" spans="1:7" ht="15" thickBot="1">
      <c r="A128" s="16"/>
      <c r="B128" s="17" t="s">
        <v>10</v>
      </c>
      <c r="C128" s="17" t="s">
        <v>40</v>
      </c>
      <c r="D128" s="28">
        <v>1658093</v>
      </c>
      <c r="E128" s="28">
        <v>679814</v>
      </c>
      <c r="F128" s="28">
        <f>F92*F165/1000000</f>
        <v>1943737.7050399561</v>
      </c>
      <c r="G128" s="28">
        <f t="shared" si="35"/>
        <v>2623551.7050399561</v>
      </c>
    </row>
    <row r="129" spans="1:8" ht="15" thickBot="1">
      <c r="A129" s="16"/>
      <c r="B129" s="19" t="s">
        <v>11</v>
      </c>
      <c r="C129" s="19" t="s">
        <v>40</v>
      </c>
      <c r="D129" s="31">
        <f>72832333+12062064</f>
        <v>84894397</v>
      </c>
      <c r="E129" s="31">
        <f>40307525+2773409</f>
        <v>43080934</v>
      </c>
      <c r="F129" s="31">
        <f>F93*F166/1000000</f>
        <v>106100236.48058306</v>
      </c>
      <c r="G129" s="31">
        <f t="shared" si="35"/>
        <v>149181170.48058307</v>
      </c>
    </row>
    <row r="130" spans="1:8" ht="15" thickBot="1">
      <c r="A130" s="16"/>
      <c r="B130" s="17" t="s">
        <v>12</v>
      </c>
      <c r="C130" s="17" t="s">
        <v>40</v>
      </c>
      <c r="D130" s="28">
        <v>7516740</v>
      </c>
      <c r="E130" s="28">
        <v>1944208</v>
      </c>
      <c r="F130" s="28">
        <f>F94*F167/1000000</f>
        <v>9983842.7201544531</v>
      </c>
      <c r="G130" s="28">
        <f t="shared" si="35"/>
        <v>11928050.720154453</v>
      </c>
    </row>
    <row r="131" spans="1:8" ht="15" thickBot="1">
      <c r="A131" s="16"/>
      <c r="B131" s="19" t="s">
        <v>13</v>
      </c>
      <c r="C131" s="19" t="s">
        <v>40</v>
      </c>
      <c r="D131" s="31">
        <v>1400308</v>
      </c>
      <c r="E131" s="31">
        <v>295945</v>
      </c>
      <c r="F131" s="31">
        <f>F95*F168/1000000</f>
        <v>1868139.3773622485</v>
      </c>
      <c r="G131" s="31">
        <f t="shared" si="35"/>
        <v>2164084.3773622485</v>
      </c>
    </row>
    <row r="132" spans="1:8" ht="15" thickBot="1">
      <c r="A132" s="16"/>
      <c r="B132" s="17" t="s">
        <v>14</v>
      </c>
      <c r="C132" s="17" t="s">
        <v>40</v>
      </c>
      <c r="D132" s="28">
        <v>1556587</v>
      </c>
      <c r="E132" s="28">
        <v>309749</v>
      </c>
      <c r="F132" s="28">
        <f>F96*F169/1000000</f>
        <v>2015386.1740342935</v>
      </c>
      <c r="G132" s="28">
        <f t="shared" si="35"/>
        <v>2325135.1740342937</v>
      </c>
    </row>
    <row r="133" spans="1:8" ht="15" thickBot="1">
      <c r="A133" s="16"/>
      <c r="B133" s="19" t="s">
        <v>15</v>
      </c>
      <c r="C133" s="19" t="s">
        <v>40</v>
      </c>
      <c r="D133" s="31">
        <v>726924</v>
      </c>
      <c r="E133" s="31">
        <v>326503</v>
      </c>
      <c r="F133" s="31">
        <f>F97*F170/1000000</f>
        <v>775751.22186819883</v>
      </c>
      <c r="G133" s="31">
        <f t="shared" si="35"/>
        <v>1102254.2218681988</v>
      </c>
    </row>
    <row r="134" spans="1:8" ht="15" thickBot="1">
      <c r="A134" s="16"/>
      <c r="B134" s="17" t="s">
        <v>16</v>
      </c>
      <c r="C134" s="17" t="s">
        <v>40</v>
      </c>
      <c r="D134" s="28">
        <v>37547319</v>
      </c>
      <c r="E134" s="28">
        <v>12469697</v>
      </c>
      <c r="F134" s="28">
        <f>F98*F171/1000000</f>
        <v>43158265.816711992</v>
      </c>
      <c r="G134" s="28">
        <f t="shared" si="35"/>
        <v>55627962.816711992</v>
      </c>
    </row>
    <row r="135" spans="1:8" ht="15" thickBot="1">
      <c r="A135" s="16"/>
      <c r="B135" s="19" t="s">
        <v>17</v>
      </c>
      <c r="C135" s="19" t="s">
        <v>40</v>
      </c>
      <c r="D135" s="31">
        <v>248255</v>
      </c>
      <c r="E135" s="31">
        <v>66055</v>
      </c>
      <c r="F135" s="31">
        <f>F99*F172/1000000</f>
        <v>224471.34747607971</v>
      </c>
      <c r="G135" s="31">
        <f t="shared" si="35"/>
        <v>290526.34747607971</v>
      </c>
    </row>
    <row r="136" spans="1:8" ht="15" thickBot="1">
      <c r="A136" s="16"/>
      <c r="B136" s="17" t="s">
        <v>19</v>
      </c>
      <c r="C136" s="17" t="s">
        <v>40</v>
      </c>
      <c r="D136" s="18">
        <f>SUM(D122:D135)</f>
        <v>453226514</v>
      </c>
      <c r="E136" s="18">
        <f>SUM(E122:E135)</f>
        <v>174504383</v>
      </c>
      <c r="F136" s="18">
        <f>SUM(F122:F135)</f>
        <v>593120083.98685777</v>
      </c>
      <c r="G136" s="18">
        <f>SUM(G122:G135)</f>
        <v>767624466.98685765</v>
      </c>
      <c r="H136" s="64"/>
    </row>
    <row r="137" spans="1:8" s="16" customFormat="1">
      <c r="A137"/>
      <c r="B137"/>
      <c r="C137"/>
      <c r="D137"/>
      <c r="E137"/>
      <c r="F137"/>
      <c r="G137"/>
    </row>
    <row r="138" spans="1:8" ht="19.5" thickBot="1">
      <c r="A138" s="22" t="s">
        <v>52</v>
      </c>
      <c r="B138" s="16"/>
      <c r="C138" s="16"/>
      <c r="D138" s="16"/>
      <c r="E138" s="16"/>
      <c r="F138" s="16"/>
      <c r="G138" s="16"/>
    </row>
    <row r="139" spans="1:8" ht="38.25" thickBot="1">
      <c r="A139" s="16"/>
      <c r="B139" s="14" t="s">
        <v>0</v>
      </c>
      <c r="C139" s="14" t="s">
        <v>1</v>
      </c>
      <c r="D139" s="15">
        <v>1397</v>
      </c>
      <c r="E139" s="15" t="s">
        <v>36</v>
      </c>
      <c r="F139" s="15" t="s">
        <v>88</v>
      </c>
      <c r="G139" s="15" t="s">
        <v>89</v>
      </c>
    </row>
    <row r="140" spans="1:8" ht="15" thickBot="1">
      <c r="A140" s="16"/>
      <c r="B140" s="17" t="s">
        <v>3</v>
      </c>
      <c r="C140" s="17"/>
      <c r="D140" s="36">
        <f>D122/D$136</f>
        <v>1.5937745866297662E-2</v>
      </c>
      <c r="E140" s="36">
        <f>E122/E$136</f>
        <v>1.2856387681677886E-2</v>
      </c>
      <c r="F140" s="36">
        <f t="shared" ref="F140" si="36">F122/F$136</f>
        <v>1.2992063863346037E-2</v>
      </c>
      <c r="G140" s="36">
        <f t="shared" ref="F140:G141" si="37">G122/G$136</f>
        <v>1.2961220541659418E-2</v>
      </c>
    </row>
    <row r="141" spans="1:8" ht="15" thickBot="1">
      <c r="A141" s="16"/>
      <c r="B141" s="19" t="s">
        <v>5</v>
      </c>
      <c r="C141" s="19"/>
      <c r="D141" s="37">
        <f t="shared" ref="D141:E154" si="38">D123/D$136</f>
        <v>4.7724480655604364E-6</v>
      </c>
      <c r="E141" s="37">
        <f t="shared" si="38"/>
        <v>8.303516364972907E-6</v>
      </c>
      <c r="F141" s="37">
        <f t="shared" si="37"/>
        <v>2.4865425072478308E-6</v>
      </c>
      <c r="G141" s="37">
        <f t="shared" si="37"/>
        <v>3.8089175455969199E-6</v>
      </c>
    </row>
    <row r="142" spans="1:8" ht="15" thickBot="1">
      <c r="A142" s="16"/>
      <c r="B142" s="17" t="s">
        <v>6</v>
      </c>
      <c r="C142" s="17"/>
      <c r="D142" s="36">
        <f t="shared" si="38"/>
        <v>0.23432896514081697</v>
      </c>
      <c r="E142" s="36">
        <f t="shared" si="38"/>
        <v>0.24925379094919353</v>
      </c>
      <c r="F142" s="36">
        <f t="shared" ref="F142:G142" si="39">F124/F$136</f>
        <v>0.23949945751239016</v>
      </c>
      <c r="G142" s="36">
        <f t="shared" si="39"/>
        <v>0.24171691410890431</v>
      </c>
    </row>
    <row r="143" spans="1:8" ht="15" thickBot="1">
      <c r="A143" s="16"/>
      <c r="B143" s="19" t="s">
        <v>7</v>
      </c>
      <c r="C143" s="19"/>
      <c r="D143" s="37">
        <f t="shared" si="38"/>
        <v>1.388802024058107E-2</v>
      </c>
      <c r="E143" s="37">
        <f t="shared" si="38"/>
        <v>1.4749480533105005E-2</v>
      </c>
      <c r="F143" s="37">
        <f t="shared" ref="F143:G143" si="40">F125/F$136</f>
        <v>1.2953439728772638E-2</v>
      </c>
      <c r="G143" s="37">
        <f t="shared" si="40"/>
        <v>1.3361734416972318E-2</v>
      </c>
    </row>
    <row r="144" spans="1:8" ht="15" thickBot="1">
      <c r="A144" s="16"/>
      <c r="B144" s="17" t="s">
        <v>8</v>
      </c>
      <c r="C144" s="17"/>
      <c r="D144" s="36">
        <f t="shared" si="38"/>
        <v>5.6651129638015836E-2</v>
      </c>
      <c r="E144" s="36">
        <f t="shared" si="38"/>
        <v>3.6419910438581934E-2</v>
      </c>
      <c r="F144" s="36">
        <f t="shared" ref="F144:G144" si="41">F126/F$136</f>
        <v>5.6341814118790967E-2</v>
      </c>
      <c r="G144" s="36">
        <f t="shared" si="41"/>
        <v>5.1812959634063058E-2</v>
      </c>
    </row>
    <row r="145" spans="1:7" ht="15" thickBot="1">
      <c r="A145" s="16"/>
      <c r="B145" s="19" t="s">
        <v>9</v>
      </c>
      <c r="C145" s="19"/>
      <c r="D145" s="37">
        <f t="shared" si="38"/>
        <v>0.38011457996916748</v>
      </c>
      <c r="E145" s="37">
        <f t="shared" si="38"/>
        <v>0.34762090187728983</v>
      </c>
      <c r="F145" s="37">
        <f t="shared" ref="F145:G145" si="42">F127/F$136</f>
        <v>0.39821713267807085</v>
      </c>
      <c r="G145" s="37">
        <f t="shared" si="42"/>
        <v>0.38671507090472323</v>
      </c>
    </row>
    <row r="146" spans="1:7" ht="15" thickBot="1">
      <c r="A146" s="16"/>
      <c r="B146" s="17" t="s">
        <v>10</v>
      </c>
      <c r="C146" s="17"/>
      <c r="D146" s="36">
        <f t="shared" si="38"/>
        <v>3.6584201249973648E-3</v>
      </c>
      <c r="E146" s="36">
        <f t="shared" si="38"/>
        <v>3.8956843851881934E-3</v>
      </c>
      <c r="F146" s="36">
        <f t="shared" ref="F146:G146" si="43">F128/F$136</f>
        <v>3.2771402579633859E-3</v>
      </c>
      <c r="G146" s="36">
        <f t="shared" si="43"/>
        <v>3.4177541465531132E-3</v>
      </c>
    </row>
    <row r="147" spans="1:7" ht="15" thickBot="1">
      <c r="A147" s="16"/>
      <c r="B147" s="19" t="s">
        <v>11</v>
      </c>
      <c r="C147" s="19"/>
      <c r="D147" s="37">
        <f t="shared" si="38"/>
        <v>0.18731118850650472</v>
      </c>
      <c r="E147" s="37">
        <f t="shared" si="38"/>
        <v>0.24687594236529864</v>
      </c>
      <c r="F147" s="37">
        <f t="shared" ref="F147:G147" si="44">F129/F$136</f>
        <v>0.1788849161326562</v>
      </c>
      <c r="G147" s="37">
        <f t="shared" si="44"/>
        <v>0.19434134384246662</v>
      </c>
    </row>
    <row r="148" spans="1:7" ht="15" thickBot="1">
      <c r="A148" s="16"/>
      <c r="B148" s="17" t="s">
        <v>12</v>
      </c>
      <c r="C148" s="17"/>
      <c r="D148" s="36">
        <f t="shared" si="38"/>
        <v>1.6584952044531094E-2</v>
      </c>
      <c r="E148" s="36">
        <f t="shared" si="38"/>
        <v>1.1141313281512247E-2</v>
      </c>
      <c r="F148" s="36">
        <f t="shared" ref="F148:G148" si="45">F130/F$136</f>
        <v>1.683275105615151E-2</v>
      </c>
      <c r="G148" s="36">
        <f t="shared" si="45"/>
        <v>1.5538914186744742E-2</v>
      </c>
    </row>
    <row r="149" spans="1:7" ht="15" thickBot="1">
      <c r="A149" s="16"/>
      <c r="B149" s="19" t="s">
        <v>13</v>
      </c>
      <c r="C149" s="19"/>
      <c r="D149" s="37">
        <f t="shared" si="38"/>
        <v>3.0896427211228863E-3</v>
      </c>
      <c r="E149" s="37">
        <f t="shared" si="38"/>
        <v>1.6959172882207779E-3</v>
      </c>
      <c r="F149" s="37">
        <f t="shared" ref="F149:G149" si="46">F131/F$136</f>
        <v>3.1496815363339513E-3</v>
      </c>
      <c r="G149" s="37">
        <f t="shared" si="46"/>
        <v>2.8191967171876235E-3</v>
      </c>
    </row>
    <row r="150" spans="1:7" ht="15" thickBot="1">
      <c r="A150" s="16"/>
      <c r="B150" s="17" t="s">
        <v>14</v>
      </c>
      <c r="C150" s="17"/>
      <c r="D150" s="36">
        <f t="shared" si="38"/>
        <v>3.4344570582646892E-3</v>
      </c>
      <c r="E150" s="36">
        <f t="shared" si="38"/>
        <v>1.7750213185189739E-3</v>
      </c>
      <c r="F150" s="36">
        <f t="shared" ref="F150:G150" si="47">F132/F$136</f>
        <v>3.3979395209266764E-3</v>
      </c>
      <c r="G150" s="36">
        <f t="shared" si="47"/>
        <v>3.0290008643954571E-3</v>
      </c>
    </row>
    <row r="151" spans="1:7" ht="15" thickBot="1">
      <c r="A151" s="16"/>
      <c r="B151" s="19" t="s">
        <v>15</v>
      </c>
      <c r="C151" s="19"/>
      <c r="D151" s="37">
        <f t="shared" si="38"/>
        <v>1.6038867487792208E-3</v>
      </c>
      <c r="E151" s="37">
        <f t="shared" si="38"/>
        <v>1.8710303683317799E-3</v>
      </c>
      <c r="F151" s="37">
        <f t="shared" ref="F151:G151" si="48">F133/F$136</f>
        <v>1.3079159563333684E-3</v>
      </c>
      <c r="G151" s="37">
        <f t="shared" si="48"/>
        <v>1.435928985164917E-3</v>
      </c>
    </row>
    <row r="152" spans="1:7" ht="15" thickBot="1">
      <c r="A152" s="16"/>
      <c r="B152" s="17" t="s">
        <v>16</v>
      </c>
      <c r="C152" s="17"/>
      <c r="D152" s="36">
        <f t="shared" si="38"/>
        <v>8.284448910241822E-2</v>
      </c>
      <c r="E152" s="36">
        <f t="shared" si="38"/>
        <v>7.1457786822466229E-2</v>
      </c>
      <c r="F152" s="36">
        <f t="shared" ref="F152:G152" si="49">F134/F$136</f>
        <v>7.2764802578609497E-2</v>
      </c>
      <c r="G152" s="36">
        <f t="shared" si="49"/>
        <v>7.2467678153964293E-2</v>
      </c>
    </row>
    <row r="153" spans="1:7" ht="15" thickBot="1">
      <c r="A153" s="16"/>
      <c r="B153" s="19" t="s">
        <v>17</v>
      </c>
      <c r="C153" s="19"/>
      <c r="D153" s="37">
        <f t="shared" si="38"/>
        <v>5.4775039043721962E-4</v>
      </c>
      <c r="E153" s="37">
        <f t="shared" si="38"/>
        <v>3.7852917425002441E-4</v>
      </c>
      <c r="F153" s="37">
        <f t="shared" ref="F153:G153" si="50">F135/F$136</f>
        <v>3.7845851714752167E-4</v>
      </c>
      <c r="G153" s="37">
        <f t="shared" si="50"/>
        <v>3.7847457965543683E-4</v>
      </c>
    </row>
    <row r="154" spans="1:7" ht="15" thickBot="1">
      <c r="A154" s="16"/>
      <c r="B154" s="17" t="s">
        <v>19</v>
      </c>
      <c r="C154" s="17"/>
      <c r="D154" s="38">
        <f t="shared" si="38"/>
        <v>1</v>
      </c>
      <c r="E154" s="38">
        <f t="shared" si="38"/>
        <v>1</v>
      </c>
      <c r="F154" s="38">
        <f t="shared" ref="F154:G154" si="51">F136/F$136</f>
        <v>1</v>
      </c>
      <c r="G154" s="38">
        <f t="shared" si="51"/>
        <v>1</v>
      </c>
    </row>
    <row r="157" spans="1:7" ht="19.5" thickBot="1">
      <c r="A157" s="22" t="s">
        <v>38</v>
      </c>
      <c r="B157" s="16"/>
      <c r="C157" s="16"/>
      <c r="D157" s="16"/>
      <c r="E157" s="16"/>
      <c r="F157" s="16"/>
      <c r="G157" s="16"/>
    </row>
    <row r="158" spans="1:7" ht="38.25" thickBot="1">
      <c r="A158" s="16"/>
      <c r="B158" s="14" t="s">
        <v>0</v>
      </c>
      <c r="C158" s="14" t="s">
        <v>1</v>
      </c>
      <c r="D158" s="15">
        <v>1397</v>
      </c>
      <c r="E158" s="15" t="s">
        <v>36</v>
      </c>
      <c r="F158" s="15" t="s">
        <v>88</v>
      </c>
      <c r="G158" s="15" t="s">
        <v>89</v>
      </c>
    </row>
    <row r="159" spans="1:7" ht="15" thickBot="1">
      <c r="A159" s="16"/>
      <c r="B159" s="17" t="s">
        <v>3</v>
      </c>
      <c r="C159" s="17" t="s">
        <v>47</v>
      </c>
      <c r="D159" s="28">
        <f>1000000*D122/D86</f>
        <v>2695846.004081137</v>
      </c>
      <c r="E159" s="28">
        <f>1000000*E122/E86</f>
        <v>4094678.0382509683</v>
      </c>
      <c r="F159" s="28">
        <f>F177*F$7</f>
        <v>3627068.4159333245</v>
      </c>
      <c r="G159" s="28">
        <f>1000000*G122/G86</f>
        <v>3722937.8257738459</v>
      </c>
    </row>
    <row r="160" spans="1:7" ht="15" thickBot="1">
      <c r="A160" s="16"/>
      <c r="B160" s="19" t="s">
        <v>5</v>
      </c>
      <c r="C160" s="19" t="s">
        <v>47</v>
      </c>
      <c r="D160" s="31">
        <f>1000000*D123/D87</f>
        <v>2371652.1451856801</v>
      </c>
      <c r="E160" s="31">
        <f>1000000*E123/E87</f>
        <v>3599572.1651369436</v>
      </c>
      <c r="F160" s="31">
        <f t="shared" ref="F160:F172" si="52">F178*F$7</f>
        <v>2894782.7267304361</v>
      </c>
      <c r="G160" s="31">
        <f t="shared" ref="G160" si="53">1000000*G123/G87</f>
        <v>3205862.2029926195</v>
      </c>
    </row>
    <row r="161" spans="1:7" ht="15" thickBot="1">
      <c r="A161" s="16"/>
      <c r="B161" s="17" t="s">
        <v>6</v>
      </c>
      <c r="C161" s="17" t="s">
        <v>47</v>
      </c>
      <c r="D161" s="28">
        <f>1000000*D124/D88</f>
        <v>4102383.9446785287</v>
      </c>
      <c r="E161" s="28">
        <f>1000000*E124/E88</f>
        <v>7129910.4234279506</v>
      </c>
      <c r="F161" s="28">
        <f t="shared" si="52"/>
        <v>7126153.846153846</v>
      </c>
      <c r="G161" s="28">
        <f t="shared" ref="G161" si="54">1000000*G124/G88</f>
        <v>7127034.1028794264</v>
      </c>
    </row>
    <row r="162" spans="1:7" ht="15" thickBot="1">
      <c r="A162" s="16"/>
      <c r="B162" s="19" t="s">
        <v>7</v>
      </c>
      <c r="C162" s="19" t="s">
        <v>47</v>
      </c>
      <c r="D162" s="31">
        <f>1000000*D125/D89</f>
        <v>5101146.7775799511</v>
      </c>
      <c r="E162" s="31">
        <f>1000000*E125/E89</f>
        <v>8343378.4648441561</v>
      </c>
      <c r="F162" s="31">
        <f t="shared" si="52"/>
        <v>8040091.055206676</v>
      </c>
      <c r="G162" s="31">
        <f t="shared" ref="G162" si="55">1000000*G125/G89</f>
        <v>8114106.8798434623</v>
      </c>
    </row>
    <row r="163" spans="1:7" ht="15" thickBot="1">
      <c r="A163" s="16"/>
      <c r="B163" s="17" t="s">
        <v>8</v>
      </c>
      <c r="C163" s="17" t="s">
        <v>47</v>
      </c>
      <c r="D163" s="28">
        <f>1000000*D126/D90</f>
        <v>5780090.7811713964</v>
      </c>
      <c r="E163" s="28">
        <f>1000000*E126/E90</f>
        <v>7867580.6549897129</v>
      </c>
      <c r="F163" s="28">
        <f t="shared" si="52"/>
        <v>7846153.846153846</v>
      </c>
      <c r="G163" s="28">
        <f t="shared" ref="G163" si="56">1000000*G126/G90</f>
        <v>7849569.8641817914</v>
      </c>
    </row>
    <row r="164" spans="1:7" ht="15" thickBot="1">
      <c r="A164" s="16"/>
      <c r="B164" s="19" t="s">
        <v>9</v>
      </c>
      <c r="C164" s="19" t="s">
        <v>47</v>
      </c>
      <c r="D164" s="31">
        <f>1000000*D127/D91</f>
        <v>4769607.139692164</v>
      </c>
      <c r="E164" s="31">
        <f>1000000*E127/E91</f>
        <v>7835583.2482924471</v>
      </c>
      <c r="F164" s="31">
        <f t="shared" si="52"/>
        <v>7952307.692307693</v>
      </c>
      <c r="G164" s="31">
        <f t="shared" ref="G164" si="57">1000000*G127/G91</f>
        <v>7928173.3240023898</v>
      </c>
    </row>
    <row r="165" spans="1:7" ht="15" thickBot="1">
      <c r="A165" s="16"/>
      <c r="B165" s="17" t="s">
        <v>10</v>
      </c>
      <c r="C165" s="17" t="s">
        <v>47</v>
      </c>
      <c r="D165" s="28">
        <f>1000000*D128/D92</f>
        <v>5271893.310516363</v>
      </c>
      <c r="E165" s="28">
        <f>1000000*E128/E92</f>
        <v>8471024.5436951332</v>
      </c>
      <c r="F165" s="28">
        <f t="shared" si="52"/>
        <v>8297211.3740520021</v>
      </c>
      <c r="G165" s="28">
        <f t="shared" ref="G165" si="58">1000000*G128/G92</f>
        <v>8341561.470673806</v>
      </c>
    </row>
    <row r="166" spans="1:7" ht="15" thickBot="1">
      <c r="A166" s="16"/>
      <c r="B166" s="19" t="s">
        <v>11</v>
      </c>
      <c r="C166" s="19" t="s">
        <v>47</v>
      </c>
      <c r="D166" s="31">
        <f>1000000*D129/D93</f>
        <v>3687802.4980260092</v>
      </c>
      <c r="E166" s="31">
        <f>1000000*E129/E93</f>
        <v>6103895.9174687015</v>
      </c>
      <c r="F166" s="31">
        <f t="shared" si="52"/>
        <v>5615199.1383376746</v>
      </c>
      <c r="G166" s="31">
        <f t="shared" ref="G166" si="59">1000000*G129/G93</f>
        <v>5748099.9923131177</v>
      </c>
    </row>
    <row r="167" spans="1:7" ht="15" thickBot="1">
      <c r="A167" s="16"/>
      <c r="B167" s="17" t="s">
        <v>12</v>
      </c>
      <c r="C167" s="17" t="s">
        <v>47</v>
      </c>
      <c r="D167" s="28">
        <f>1000000*D130/D94</f>
        <v>4048985.9653990869</v>
      </c>
      <c r="E167" s="28">
        <f>1000000*E130/E94</f>
        <v>6273047.3578739939</v>
      </c>
      <c r="F167" s="28">
        <f t="shared" si="52"/>
        <v>6455684.5149857458</v>
      </c>
      <c r="G167" s="28">
        <f t="shared" ref="G167" si="60">1000000*G130/G94</f>
        <v>6425193.6292161038</v>
      </c>
    </row>
    <row r="168" spans="1:7" ht="15" thickBot="1">
      <c r="A168" s="16"/>
      <c r="B168" s="19" t="s">
        <v>13</v>
      </c>
      <c r="C168" s="19" t="s">
        <v>47</v>
      </c>
      <c r="D168" s="31">
        <f>1000000*D131/D95</f>
        <v>4989381.866293747</v>
      </c>
      <c r="E168" s="31">
        <f>1000000*E131/E95</f>
        <v>6828955.117671161</v>
      </c>
      <c r="F168" s="31">
        <f t="shared" si="52"/>
        <v>7871788.782056977</v>
      </c>
      <c r="G168" s="31">
        <f t="shared" ref="G168" si="61">1000000*G131/G95</f>
        <v>7710763.1674894355</v>
      </c>
    </row>
    <row r="169" spans="1:7" ht="15" thickBot="1">
      <c r="A169" s="16"/>
      <c r="B169" s="17" t="s">
        <v>14</v>
      </c>
      <c r="C169" s="17" t="s">
        <v>47</v>
      </c>
      <c r="D169" s="28">
        <f>1000000*D132/D96</f>
        <v>3228586.1655710503</v>
      </c>
      <c r="E169" s="28">
        <f>1000000*E132/E96</f>
        <v>5600609.7633074084</v>
      </c>
      <c r="F169" s="28">
        <f t="shared" si="52"/>
        <v>4830416.306765832</v>
      </c>
      <c r="G169" s="28">
        <f t="shared" ref="G169" si="62">1000000*G132/G96</f>
        <v>4920561.1423558351</v>
      </c>
    </row>
    <row r="170" spans="1:7" ht="15" thickBot="1">
      <c r="A170" s="16"/>
      <c r="B170" s="19" t="s">
        <v>15</v>
      </c>
      <c r="C170" s="19" t="s">
        <v>47</v>
      </c>
      <c r="D170" s="31">
        <f>1000000*D133/D97</f>
        <v>3175569.9987496044</v>
      </c>
      <c r="E170" s="31">
        <f>1000000*E133/E97</f>
        <v>5083219.263048985</v>
      </c>
      <c r="F170" s="31">
        <f t="shared" si="52"/>
        <v>4710663.9450400136</v>
      </c>
      <c r="G170" s="31">
        <f t="shared" ref="G170" si="63">1000000*G133/G97</f>
        <v>4815201.3662497625</v>
      </c>
    </row>
    <row r="171" spans="1:7" ht="15" thickBot="1">
      <c r="A171" s="16"/>
      <c r="B171" s="17" t="s">
        <v>16</v>
      </c>
      <c r="C171" s="17" t="s">
        <v>47</v>
      </c>
      <c r="D171" s="28">
        <f>1000000*D134/D98</f>
        <v>3261971.1180623029</v>
      </c>
      <c r="E171" s="28">
        <f>1000000*E134/E98</f>
        <v>4738254.6161616622</v>
      </c>
      <c r="F171" s="28">
        <f t="shared" si="52"/>
        <v>4905825.8874017997</v>
      </c>
      <c r="G171" s="28">
        <f t="shared" ref="G171" si="64">1000000*G134/G98</f>
        <v>4867240.1600889238</v>
      </c>
    </row>
    <row r="172" spans="1:7" ht="15" thickBot="1">
      <c r="A172" s="16"/>
      <c r="B172" s="19" t="s">
        <v>17</v>
      </c>
      <c r="C172" s="19" t="s">
        <v>47</v>
      </c>
      <c r="D172" s="31">
        <f>1000000*D135/D99</f>
        <v>1829149.862680237</v>
      </c>
      <c r="E172" s="31">
        <f>1000000*E135/E99</f>
        <v>2347844.1879803832</v>
      </c>
      <c r="F172" s="31">
        <f t="shared" si="52"/>
        <v>1669384.2593068269</v>
      </c>
      <c r="G172" s="31">
        <f t="shared" ref="G172" si="65">1000000*G135/G99</f>
        <v>1786778.2193453868</v>
      </c>
    </row>
    <row r="173" spans="1:7" ht="15" thickBot="1">
      <c r="A173" s="16"/>
      <c r="B173" s="17" t="s">
        <v>50</v>
      </c>
      <c r="C173" s="17" t="s">
        <v>47</v>
      </c>
      <c r="D173" s="18">
        <f>1000000*D136/D100</f>
        <v>4189014.2785186144</v>
      </c>
      <c r="E173" s="18">
        <f>1000000*E136/E100</f>
        <v>6769587.4937700443</v>
      </c>
      <c r="F173" s="18">
        <f>1000000*F136/F100</f>
        <v>6786154.3993059918</v>
      </c>
      <c r="G173" s="18">
        <f>1000000*G136/G100</f>
        <v>6782381.1203692602</v>
      </c>
    </row>
    <row r="175" spans="1:7" ht="19.5" thickBot="1">
      <c r="A175" s="22" t="s">
        <v>38</v>
      </c>
      <c r="B175" s="16"/>
      <c r="C175" s="16"/>
      <c r="D175" s="16"/>
      <c r="E175" s="16"/>
      <c r="F175" s="16"/>
      <c r="G175" s="16"/>
    </row>
    <row r="176" spans="1:7" ht="38.25" thickBot="1">
      <c r="A176" s="16"/>
      <c r="B176" s="14" t="s">
        <v>0</v>
      </c>
      <c r="C176" s="14" t="s">
        <v>1</v>
      </c>
      <c r="D176" s="15">
        <v>1397</v>
      </c>
      <c r="E176" s="15" t="s">
        <v>36</v>
      </c>
      <c r="F176" s="15" t="s">
        <v>88</v>
      </c>
      <c r="G176" s="15" t="s">
        <v>89</v>
      </c>
    </row>
    <row r="177" spans="1:8" ht="15" thickBot="1">
      <c r="A177" s="16"/>
      <c r="B177" s="17" t="s">
        <v>3</v>
      </c>
      <c r="C177" s="17" t="s">
        <v>51</v>
      </c>
      <c r="D177" s="28">
        <f>D159/D$7</f>
        <v>43.978629408002362</v>
      </c>
      <c r="E177" s="41">
        <f>E159/E$7</f>
        <v>40.205392936755906</v>
      </c>
      <c r="F177" s="41">
        <f>F195+F$8</f>
        <v>30.225570132777705</v>
      </c>
      <c r="G177" s="41">
        <f>G159/G$7</f>
        <v>32.129581759480253</v>
      </c>
    </row>
    <row r="178" spans="1:8" ht="15" thickBot="1">
      <c r="A178" s="16"/>
      <c r="B178" s="19" t="s">
        <v>5</v>
      </c>
      <c r="C178" s="19" t="s">
        <v>51</v>
      </c>
      <c r="D178" s="31">
        <f t="shared" ref="D178:G191" si="66">D160/D$7</f>
        <v>38.689899430425946</v>
      </c>
      <c r="E178" s="40">
        <f t="shared" si="66"/>
        <v>35.343978684428571</v>
      </c>
      <c r="F178" s="40">
        <f t="shared" ref="F178:F190" si="67">F196+F$8</f>
        <v>24.1231893894203</v>
      </c>
      <c r="G178" s="40">
        <f t="shared" ref="G178:G190" si="68">G160/G$7</f>
        <v>27.66713186763165</v>
      </c>
    </row>
    <row r="179" spans="1:8" ht="15" thickBot="1">
      <c r="A179" s="16"/>
      <c r="B179" s="17" t="s">
        <v>6</v>
      </c>
      <c r="C179" s="17" t="s">
        <v>51</v>
      </c>
      <c r="D179" s="28">
        <f t="shared" si="66"/>
        <v>66.924157729792142</v>
      </c>
      <c r="E179" s="41">
        <f t="shared" si="66"/>
        <v>70.008153876791468</v>
      </c>
      <c r="F179" s="41">
        <f t="shared" si="67"/>
        <v>59.384615384615387</v>
      </c>
      <c r="G179" s="41">
        <f t="shared" si="68"/>
        <v>61.507507142822405</v>
      </c>
    </row>
    <row r="180" spans="1:8" ht="15" thickBot="1">
      <c r="A180" s="16"/>
      <c r="B180" s="19" t="s">
        <v>7</v>
      </c>
      <c r="C180" s="19" t="s">
        <v>51</v>
      </c>
      <c r="D180" s="31">
        <f t="shared" si="66"/>
        <v>83.217455057667351</v>
      </c>
      <c r="E180" s="40">
        <f t="shared" si="66"/>
        <v>81.92312227371427</v>
      </c>
      <c r="F180" s="40">
        <f t="shared" si="67"/>
        <v>67.000758793388968</v>
      </c>
      <c r="G180" s="40">
        <f t="shared" si="68"/>
        <v>70.026111797046283</v>
      </c>
    </row>
    <row r="181" spans="1:8" ht="15" thickBot="1">
      <c r="A181" s="16"/>
      <c r="B181" s="17" t="s">
        <v>8</v>
      </c>
      <c r="C181" s="17" t="s">
        <v>51</v>
      </c>
      <c r="D181" s="28">
        <f t="shared" si="66"/>
        <v>94.293394364857448</v>
      </c>
      <c r="E181" s="41">
        <f t="shared" si="66"/>
        <v>77.251292712282634</v>
      </c>
      <c r="F181" s="41">
        <f t="shared" si="67"/>
        <v>65.384615384615387</v>
      </c>
      <c r="G181" s="41">
        <f t="shared" si="68"/>
        <v>67.743112705772475</v>
      </c>
    </row>
    <row r="182" spans="1:8" ht="15" thickBot="1">
      <c r="A182" s="16"/>
      <c r="B182" s="19" t="s">
        <v>9</v>
      </c>
      <c r="C182" s="19" t="s">
        <v>51</v>
      </c>
      <c r="D182" s="31">
        <f t="shared" si="66"/>
        <v>77.808889862675798</v>
      </c>
      <c r="E182" s="40">
        <f t="shared" si="66"/>
        <v>76.937112135152262</v>
      </c>
      <c r="F182" s="40">
        <f t="shared" si="67"/>
        <v>66.269230769230774</v>
      </c>
      <c r="G182" s="40">
        <f t="shared" si="68"/>
        <v>68.42147382999002</v>
      </c>
    </row>
    <row r="183" spans="1:8" ht="15" thickBot="1">
      <c r="A183" s="16"/>
      <c r="B183" s="17" t="s">
        <v>10</v>
      </c>
      <c r="C183" s="17" t="s">
        <v>51</v>
      </c>
      <c r="D183" s="28">
        <f t="shared" si="66"/>
        <v>86.002925178491708</v>
      </c>
      <c r="E183" s="41">
        <f t="shared" si="66"/>
        <v>83.176471306067441</v>
      </c>
      <c r="F183" s="41">
        <f t="shared" si="67"/>
        <v>69.143428117100015</v>
      </c>
      <c r="G183" s="41">
        <f t="shared" si="68"/>
        <v>71.989083303596658</v>
      </c>
    </row>
    <row r="184" spans="1:8" ht="15" thickBot="1">
      <c r="A184" s="16"/>
      <c r="B184" s="19" t="s">
        <v>11</v>
      </c>
      <c r="C184" s="19" t="s">
        <v>51</v>
      </c>
      <c r="D184" s="31">
        <f t="shared" si="66"/>
        <v>60.160891662604762</v>
      </c>
      <c r="E184" s="40">
        <f t="shared" si="66"/>
        <v>59.933780266571439</v>
      </c>
      <c r="F184" s="40">
        <f t="shared" si="67"/>
        <v>46.793326152813954</v>
      </c>
      <c r="G184" s="40">
        <f t="shared" si="68"/>
        <v>49.607073044875229</v>
      </c>
    </row>
    <row r="185" spans="1:8" ht="15" thickBot="1">
      <c r="A185" s="16"/>
      <c r="B185" s="17" t="s">
        <v>12</v>
      </c>
      <c r="C185" s="17" t="s">
        <v>51</v>
      </c>
      <c r="D185" s="28">
        <f t="shared" si="66"/>
        <v>66.053050871940599</v>
      </c>
      <c r="E185" s="41">
        <f t="shared" si="66"/>
        <v>61.594667902615704</v>
      </c>
      <c r="F185" s="41">
        <f t="shared" si="67"/>
        <v>53.79737095821455</v>
      </c>
      <c r="G185" s="41">
        <f t="shared" si="68"/>
        <v>55.450505404956722</v>
      </c>
    </row>
    <row r="186" spans="1:8" ht="15" thickBot="1">
      <c r="A186" s="16"/>
      <c r="B186" s="19" t="s">
        <v>13</v>
      </c>
      <c r="C186" s="19" t="s">
        <v>51</v>
      </c>
      <c r="D186" s="31">
        <f t="shared" si="66"/>
        <v>81.394180431878937</v>
      </c>
      <c r="E186" s="40">
        <f t="shared" si="66"/>
        <v>67.05309215733044</v>
      </c>
      <c r="F186" s="40">
        <f t="shared" si="67"/>
        <v>65.598239850474812</v>
      </c>
      <c r="G186" s="40">
        <f t="shared" si="68"/>
        <v>66.545187486805546</v>
      </c>
    </row>
    <row r="187" spans="1:8" ht="15" thickBot="1">
      <c r="A187" s="16"/>
      <c r="B187" s="17" t="s">
        <v>14</v>
      </c>
      <c r="C187" s="17" t="s">
        <v>51</v>
      </c>
      <c r="D187" s="28">
        <f t="shared" si="66"/>
        <v>52.669475286237137</v>
      </c>
      <c r="E187" s="41">
        <f t="shared" si="66"/>
        <v>54.99204433552697</v>
      </c>
      <c r="F187" s="41">
        <f t="shared" si="67"/>
        <v>40.253469223048597</v>
      </c>
      <c r="G187" s="41">
        <f t="shared" si="68"/>
        <v>42.465273105381982</v>
      </c>
    </row>
    <row r="188" spans="1:8" ht="15" thickBot="1">
      <c r="A188" s="16"/>
      <c r="B188" s="19" t="s">
        <v>15</v>
      </c>
      <c r="C188" s="19" t="s">
        <v>51</v>
      </c>
      <c r="D188" s="31">
        <f t="shared" si="66"/>
        <v>51.804597118217337</v>
      </c>
      <c r="E188" s="40">
        <f t="shared" si="66"/>
        <v>49.91181869377661</v>
      </c>
      <c r="F188" s="40">
        <f t="shared" si="67"/>
        <v>39.255532875333444</v>
      </c>
      <c r="G188" s="40">
        <f t="shared" si="68"/>
        <v>41.556000455936925</v>
      </c>
    </row>
    <row r="189" spans="1:8" ht="15" thickBot="1">
      <c r="A189" s="16"/>
      <c r="B189" s="17" t="s">
        <v>16</v>
      </c>
      <c r="C189" s="17" t="s">
        <v>51</v>
      </c>
      <c r="D189" s="28">
        <f t="shared" si="66"/>
        <v>53.214100035274683</v>
      </c>
      <c r="E189" s="41">
        <f t="shared" si="66"/>
        <v>46.52463194848653</v>
      </c>
      <c r="F189" s="41">
        <f t="shared" si="67"/>
        <v>40.881882395014998</v>
      </c>
      <c r="G189" s="41">
        <f t="shared" si="68"/>
        <v>42.005104029395753</v>
      </c>
    </row>
    <row r="190" spans="1:8" ht="15" thickBot="1">
      <c r="A190" s="16"/>
      <c r="B190" s="19" t="s">
        <v>17</v>
      </c>
      <c r="C190" s="19" t="s">
        <v>51</v>
      </c>
      <c r="D190" s="31">
        <f t="shared" si="66"/>
        <v>29.839799387922103</v>
      </c>
      <c r="E190" s="40">
        <f t="shared" si="66"/>
        <v>23.053338321161611</v>
      </c>
      <c r="F190" s="40">
        <f t="shared" si="67"/>
        <v>13.911535494223557</v>
      </c>
      <c r="G190" s="40">
        <f t="shared" si="68"/>
        <v>15.420197588871444</v>
      </c>
    </row>
    <row r="191" spans="1:8" ht="15" thickBot="1">
      <c r="A191" s="16"/>
      <c r="B191" s="17" t="s">
        <v>50</v>
      </c>
      <c r="C191" s="17" t="s">
        <v>51</v>
      </c>
      <c r="D191" s="18">
        <f t="shared" si="66"/>
        <v>68.337399933418396</v>
      </c>
      <c r="E191" s="59">
        <f t="shared" si="66"/>
        <v>66.47016509337854</v>
      </c>
      <c r="F191" s="59">
        <f t="shared" si="66"/>
        <v>56.551286660883264</v>
      </c>
      <c r="G191" s="59">
        <f t="shared" si="66"/>
        <v>58.533093736413349</v>
      </c>
      <c r="H191" s="65"/>
    </row>
    <row r="193" spans="1:7" ht="19.5" thickBot="1">
      <c r="A193" s="22" t="s">
        <v>60</v>
      </c>
      <c r="B193" s="16"/>
      <c r="C193" s="16"/>
      <c r="D193" s="16"/>
      <c r="E193" s="16"/>
      <c r="F193" s="16"/>
      <c r="G193" s="16"/>
    </row>
    <row r="194" spans="1:7" ht="38.25" thickBot="1">
      <c r="A194" s="16"/>
      <c r="B194" s="14" t="s">
        <v>0</v>
      </c>
      <c r="C194" s="14" t="s">
        <v>1</v>
      </c>
      <c r="D194" s="15">
        <v>1397</v>
      </c>
      <c r="E194" s="15" t="s">
        <v>36</v>
      </c>
      <c r="F194" s="15" t="s">
        <v>88</v>
      </c>
      <c r="G194" s="15" t="s">
        <v>89</v>
      </c>
    </row>
    <row r="195" spans="1:7" ht="15" thickBot="1">
      <c r="A195" s="16"/>
      <c r="B195" s="17" t="s">
        <v>3</v>
      </c>
      <c r="C195" s="17" t="s">
        <v>51</v>
      </c>
      <c r="D195" s="28">
        <f>D177-'بهای تمام شده'!D$34</f>
        <v>-17.137839218259323</v>
      </c>
      <c r="E195" s="28">
        <f>E177-E$8</f>
        <v>-26.651451884104965</v>
      </c>
      <c r="F195" s="28">
        <f>پنل!E19</f>
        <v>-19.774429867222295</v>
      </c>
      <c r="G195" s="28">
        <f>G177-G$8</f>
        <v>-21.709733758090032</v>
      </c>
    </row>
    <row r="196" spans="1:7" ht="15" thickBot="1">
      <c r="A196" s="16"/>
      <c r="B196" s="19" t="s">
        <v>5</v>
      </c>
      <c r="C196" s="19" t="s">
        <v>51</v>
      </c>
      <c r="D196" s="31">
        <f>D178-'بهای تمام شده'!D$34</f>
        <v>-22.426569195835739</v>
      </c>
      <c r="E196" s="31">
        <f t="shared" ref="E196:G209" si="69">E178-E$8</f>
        <v>-31.512866136432301</v>
      </c>
      <c r="F196" s="31">
        <f>پنل!E24</f>
        <v>-25.8768106105797</v>
      </c>
      <c r="G196" s="31">
        <f t="shared" si="69"/>
        <v>-26.172183649938635</v>
      </c>
    </row>
    <row r="197" spans="1:7" ht="15" thickBot="1">
      <c r="A197" s="16"/>
      <c r="B197" s="17" t="s">
        <v>6</v>
      </c>
      <c r="C197" s="17" t="s">
        <v>51</v>
      </c>
      <c r="D197" s="28">
        <f>D179-'بهای تمام شده'!D$34</f>
        <v>5.807689103530457</v>
      </c>
      <c r="E197" s="28">
        <f t="shared" si="69"/>
        <v>3.1513090559305965</v>
      </c>
      <c r="F197" s="28">
        <f>پنل!E16</f>
        <v>9.384615384615385</v>
      </c>
      <c r="G197" s="28">
        <f t="shared" si="69"/>
        <v>7.6681916252521205</v>
      </c>
    </row>
    <row r="198" spans="1:7" ht="15" thickBot="1">
      <c r="A198" s="16"/>
      <c r="B198" s="19" t="s">
        <v>7</v>
      </c>
      <c r="C198" s="19" t="s">
        <v>51</v>
      </c>
      <c r="D198" s="31">
        <f>D180-'بهای تمام شده'!D$34</f>
        <v>22.100986431405666</v>
      </c>
      <c r="E198" s="31">
        <f t="shared" si="69"/>
        <v>15.066277452853399</v>
      </c>
      <c r="F198" s="31">
        <f>پنل!E20</f>
        <v>17.000758793388972</v>
      </c>
      <c r="G198" s="31">
        <f t="shared" si="69"/>
        <v>16.186796279475999</v>
      </c>
    </row>
    <row r="199" spans="1:7" ht="15" thickBot="1">
      <c r="A199" s="16"/>
      <c r="B199" s="17" t="s">
        <v>8</v>
      </c>
      <c r="C199" s="17" t="s">
        <v>51</v>
      </c>
      <c r="D199" s="28">
        <f>D181-'بهای تمام شده'!D$34</f>
        <v>33.176925738595763</v>
      </c>
      <c r="E199" s="28">
        <f t="shared" si="69"/>
        <v>10.394447891421763</v>
      </c>
      <c r="F199" s="28">
        <f>پنل!E18</f>
        <v>15.384615384615385</v>
      </c>
      <c r="G199" s="28">
        <f t="shared" si="69"/>
        <v>13.903797188202191</v>
      </c>
    </row>
    <row r="200" spans="1:7" ht="15" thickBot="1">
      <c r="A200" s="16"/>
      <c r="B200" s="19" t="s">
        <v>9</v>
      </c>
      <c r="C200" s="19" t="s">
        <v>51</v>
      </c>
      <c r="D200" s="31">
        <f>D182-'بهای تمام شده'!D$34</f>
        <v>16.692421236414113</v>
      </c>
      <c r="E200" s="31">
        <f t="shared" si="69"/>
        <v>10.08026731429139</v>
      </c>
      <c r="F200" s="31">
        <f>پنل!E15</f>
        <v>16.269230769230766</v>
      </c>
      <c r="G200" s="31">
        <f t="shared" si="69"/>
        <v>14.582158312419736</v>
      </c>
    </row>
    <row r="201" spans="1:7" ht="15" thickBot="1">
      <c r="A201" s="16"/>
      <c r="B201" s="17" t="s">
        <v>10</v>
      </c>
      <c r="C201" s="17" t="s">
        <v>51</v>
      </c>
      <c r="D201" s="28">
        <f>D183-'بهای تمام شده'!D$34</f>
        <v>24.886456552230023</v>
      </c>
      <c r="E201" s="28">
        <f t="shared" si="69"/>
        <v>16.31962648520657</v>
      </c>
      <c r="F201" s="28">
        <f>پنل!E25</f>
        <v>19.143428117100015</v>
      </c>
      <c r="G201" s="28">
        <f t="shared" si="69"/>
        <v>18.149767786026374</v>
      </c>
    </row>
    <row r="202" spans="1:7" ht="15" thickBot="1">
      <c r="A202" s="16"/>
      <c r="B202" s="19" t="s">
        <v>11</v>
      </c>
      <c r="C202" s="19" t="s">
        <v>51</v>
      </c>
      <c r="D202" s="31">
        <f>D184-'بهای تمام شده'!D$34</f>
        <v>-0.95557696365692379</v>
      </c>
      <c r="E202" s="31">
        <f t="shared" si="69"/>
        <v>-6.9230645542894322</v>
      </c>
      <c r="F202" s="31">
        <f>پنل!E17</f>
        <v>-3.2066738471860443</v>
      </c>
      <c r="G202" s="31">
        <f t="shared" si="69"/>
        <v>-4.2322424726950558</v>
      </c>
    </row>
    <row r="203" spans="1:7" ht="15" thickBot="1">
      <c r="A203" s="16"/>
      <c r="B203" s="17" t="s">
        <v>12</v>
      </c>
      <c r="C203" s="17" t="s">
        <v>51</v>
      </c>
      <c r="D203" s="28">
        <f>D185-'بهای تمام شده'!D$34</f>
        <v>4.9365822456789132</v>
      </c>
      <c r="E203" s="28">
        <f t="shared" si="69"/>
        <v>-5.2621769182451672</v>
      </c>
      <c r="F203" s="28">
        <f>پنل!E23</f>
        <v>3.7973709582145485</v>
      </c>
      <c r="G203" s="28">
        <f t="shared" si="69"/>
        <v>1.6111898873864376</v>
      </c>
    </row>
    <row r="204" spans="1:7" ht="15" thickBot="1">
      <c r="A204" s="16"/>
      <c r="B204" s="19" t="s">
        <v>13</v>
      </c>
      <c r="C204" s="19" t="s">
        <v>51</v>
      </c>
      <c r="D204" s="31">
        <f>D186-'بهای تمام شده'!D$34</f>
        <v>20.277711805617251</v>
      </c>
      <c r="E204" s="31">
        <f t="shared" si="69"/>
        <v>0.19624733646956827</v>
      </c>
      <c r="F204" s="31">
        <f>پنل!E26</f>
        <v>15.59823985047481</v>
      </c>
      <c r="G204" s="31">
        <f t="shared" si="69"/>
        <v>12.705871969235261</v>
      </c>
    </row>
    <row r="205" spans="1:7" ht="15" thickBot="1">
      <c r="A205" s="16"/>
      <c r="B205" s="17" t="s">
        <v>14</v>
      </c>
      <c r="C205" s="17" t="s">
        <v>51</v>
      </c>
      <c r="D205" s="28">
        <f>D187-'بهای تمام شده'!D$34</f>
        <v>-8.446993340024548</v>
      </c>
      <c r="E205" s="28">
        <f t="shared" si="69"/>
        <v>-11.864800485333902</v>
      </c>
      <c r="F205" s="28">
        <f>پنل!E27</f>
        <v>-9.7465307769514009</v>
      </c>
      <c r="G205" s="28">
        <f t="shared" si="69"/>
        <v>-11.374042412188302</v>
      </c>
    </row>
    <row r="206" spans="1:7" ht="15" thickBot="1">
      <c r="A206" s="16"/>
      <c r="B206" s="19" t="s">
        <v>15</v>
      </c>
      <c r="C206" s="19" t="s">
        <v>51</v>
      </c>
      <c r="D206" s="31">
        <f>D188-'بهای تمام شده'!D$34</f>
        <v>-9.3118715080443479</v>
      </c>
      <c r="E206" s="31">
        <f t="shared" si="69"/>
        <v>-16.945026127084262</v>
      </c>
      <c r="F206" s="31">
        <f>پنل!E28</f>
        <v>-10.744467124666556</v>
      </c>
      <c r="G206" s="31">
        <f t="shared" si="69"/>
        <v>-12.28331506163336</v>
      </c>
    </row>
    <row r="207" spans="1:7" ht="15" thickBot="1">
      <c r="A207" s="16"/>
      <c r="B207" s="17" t="s">
        <v>16</v>
      </c>
      <c r="C207" s="17" t="s">
        <v>51</v>
      </c>
      <c r="D207" s="28">
        <f>D189-'بهای تمام شده'!D$34</f>
        <v>-7.9023685909870025</v>
      </c>
      <c r="E207" s="28">
        <f t="shared" si="69"/>
        <v>-20.332212872374342</v>
      </c>
      <c r="F207" s="28">
        <f>پنل!E22</f>
        <v>-9.1181176049850023</v>
      </c>
      <c r="G207" s="28">
        <f t="shared" si="69"/>
        <v>-11.834211488174532</v>
      </c>
    </row>
    <row r="208" spans="1:7" ht="15" thickBot="1">
      <c r="A208" s="16"/>
      <c r="B208" s="19" t="s">
        <v>17</v>
      </c>
      <c r="C208" s="19" t="s">
        <v>51</v>
      </c>
      <c r="D208" s="31">
        <f>D190-'بهای تمام شده'!D$34</f>
        <v>-31.276669238339583</v>
      </c>
      <c r="E208" s="31">
        <f t="shared" si="69"/>
        <v>-43.80350649969926</v>
      </c>
      <c r="F208" s="31">
        <f>پنل!E29</f>
        <v>-36.088464505776443</v>
      </c>
      <c r="G208" s="31">
        <f t="shared" si="69"/>
        <v>-38.419117928698839</v>
      </c>
    </row>
    <row r="209" spans="1:7" ht="15" thickBot="1">
      <c r="A209" s="16"/>
      <c r="B209" s="17" t="s">
        <v>91</v>
      </c>
      <c r="C209" s="17" t="s">
        <v>51</v>
      </c>
      <c r="D209" s="60">
        <f>D191-'بهای تمام شده'!D$34</f>
        <v>7.2209313071567109</v>
      </c>
      <c r="E209" s="60">
        <f t="shared" si="69"/>
        <v>-0.38667972748233126</v>
      </c>
      <c r="F209" s="60">
        <f t="shared" si="69"/>
        <v>6.5512866608832638</v>
      </c>
      <c r="G209" s="60">
        <f t="shared" si="69"/>
        <v>4.6937782188430646</v>
      </c>
    </row>
    <row r="211" spans="1:7" ht="19.5" thickBot="1">
      <c r="A211" s="22" t="s">
        <v>61</v>
      </c>
      <c r="B211" s="16"/>
      <c r="C211" s="16"/>
      <c r="D211" s="16"/>
      <c r="E211" s="16"/>
      <c r="F211" s="16"/>
      <c r="G211" s="16"/>
    </row>
    <row r="212" spans="1:7" ht="38.25" thickBot="1">
      <c r="A212" s="16"/>
      <c r="B212" s="14" t="s">
        <v>0</v>
      </c>
      <c r="C212" s="14" t="s">
        <v>1</v>
      </c>
      <c r="D212" s="15">
        <v>1397</v>
      </c>
      <c r="E212" s="15" t="s">
        <v>36</v>
      </c>
      <c r="F212" s="15" t="s">
        <v>88</v>
      </c>
      <c r="G212" s="15" t="s">
        <v>89</v>
      </c>
    </row>
    <row r="213" spans="1:7" ht="15" thickBot="1">
      <c r="A213" s="16"/>
      <c r="B213" s="17" t="s">
        <v>3</v>
      </c>
      <c r="C213" s="17" t="s">
        <v>51</v>
      </c>
      <c r="D213" s="41">
        <f>D195*D104</f>
        <v>-0.42442379288639731</v>
      </c>
      <c r="E213" s="41">
        <f>E195*E104</f>
        <v>-0.56647699747345281</v>
      </c>
      <c r="F213" s="41">
        <f>F195*F104</f>
        <v>-0.48067341898561733</v>
      </c>
      <c r="G213" s="41">
        <f>G195*G104</f>
        <v>-0.51262148540521368</v>
      </c>
    </row>
    <row r="214" spans="1:7" ht="15" thickBot="1">
      <c r="A214" s="16"/>
      <c r="B214" s="19" t="s">
        <v>5</v>
      </c>
      <c r="C214" s="19" t="s">
        <v>51</v>
      </c>
      <c r="D214" s="41">
        <f>D196*D105</f>
        <v>-1.8904487219540534E-4</v>
      </c>
      <c r="E214" s="41">
        <f>E196*E105</f>
        <v>-4.9210895878529638E-4</v>
      </c>
      <c r="F214" s="41">
        <f>F196*F105</f>
        <v>-1.508392620939638E-4</v>
      </c>
      <c r="G214" s="41">
        <f>G196*G105</f>
        <v>-2.1090111191940215E-4</v>
      </c>
    </row>
    <row r="215" spans="1:7" ht="15" thickBot="1">
      <c r="A215" s="16"/>
      <c r="B215" s="17" t="s">
        <v>6</v>
      </c>
      <c r="C215" s="17" t="s">
        <v>51</v>
      </c>
      <c r="D215" s="41">
        <f>D197*D106</f>
        <v>1.3896482061547937</v>
      </c>
      <c r="E215" s="41">
        <f>E197*E106</f>
        <v>0.74578029084502762</v>
      </c>
      <c r="F215" s="41">
        <f>F197*F106</f>
        <v>2.140373448423476</v>
      </c>
      <c r="G215" s="41">
        <f>G197*G106</f>
        <v>1.763897528756095</v>
      </c>
    </row>
    <row r="216" spans="1:7" ht="15" thickBot="1">
      <c r="A216" s="16"/>
      <c r="B216" s="19" t="s">
        <v>7</v>
      </c>
      <c r="C216" s="19" t="s">
        <v>51</v>
      </c>
      <c r="D216" s="41">
        <f>D198*D107</f>
        <v>0.25205540778254321</v>
      </c>
      <c r="E216" s="41">
        <f>E198*E107</f>
        <v>0.18030299777266376</v>
      </c>
      <c r="F216" s="41">
        <f>F198*F107</f>
        <v>0.18587294655880759</v>
      </c>
      <c r="G216" s="41">
        <f>G198*G107</f>
        <v>0.18078616929370461</v>
      </c>
    </row>
    <row r="217" spans="1:7" ht="15" thickBot="1">
      <c r="A217" s="16"/>
      <c r="B217" s="17" t="s">
        <v>8</v>
      </c>
      <c r="C217" s="17" t="s">
        <v>51</v>
      </c>
      <c r="D217" s="41">
        <f>D199*D108</f>
        <v>1.3621404696571331</v>
      </c>
      <c r="E217" s="41">
        <f>E199*E108</f>
        <v>0.3257326569342312</v>
      </c>
      <c r="F217" s="41">
        <f>F199*F108</f>
        <v>0.74969460734728199</v>
      </c>
      <c r="G217" s="41">
        <f>G199*G108</f>
        <v>0.62245528091287183</v>
      </c>
    </row>
    <row r="218" spans="1:7" ht="15" thickBot="1">
      <c r="A218" s="16"/>
      <c r="B218" s="19" t="s">
        <v>9</v>
      </c>
      <c r="C218" s="19" t="s">
        <v>51</v>
      </c>
      <c r="D218" s="41">
        <f>D200*D109</f>
        <v>5.572667044650518</v>
      </c>
      <c r="E218" s="41">
        <f>E200*E109</f>
        <v>3.0273930368316115</v>
      </c>
      <c r="F218" s="41">
        <f>F200*F109</f>
        <v>5.5286299404980461</v>
      </c>
      <c r="G218" s="41">
        <f>G200*G109</f>
        <v>4.824162858738763</v>
      </c>
    </row>
    <row r="219" spans="1:7" ht="15" thickBot="1">
      <c r="A219" s="16"/>
      <c r="B219" s="17" t="s">
        <v>10</v>
      </c>
      <c r="C219" s="17" t="s">
        <v>51</v>
      </c>
      <c r="D219" s="41">
        <f>D201*D110</f>
        <v>7.2343892020817369E-2</v>
      </c>
      <c r="E219" s="41">
        <f>E201*E110</f>
        <v>5.0806613119146089E-2</v>
      </c>
      <c r="F219" s="41">
        <f>F201*F110</f>
        <v>5.1310509071591785E-2</v>
      </c>
      <c r="G219" s="41">
        <f>G201*G110</f>
        <v>5.0436707429150789E-2</v>
      </c>
    </row>
    <row r="220" spans="1:7" ht="15" thickBot="1">
      <c r="A220" s="16"/>
      <c r="B220" s="19" t="s">
        <v>11</v>
      </c>
      <c r="C220" s="19" t="s">
        <v>51</v>
      </c>
      <c r="D220" s="41">
        <f>D202*D111</f>
        <v>-0.20331694599562522</v>
      </c>
      <c r="E220" s="41">
        <f>E202*E111</f>
        <v>-1.8955368780609549</v>
      </c>
      <c r="F220" s="41">
        <f>F202*F111</f>
        <v>-0.69324554168527741</v>
      </c>
      <c r="G220" s="41">
        <f>G202*G111</f>
        <v>-0.97049570706588562</v>
      </c>
    </row>
    <row r="221" spans="1:7" ht="15" thickBot="1">
      <c r="A221" s="16"/>
      <c r="B221" s="17" t="s">
        <v>12</v>
      </c>
      <c r="C221" s="17" t="s">
        <v>51</v>
      </c>
      <c r="D221" s="41">
        <f>D203*D112</f>
        <v>8.4704438191041218E-2</v>
      </c>
      <c r="E221" s="41">
        <f>E203*E112</f>
        <v>-6.3268198864202541E-2</v>
      </c>
      <c r="F221" s="41">
        <f>F203*F112</f>
        <v>6.7192308651140939E-2</v>
      </c>
      <c r="G221" s="41">
        <f>G203*G112</f>
        <v>2.6427943272708421E-2</v>
      </c>
    </row>
    <row r="222" spans="1:7" ht="15" thickBot="1">
      <c r="A222" s="16"/>
      <c r="B222" s="19" t="s">
        <v>13</v>
      </c>
      <c r="C222" s="19" t="s">
        <v>51</v>
      </c>
      <c r="D222" s="41">
        <f>D204*D113</f>
        <v>5.2600794552240523E-2</v>
      </c>
      <c r="E222" s="41">
        <f>E204*E113</f>
        <v>3.2992588153051851E-4</v>
      </c>
      <c r="F222" s="41">
        <f>F204*F113</f>
        <v>4.2353815726001082E-2</v>
      </c>
      <c r="G222" s="41">
        <f>G204*G113</f>
        <v>3.1507553473863428E-2</v>
      </c>
    </row>
    <row r="223" spans="1:7" ht="15" thickBot="1">
      <c r="A223" s="16"/>
      <c r="B223" s="17" t="s">
        <v>14</v>
      </c>
      <c r="C223" s="17" t="s">
        <v>51</v>
      </c>
      <c r="D223" s="41">
        <f>D205*D114</f>
        <v>-3.7640874232635235E-2</v>
      </c>
      <c r="E223" s="41">
        <f>E205*E114</f>
        <v>-2.5456043567909783E-2</v>
      </c>
      <c r="F223" s="41">
        <f>F205*F114</f>
        <v>-4.6526981494192397E-2</v>
      </c>
      <c r="G223" s="41">
        <f>G205*G114</f>
        <v>-4.7487772451786189E-2</v>
      </c>
    </row>
    <row r="224" spans="1:7" ht="15" thickBot="1">
      <c r="A224" s="16"/>
      <c r="B224" s="19" t="s">
        <v>15</v>
      </c>
      <c r="C224" s="19" t="s">
        <v>51</v>
      </c>
      <c r="D224" s="41">
        <f>D206*D115</f>
        <v>-1.9701569467041123E-2</v>
      </c>
      <c r="E224" s="41">
        <f>E206*E115</f>
        <v>-4.2222742794751245E-2</v>
      </c>
      <c r="F224" s="41">
        <f>F206*F115</f>
        <v>-2.0244466340236873E-2</v>
      </c>
      <c r="G224" s="41">
        <f>G206*G115</f>
        <v>-2.4843700803720052E-2</v>
      </c>
    </row>
    <row r="225" spans="1:7" ht="15" thickBot="1">
      <c r="A225" s="16"/>
      <c r="B225" s="17" t="s">
        <v>16</v>
      </c>
      <c r="C225" s="17" t="s">
        <v>51</v>
      </c>
      <c r="D225" s="41">
        <f>D207*D116</f>
        <v>-0.84072243317106776</v>
      </c>
      <c r="E225" s="41">
        <f>E207*E116</f>
        <v>-2.0757642139107992</v>
      </c>
      <c r="F225" s="41">
        <f>F207*F116</f>
        <v>-0.9177790728671007</v>
      </c>
      <c r="G225" s="41">
        <f>G207*G116</f>
        <v>-1.1950417762861782</v>
      </c>
    </row>
    <row r="226" spans="1:7" ht="15" thickBot="1">
      <c r="A226" s="16"/>
      <c r="B226" s="19" t="s">
        <v>17</v>
      </c>
      <c r="C226" s="19" t="s">
        <v>51</v>
      </c>
      <c r="D226" s="41">
        <f>D208*D117</f>
        <v>-3.9234285227402826E-2</v>
      </c>
      <c r="E226" s="41">
        <f>E208*E117</f>
        <v>-4.7808065235681485E-2</v>
      </c>
      <c r="F226" s="41">
        <f>F208*F117</f>
        <v>-5.5520594758568909E-2</v>
      </c>
      <c r="G226" s="41">
        <f>G208*G117</f>
        <v>-5.5194479909383067E-2</v>
      </c>
    </row>
    <row r="227" spans="1:7" ht="15" thickBot="1">
      <c r="A227" s="16"/>
      <c r="B227" s="17" t="s">
        <v>50</v>
      </c>
      <c r="C227" s="17" t="s">
        <v>51</v>
      </c>
      <c r="D227" s="60">
        <f>SUM(D213:D226)</f>
        <v>7.2209313071567225</v>
      </c>
      <c r="E227" s="60">
        <f>SUM(E213:E226)</f>
        <v>-0.38667972748232671</v>
      </c>
      <c r="F227" s="60">
        <f>SUM(F213:F226)</f>
        <v>6.5512866608832567</v>
      </c>
      <c r="G227" s="60">
        <f>SUM(G213:G226)</f>
        <v>4.6937782188430726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3"/>
  <sheetViews>
    <sheetView rightToLeft="1" topLeftCell="A28" workbookViewId="0">
      <selection activeCell="K13" sqref="K13"/>
    </sheetView>
  </sheetViews>
  <sheetFormatPr defaultRowHeight="14.25"/>
  <cols>
    <col min="1" max="1" width="10.75" style="23" customWidth="1"/>
    <col min="2" max="2" width="16.625" style="23" customWidth="1"/>
    <col min="3" max="3" width="7.625" style="23" bestFit="1" customWidth="1"/>
    <col min="4" max="4" width="11.625" style="23" customWidth="1"/>
    <col min="5" max="7" width="10.25" style="23" bestFit="1" customWidth="1"/>
    <col min="8" max="8" width="9.875" style="23" bestFit="1" customWidth="1"/>
    <col min="9" max="9" width="11.5" style="23" bestFit="1" customWidth="1"/>
    <col min="10" max="10" width="11.125" style="23" bestFit="1" customWidth="1"/>
    <col min="11" max="11" width="9.75" style="23" bestFit="1" customWidth="1"/>
    <col min="12" max="12" width="9.875" style="23" bestFit="1" customWidth="1"/>
    <col min="13" max="14" width="9.75" style="23" bestFit="1" customWidth="1"/>
    <col min="15" max="15" width="15.25" style="23" bestFit="1" customWidth="1"/>
    <col min="16" max="16" width="11.125" style="23" bestFit="1" customWidth="1"/>
    <col min="17" max="17" width="8.875" style="23" bestFit="1" customWidth="1"/>
    <col min="18" max="16384" width="9" style="23"/>
  </cols>
  <sheetData>
    <row r="1" spans="1:7" ht="15" thickBot="1"/>
    <row r="2" spans="1:7" ht="15" thickBot="1">
      <c r="B2" s="17" t="s">
        <v>44</v>
      </c>
      <c r="C2" s="17"/>
      <c r="D2" s="18">
        <v>61299</v>
      </c>
      <c r="E2" s="1">
        <v>101844</v>
      </c>
      <c r="F2" s="1">
        <f>پنل!C5</f>
        <v>120000</v>
      </c>
      <c r="G2" s="1">
        <f>تولیدوفروش!G7</f>
        <v>115872.58911875951</v>
      </c>
    </row>
    <row r="3" spans="1:7" ht="18.75">
      <c r="A3" s="22"/>
    </row>
    <row r="4" spans="1:7" ht="18.75">
      <c r="A4" s="22"/>
    </row>
    <row r="5" spans="1:7" ht="19.5" thickBot="1">
      <c r="A5" s="22" t="s">
        <v>53</v>
      </c>
    </row>
    <row r="6" spans="1:7" ht="38.25" thickBot="1">
      <c r="B6" s="24" t="s">
        <v>20</v>
      </c>
      <c r="C6" s="25" t="s">
        <v>1</v>
      </c>
      <c r="D6" s="39">
        <v>1397</v>
      </c>
      <c r="E6" s="39" t="s">
        <v>36</v>
      </c>
      <c r="F6" s="15" t="s">
        <v>88</v>
      </c>
      <c r="G6" s="15" t="s">
        <v>89</v>
      </c>
    </row>
    <row r="7" spans="1:7" ht="15" thickBot="1">
      <c r="B7" s="29" t="s">
        <v>41</v>
      </c>
      <c r="C7" s="30" t="s">
        <v>42</v>
      </c>
      <c r="D7" s="31">
        <v>109015479</v>
      </c>
      <c r="E7" s="31">
        <v>28757807</v>
      </c>
      <c r="F7" s="31">
        <f>G7-E7</f>
        <v>80257672</v>
      </c>
      <c r="G7" s="31">
        <f>پنل!C3</f>
        <v>109015479</v>
      </c>
    </row>
    <row r="8" spans="1:7" ht="15" thickBot="1">
      <c r="B8" s="26" t="s">
        <v>43</v>
      </c>
      <c r="C8" s="27" t="s">
        <v>42</v>
      </c>
      <c r="D8" s="28">
        <v>5885721</v>
      </c>
      <c r="E8" s="28">
        <v>933929</v>
      </c>
      <c r="F8" s="28">
        <f>G8-E8</f>
        <v>4951792</v>
      </c>
      <c r="G8" s="28">
        <f>G7*G14/G13</f>
        <v>5885721</v>
      </c>
    </row>
    <row r="9" spans="1:7" ht="15" thickBot="1">
      <c r="B9" s="32" t="s">
        <v>18</v>
      </c>
      <c r="C9" s="30" t="s">
        <v>42</v>
      </c>
      <c r="D9" s="31">
        <f>SUM(D7:D8)</f>
        <v>114901200</v>
      </c>
      <c r="E9" s="31">
        <f>SUM(E7:E8)</f>
        <v>29691736</v>
      </c>
      <c r="F9" s="31">
        <f>SUM(F7:F8)</f>
        <v>85209464</v>
      </c>
      <c r="G9" s="31">
        <f>SUM(G7:G8)</f>
        <v>114901200</v>
      </c>
    </row>
    <row r="11" spans="1:7" ht="19.5" thickBot="1">
      <c r="A11" s="22" t="s">
        <v>96</v>
      </c>
    </row>
    <row r="12" spans="1:7" ht="38.25" thickBot="1">
      <c r="B12" s="24" t="s">
        <v>20</v>
      </c>
      <c r="C12" s="25" t="s">
        <v>1</v>
      </c>
      <c r="D12" s="39">
        <v>1397</v>
      </c>
      <c r="E12" s="39" t="s">
        <v>36</v>
      </c>
      <c r="F12" s="15" t="s">
        <v>88</v>
      </c>
      <c r="G12" s="15" t="s">
        <v>89</v>
      </c>
    </row>
    <row r="13" spans="1:7" ht="15" thickBot="1">
      <c r="B13" s="29" t="s">
        <v>41</v>
      </c>
      <c r="C13" s="30" t="s">
        <v>42</v>
      </c>
      <c r="D13" s="68">
        <f>D7/D$9</f>
        <v>0.94877580912993076</v>
      </c>
      <c r="E13" s="68">
        <f>E7/E$9</f>
        <v>0.96854582702742609</v>
      </c>
      <c r="F13" s="68">
        <f>F7/F$9</f>
        <v>0.94188683078677737</v>
      </c>
      <c r="G13" s="68">
        <f>D13</f>
        <v>0.94877580912993076</v>
      </c>
    </row>
    <row r="14" spans="1:7" ht="15" thickBot="1">
      <c r="B14" s="26" t="s">
        <v>43</v>
      </c>
      <c r="C14" s="27" t="s">
        <v>42</v>
      </c>
      <c r="D14" s="35">
        <f t="shared" ref="D14:F15" si="0">D8/D$9</f>
        <v>5.1224190870069242E-2</v>
      </c>
      <c r="E14" s="35">
        <f t="shared" si="0"/>
        <v>3.145417297257392E-2</v>
      </c>
      <c r="F14" s="35">
        <f t="shared" si="0"/>
        <v>5.8113169213222605E-2</v>
      </c>
      <c r="G14" s="35">
        <f>D14</f>
        <v>5.1224190870069242E-2</v>
      </c>
    </row>
    <row r="15" spans="1:7" ht="15" thickBot="1">
      <c r="B15" s="32" t="s">
        <v>18</v>
      </c>
      <c r="C15" s="30" t="s">
        <v>42</v>
      </c>
      <c r="D15" s="68">
        <f t="shared" si="0"/>
        <v>1</v>
      </c>
      <c r="E15" s="68">
        <f t="shared" si="0"/>
        <v>1</v>
      </c>
      <c r="F15" s="68">
        <f t="shared" si="0"/>
        <v>1</v>
      </c>
      <c r="G15" s="68">
        <f>D15</f>
        <v>1</v>
      </c>
    </row>
    <row r="18" spans="1:8" ht="19.5" thickBot="1">
      <c r="A18" s="22" t="s">
        <v>54</v>
      </c>
    </row>
    <row r="19" spans="1:8" ht="38.25" thickBot="1">
      <c r="B19" s="24" t="s">
        <v>20</v>
      </c>
      <c r="C19" s="25" t="s">
        <v>1</v>
      </c>
      <c r="D19" s="39">
        <v>1397</v>
      </c>
      <c r="E19" s="39" t="s">
        <v>36</v>
      </c>
      <c r="F19" s="15" t="s">
        <v>88</v>
      </c>
      <c r="G19" s="15" t="s">
        <v>89</v>
      </c>
    </row>
    <row r="20" spans="1:8" ht="15" thickBot="1">
      <c r="B20" s="29" t="s">
        <v>41</v>
      </c>
      <c r="C20" s="30" t="s">
        <v>40</v>
      </c>
      <c r="D20" s="31">
        <v>408738642</v>
      </c>
      <c r="E20" s="31">
        <v>186020452</v>
      </c>
      <c r="F20" s="31">
        <f>F26*F7/1000000</f>
        <v>457468730.39999998</v>
      </c>
      <c r="G20" s="31">
        <f>F20+E20</f>
        <v>643489182.39999998</v>
      </c>
    </row>
    <row r="21" spans="1:8" ht="15" thickBot="1">
      <c r="B21" s="26" t="s">
        <v>43</v>
      </c>
      <c r="C21" s="27" t="s">
        <v>40</v>
      </c>
      <c r="D21" s="28">
        <v>21724733</v>
      </c>
      <c r="E21" s="28">
        <v>5320531</v>
      </c>
      <c r="F21" s="28">
        <f>F27*F8/1000000</f>
        <v>28789718.687999997</v>
      </c>
      <c r="G21" s="28">
        <f t="shared" ref="G21:G22" si="1">F21+E21</f>
        <v>34110249.687999994</v>
      </c>
    </row>
    <row r="22" spans="1:8" ht="15" thickBot="1">
      <c r="B22" s="32" t="s">
        <v>18</v>
      </c>
      <c r="C22" s="30" t="s">
        <v>40</v>
      </c>
      <c r="D22" s="31">
        <f>SUM(D20:D21)</f>
        <v>430463375</v>
      </c>
      <c r="E22" s="31">
        <f>SUM(E20:E21)</f>
        <v>191340983</v>
      </c>
      <c r="F22" s="31">
        <f>SUM(F20:F21)</f>
        <v>486258449.088</v>
      </c>
      <c r="G22" s="31">
        <f t="shared" si="1"/>
        <v>677599432.08800006</v>
      </c>
    </row>
    <row r="24" spans="1:8" ht="19.5" thickBot="1">
      <c r="A24" s="22" t="s">
        <v>55</v>
      </c>
    </row>
    <row r="25" spans="1:8" ht="38.25" thickBot="1">
      <c r="B25" s="24" t="s">
        <v>20</v>
      </c>
      <c r="C25" s="25" t="s">
        <v>1</v>
      </c>
      <c r="D25" s="39">
        <v>1397</v>
      </c>
      <c r="E25" s="39" t="s">
        <v>36</v>
      </c>
      <c r="F25" s="15" t="s">
        <v>88</v>
      </c>
      <c r="G25" s="15" t="s">
        <v>89</v>
      </c>
    </row>
    <row r="26" spans="1:8" ht="15" thickBot="1">
      <c r="B26" s="29" t="s">
        <v>41</v>
      </c>
      <c r="C26" s="30" t="s">
        <v>37</v>
      </c>
      <c r="D26" s="31">
        <f>D20*1000000/D7</f>
        <v>3749363.3541710163</v>
      </c>
      <c r="E26" s="31">
        <f>E20*1000000/E7</f>
        <v>6468520.078738966</v>
      </c>
      <c r="F26" s="31">
        <f>F32*F$2</f>
        <v>5700000</v>
      </c>
      <c r="G26" s="31">
        <f>G20*1000000/G7</f>
        <v>5902732.2386025563</v>
      </c>
    </row>
    <row r="27" spans="1:8" ht="15" thickBot="1">
      <c r="B27" s="26" t="s">
        <v>43</v>
      </c>
      <c r="C27" s="27" t="s">
        <v>37</v>
      </c>
      <c r="D27" s="28">
        <f>D21*1000000/D8</f>
        <v>3691091.2019105223</v>
      </c>
      <c r="E27" s="28">
        <f>E21*1000000/E8</f>
        <v>5696933.0645049037</v>
      </c>
      <c r="F27" s="31">
        <f t="shared" ref="F27:F28" si="2">F33*F$2</f>
        <v>5813999.9999999991</v>
      </c>
      <c r="G27" s="31">
        <f>G21*1000000/G8</f>
        <v>5795424.1609481648</v>
      </c>
    </row>
    <row r="28" spans="1:8" ht="15" thickBot="1">
      <c r="B28" s="32" t="s">
        <v>58</v>
      </c>
      <c r="C28" s="30" t="s">
        <v>37</v>
      </c>
      <c r="D28" s="31">
        <f>D22*1000000/D9</f>
        <v>3746378.4103212152</v>
      </c>
      <c r="E28" s="31">
        <f>E22*1000000/E9</f>
        <v>6444250.4473298565</v>
      </c>
      <c r="F28" s="31">
        <f t="shared" si="2"/>
        <v>5706624.9012903068</v>
      </c>
      <c r="G28" s="31">
        <f>G22*1000000/G9</f>
        <v>5897235.4691508878</v>
      </c>
      <c r="H28" s="67"/>
    </row>
    <row r="30" spans="1:8" ht="19.5" thickBot="1">
      <c r="A30" s="22" t="s">
        <v>56</v>
      </c>
    </row>
    <row r="31" spans="1:8" ht="38.25" thickBot="1">
      <c r="B31" s="24" t="s">
        <v>20</v>
      </c>
      <c r="C31" s="25" t="s">
        <v>1</v>
      </c>
      <c r="D31" s="39">
        <v>1397</v>
      </c>
      <c r="E31" s="39" t="s">
        <v>36</v>
      </c>
      <c r="F31" s="15" t="s">
        <v>88</v>
      </c>
      <c r="G31" s="15" t="s">
        <v>89</v>
      </c>
    </row>
    <row r="32" spans="1:8" ht="15" thickBot="1">
      <c r="B32" s="29" t="s">
        <v>41</v>
      </c>
      <c r="C32" s="30" t="s">
        <v>57</v>
      </c>
      <c r="D32" s="40">
        <f t="shared" ref="D32:E34" si="3">D26/D$2</f>
        <v>61.165163447544273</v>
      </c>
      <c r="E32" s="40">
        <f t="shared" si="3"/>
        <v>63.51400257981782</v>
      </c>
      <c r="F32" s="40">
        <f>F39*0.95</f>
        <v>47.5</v>
      </c>
      <c r="G32" s="40">
        <f t="shared" ref="G32" si="4">G26/G$2</f>
        <v>50.941575427755048</v>
      </c>
    </row>
    <row r="33" spans="1:8" ht="15" thickBot="1">
      <c r="B33" s="26" t="s">
        <v>43</v>
      </c>
      <c r="C33" s="27" t="s">
        <v>57</v>
      </c>
      <c r="D33" s="41">
        <f t="shared" si="3"/>
        <v>60.21454186708629</v>
      </c>
      <c r="E33" s="41">
        <f t="shared" si="3"/>
        <v>55.937836932022542</v>
      </c>
      <c r="F33" s="41">
        <f t="shared" ref="F33:F34" si="5">F40*0.95</f>
        <v>48.449999999999996</v>
      </c>
      <c r="G33" s="41">
        <f t="shared" ref="G33" si="6">G27/G$2</f>
        <v>50.015488607131665</v>
      </c>
    </row>
    <row r="34" spans="1:8" ht="15" thickBot="1">
      <c r="B34" s="32" t="s">
        <v>58</v>
      </c>
      <c r="C34" s="30" t="s">
        <v>57</v>
      </c>
      <c r="D34" s="40">
        <f t="shared" si="3"/>
        <v>61.116468626261685</v>
      </c>
      <c r="E34" s="40">
        <f t="shared" si="3"/>
        <v>63.275700555063196</v>
      </c>
      <c r="F34" s="40">
        <f t="shared" si="5"/>
        <v>47.55520751075256</v>
      </c>
      <c r="G34" s="40">
        <f t="shared" ref="G34" si="7">G28/G$2</f>
        <v>50.894137379693184</v>
      </c>
    </row>
    <row r="35" spans="1:8">
      <c r="H35" s="67"/>
    </row>
    <row r="37" spans="1:8" ht="19.5" thickBot="1">
      <c r="A37" s="22" t="s">
        <v>59</v>
      </c>
    </row>
    <row r="38" spans="1:8" ht="38.25" thickBot="1">
      <c r="B38" s="24" t="s">
        <v>20</v>
      </c>
      <c r="C38" s="25" t="s">
        <v>1</v>
      </c>
      <c r="D38" s="39">
        <v>1397</v>
      </c>
      <c r="E38" s="39" t="s">
        <v>36</v>
      </c>
      <c r="F38" s="15" t="s">
        <v>88</v>
      </c>
      <c r="G38" s="15" t="s">
        <v>89</v>
      </c>
    </row>
    <row r="39" spans="1:8" ht="15" thickBot="1">
      <c r="B39" s="29" t="s">
        <v>41</v>
      </c>
      <c r="C39" s="30" t="s">
        <v>57</v>
      </c>
      <c r="D39" s="40">
        <f>D32/0.95</f>
        <v>64.384382576362398</v>
      </c>
      <c r="E39" s="40">
        <f>E32/0.95</f>
        <v>66.856844820860871</v>
      </c>
      <c r="F39" s="40">
        <f>پنل!C4</f>
        <v>50</v>
      </c>
      <c r="G39" s="40">
        <f>G32/0.95</f>
        <v>53.622710976584266</v>
      </c>
    </row>
    <row r="40" spans="1:8" ht="15" thickBot="1">
      <c r="B40" s="26" t="s">
        <v>43</v>
      </c>
      <c r="C40" s="27" t="s">
        <v>57</v>
      </c>
      <c r="D40" s="41">
        <f t="shared" ref="D40:F41" si="8">D33/0.95</f>
        <v>63.383728281143469</v>
      </c>
      <c r="E40" s="41">
        <f t="shared" si="8"/>
        <v>58.88193361265531</v>
      </c>
      <c r="F40" s="41">
        <f>F39+1</f>
        <v>51</v>
      </c>
      <c r="G40" s="41">
        <f t="shared" ref="G40" si="9">G33/0.95</f>
        <v>52.647882744349126</v>
      </c>
    </row>
    <row r="41" spans="1:8" ht="15" thickBot="1">
      <c r="B41" s="32" t="s">
        <v>58</v>
      </c>
      <c r="C41" s="30" t="s">
        <v>57</v>
      </c>
      <c r="D41" s="40">
        <f t="shared" si="8"/>
        <v>64.333124869749142</v>
      </c>
      <c r="E41" s="40">
        <f t="shared" si="8"/>
        <v>66.606000584277055</v>
      </c>
      <c r="F41" s="40">
        <f>(F39*F13+F40*F14)</f>
        <v>50.058113169213222</v>
      </c>
      <c r="G41" s="40">
        <f t="shared" ref="G41" si="10">G34/0.95</f>
        <v>53.572776189150723</v>
      </c>
    </row>
    <row r="45" spans="1:8" ht="19.5" thickBot="1">
      <c r="A45" s="22" t="s">
        <v>80</v>
      </c>
    </row>
    <row r="46" spans="1:8" ht="38.25" thickBot="1">
      <c r="B46" s="24" t="s">
        <v>20</v>
      </c>
      <c r="C46" s="25" t="s">
        <v>1</v>
      </c>
      <c r="D46" s="39">
        <v>1397</v>
      </c>
      <c r="E46" s="39" t="s">
        <v>36</v>
      </c>
      <c r="F46" s="15" t="s">
        <v>88</v>
      </c>
      <c r="G46" s="15" t="s">
        <v>89</v>
      </c>
    </row>
    <row r="47" spans="1:8" ht="15" thickBot="1">
      <c r="B47" s="3" t="s">
        <v>21</v>
      </c>
      <c r="C47" s="3" t="s">
        <v>40</v>
      </c>
      <c r="D47" s="1">
        <v>430463375</v>
      </c>
      <c r="E47" s="5">
        <v>191340983</v>
      </c>
      <c r="F47" s="5">
        <f>F22</f>
        <v>486258449.088</v>
      </c>
      <c r="G47" s="5">
        <f>F47+E47</f>
        <v>677599432.08800006</v>
      </c>
    </row>
    <row r="48" spans="1:8" ht="15" thickBot="1">
      <c r="B48" s="4" t="s">
        <v>22</v>
      </c>
      <c r="C48" s="4" t="s">
        <v>40</v>
      </c>
      <c r="D48" s="2">
        <v>318275</v>
      </c>
      <c r="E48" s="6">
        <v>55635</v>
      </c>
      <c r="F48" s="6"/>
      <c r="G48" s="6">
        <f>D48*1.3</f>
        <v>413757.5</v>
      </c>
    </row>
    <row r="49" spans="2:7" ht="15" thickBot="1">
      <c r="B49" s="3" t="s">
        <v>23</v>
      </c>
      <c r="C49" s="3" t="s">
        <v>40</v>
      </c>
      <c r="D49" s="1">
        <v>5623146</v>
      </c>
      <c r="E49" s="5">
        <v>1908877</v>
      </c>
      <c r="F49" s="5"/>
      <c r="G49" s="5">
        <f>D49*2</f>
        <v>11246292</v>
      </c>
    </row>
    <row r="50" spans="2:7" ht="15" thickBot="1">
      <c r="B50" s="4" t="s">
        <v>19</v>
      </c>
      <c r="C50" s="4" t="s">
        <v>40</v>
      </c>
      <c r="D50" s="2">
        <v>436404796</v>
      </c>
      <c r="E50" s="6">
        <v>193305495</v>
      </c>
      <c r="F50" s="6"/>
      <c r="G50" s="6">
        <f>SUM(G47:G49)</f>
        <v>689259481.58800006</v>
      </c>
    </row>
    <row r="51" spans="2:7" ht="15" thickBot="1">
      <c r="B51" s="3" t="s">
        <v>24</v>
      </c>
      <c r="C51" s="3" t="s">
        <v>40</v>
      </c>
      <c r="D51" s="7">
        <v>0</v>
      </c>
      <c r="E51" s="10">
        <v>0</v>
      </c>
      <c r="F51" s="10"/>
      <c r="G51" s="10"/>
    </row>
    <row r="52" spans="2:7" ht="15" thickBot="1">
      <c r="B52" s="4" t="s">
        <v>25</v>
      </c>
      <c r="C52" s="4" t="s">
        <v>40</v>
      </c>
      <c r="D52" s="2">
        <v>436404796</v>
      </c>
      <c r="E52" s="6">
        <v>193305495</v>
      </c>
      <c r="F52" s="6"/>
      <c r="G52" s="6">
        <f>SUM(G50:G51)</f>
        <v>689259481.58800006</v>
      </c>
    </row>
    <row r="53" spans="2:7" ht="24" thickBot="1">
      <c r="B53" s="3" t="s">
        <v>26</v>
      </c>
      <c r="C53" s="3" t="s">
        <v>40</v>
      </c>
      <c r="D53" s="1">
        <v>1616492</v>
      </c>
      <c r="E53" s="5">
        <v>3065295</v>
      </c>
      <c r="F53" s="5"/>
      <c r="G53" s="5"/>
    </row>
    <row r="54" spans="2:7" ht="24" thickBot="1">
      <c r="B54" s="4" t="s">
        <v>27</v>
      </c>
      <c r="C54" s="4" t="s">
        <v>40</v>
      </c>
      <c r="D54" s="2">
        <v>-3065295</v>
      </c>
      <c r="E54" s="6">
        <v>-5982683</v>
      </c>
      <c r="F54" s="6"/>
      <c r="G54" s="6"/>
    </row>
    <row r="55" spans="2:7" ht="15" thickBot="1">
      <c r="B55" s="3" t="s">
        <v>28</v>
      </c>
      <c r="C55" s="3" t="s">
        <v>40</v>
      </c>
      <c r="D55" s="7">
        <v>0</v>
      </c>
      <c r="E55" s="10">
        <v>0</v>
      </c>
      <c r="F55" s="10"/>
      <c r="G55" s="10"/>
    </row>
    <row r="56" spans="2:7" ht="24" thickBot="1">
      <c r="B56" s="4" t="s">
        <v>29</v>
      </c>
      <c r="C56" s="4" t="s">
        <v>40</v>
      </c>
      <c r="D56" s="2">
        <v>434955993</v>
      </c>
      <c r="E56" s="6">
        <v>190388107</v>
      </c>
      <c r="F56" s="6"/>
      <c r="G56" s="6"/>
    </row>
    <row r="57" spans="2:7" ht="24" thickBot="1">
      <c r="B57" s="3" t="s">
        <v>30</v>
      </c>
      <c r="C57" s="3" t="s">
        <v>40</v>
      </c>
      <c r="D57" s="1">
        <v>7968237</v>
      </c>
      <c r="E57" s="5">
        <v>34151060</v>
      </c>
      <c r="F57" s="5"/>
      <c r="G57" s="5"/>
    </row>
    <row r="58" spans="2:7" ht="24" thickBot="1">
      <c r="B58" s="4" t="s">
        <v>31</v>
      </c>
      <c r="C58" s="4" t="s">
        <v>40</v>
      </c>
      <c r="D58" s="2">
        <v>-34151060</v>
      </c>
      <c r="E58" s="6">
        <v>-69976642</v>
      </c>
      <c r="F58" s="6"/>
      <c r="G58" s="6"/>
    </row>
    <row r="59" spans="2:7" ht="24" thickBot="1">
      <c r="B59" s="3" t="s">
        <v>32</v>
      </c>
      <c r="C59" s="3" t="s">
        <v>40</v>
      </c>
      <c r="D59" s="1">
        <v>408773170</v>
      </c>
      <c r="E59" s="5">
        <v>154562525</v>
      </c>
      <c r="F59" s="5"/>
      <c r="G59" s="5"/>
    </row>
    <row r="60" spans="2:7" ht="24" thickBot="1">
      <c r="B60" s="4" t="s">
        <v>33</v>
      </c>
      <c r="C60" s="4" t="s">
        <v>40</v>
      </c>
      <c r="D60" s="8">
        <v>0</v>
      </c>
      <c r="E60" s="9">
        <v>0</v>
      </c>
      <c r="F60" s="9"/>
      <c r="G60" s="9"/>
    </row>
    <row r="61" spans="2:7" ht="15" thickBot="1">
      <c r="B61" s="12" t="s">
        <v>34</v>
      </c>
      <c r="C61" s="12" t="s">
        <v>40</v>
      </c>
      <c r="D61" s="11">
        <v>408773170</v>
      </c>
      <c r="E61" s="13">
        <v>154562525</v>
      </c>
      <c r="F61" s="13"/>
      <c r="G61" s="13">
        <f>G52</f>
        <v>689259481.58800006</v>
      </c>
    </row>
    <row r="62" spans="2:7" ht="15" thickBot="1"/>
    <row r="63" spans="2:7" ht="24" thickBot="1">
      <c r="B63" s="12" t="s">
        <v>45</v>
      </c>
      <c r="C63" s="58" t="s">
        <v>81</v>
      </c>
      <c r="D63" s="33">
        <f>D47/D52</f>
        <v>0.98638552771541954</v>
      </c>
      <c r="E63" s="33">
        <f>E47/E52</f>
        <v>0.98983726768863967</v>
      </c>
      <c r="F63" s="33"/>
      <c r="G63" s="33">
        <f t="shared" ref="F63:G63" si="11">G47/G52</f>
        <v>0.98308322219501987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"/>
  <sheetViews>
    <sheetView rightToLeft="1" workbookViewId="0">
      <selection activeCell="C25" sqref="C25"/>
    </sheetView>
  </sheetViews>
  <sheetFormatPr defaultRowHeight="14.25"/>
  <cols>
    <col min="1" max="1" width="23.375" style="23" customWidth="1"/>
    <col min="2" max="3" width="11.625" style="23" bestFit="1" customWidth="1"/>
    <col min="4" max="4" width="12.25" style="23" bestFit="1" customWidth="1"/>
    <col min="5" max="16384" width="9" style="23"/>
  </cols>
  <sheetData>
    <row r="1" spans="1:11" ht="15">
      <c r="A1" s="43"/>
      <c r="B1" s="44" t="s">
        <v>64</v>
      </c>
      <c r="C1" s="44" t="s">
        <v>63</v>
      </c>
      <c r="D1" s="44" t="s">
        <v>64</v>
      </c>
    </row>
    <row r="2" spans="1:11">
      <c r="A2" s="45" t="s">
        <v>66</v>
      </c>
      <c r="B2" s="47">
        <v>453226514</v>
      </c>
      <c r="C2" s="46">
        <v>174504383</v>
      </c>
      <c r="D2" s="46">
        <f>تولیدوفروش!G136</f>
        <v>767624466.98685765</v>
      </c>
    </row>
    <row r="3" spans="1:11">
      <c r="A3" s="45" t="s">
        <v>67</v>
      </c>
      <c r="B3" s="49">
        <v>-408773170</v>
      </c>
      <c r="C3" s="48">
        <v>-154562525</v>
      </c>
      <c r="D3" s="48">
        <f>-'بهای تمام شده'!G61</f>
        <v>-689259481.58800006</v>
      </c>
    </row>
    <row r="4" spans="1:11">
      <c r="A4" s="50" t="s">
        <v>68</v>
      </c>
      <c r="B4" s="52">
        <v>44453344</v>
      </c>
      <c r="C4" s="51">
        <v>19941858</v>
      </c>
      <c r="D4" s="51">
        <f>SUM(D2:D3)</f>
        <v>78364985.398857594</v>
      </c>
    </row>
    <row r="5" spans="1:11">
      <c r="A5" s="45" t="s">
        <v>69</v>
      </c>
      <c r="B5" s="49">
        <v>-4162045</v>
      </c>
      <c r="C5" s="48">
        <v>-2378983</v>
      </c>
      <c r="D5" s="48">
        <f>C5*D2/C2</f>
        <v>-10464869.282657476</v>
      </c>
    </row>
    <row r="6" spans="1:11">
      <c r="A6" s="45" t="s">
        <v>70</v>
      </c>
      <c r="B6" s="47">
        <v>1073224</v>
      </c>
      <c r="C6" s="46">
        <v>287141</v>
      </c>
      <c r="D6" s="46">
        <f>C6*4</f>
        <v>1148564</v>
      </c>
    </row>
    <row r="7" spans="1:11">
      <c r="A7" s="45" t="s">
        <v>71</v>
      </c>
      <c r="B7" s="54">
        <v>0</v>
      </c>
      <c r="C7" s="53">
        <v>0</v>
      </c>
      <c r="D7" s="53">
        <v>0</v>
      </c>
    </row>
    <row r="8" spans="1:11">
      <c r="A8" s="50" t="s">
        <v>72</v>
      </c>
      <c r="B8" s="52">
        <v>41364523</v>
      </c>
      <c r="C8" s="51">
        <v>17850016</v>
      </c>
      <c r="D8" s="51">
        <f>SUM(D4:D7)</f>
        <v>69048680.116200119</v>
      </c>
    </row>
    <row r="9" spans="1:11">
      <c r="A9" s="45" t="s">
        <v>73</v>
      </c>
      <c r="B9" s="49">
        <v>-199739</v>
      </c>
      <c r="C9" s="48">
        <v>-32000</v>
      </c>
      <c r="D9" s="48">
        <f>-2214246*0.16</f>
        <v>-354279.36</v>
      </c>
      <c r="K9" s="42"/>
    </row>
    <row r="10" spans="1:11" ht="21">
      <c r="A10" s="45" t="s">
        <v>74</v>
      </c>
      <c r="B10" s="47">
        <v>1069182</v>
      </c>
      <c r="C10" s="46">
        <v>254669</v>
      </c>
      <c r="D10" s="46">
        <f>C10*4</f>
        <v>1018676</v>
      </c>
      <c r="K10" s="42"/>
    </row>
    <row r="11" spans="1:11" ht="21">
      <c r="A11" s="45" t="s">
        <v>75</v>
      </c>
      <c r="B11" s="47">
        <v>1137957</v>
      </c>
      <c r="C11" s="46">
        <v>29019</v>
      </c>
      <c r="D11" s="46">
        <f>C11*4</f>
        <v>116076</v>
      </c>
    </row>
    <row r="12" spans="1:11" ht="21">
      <c r="A12" s="50" t="s">
        <v>76</v>
      </c>
      <c r="B12" s="52">
        <v>43371923</v>
      </c>
      <c r="C12" s="51">
        <v>18101704</v>
      </c>
      <c r="D12" s="51">
        <f>SUM(D8:D11)</f>
        <v>69829152.75620012</v>
      </c>
    </row>
    <row r="13" spans="1:11">
      <c r="A13" s="45" t="s">
        <v>77</v>
      </c>
      <c r="B13" s="49">
        <v>-8284094</v>
      </c>
      <c r="C13" s="48">
        <v>-3569407</v>
      </c>
      <c r="D13" s="48">
        <f>C13*D12/C12</f>
        <v>-13769348.269756814</v>
      </c>
    </row>
    <row r="14" spans="1:11">
      <c r="A14" s="50" t="s">
        <v>65</v>
      </c>
      <c r="B14" s="52">
        <v>35087829</v>
      </c>
      <c r="C14" s="51">
        <v>14532297</v>
      </c>
      <c r="D14" s="51">
        <f>SUM(D12:D13)</f>
        <v>56059804.486443304</v>
      </c>
    </row>
    <row r="15" spans="1:11">
      <c r="A15" s="50" t="s">
        <v>78</v>
      </c>
      <c r="B15" s="52">
        <v>2543</v>
      </c>
      <c r="C15" s="51">
        <v>1053</v>
      </c>
      <c r="D15" s="51">
        <f>D14*1000/D16</f>
        <v>4062.3046729306743</v>
      </c>
    </row>
    <row r="16" spans="1:11" ht="15" thickBot="1">
      <c r="A16" s="55" t="s">
        <v>79</v>
      </c>
      <c r="B16" s="57">
        <v>13800000</v>
      </c>
      <c r="C16" s="56">
        <v>13800000</v>
      </c>
      <c r="D16" s="56">
        <v>13800000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3"/>
  <sheetViews>
    <sheetView rightToLeft="1" tabSelected="1" topLeftCell="C1" workbookViewId="0">
      <selection activeCell="I11" sqref="I11"/>
    </sheetView>
  </sheetViews>
  <sheetFormatPr defaultRowHeight="14.25"/>
  <cols>
    <col min="1" max="1" width="22.875" bestFit="1" customWidth="1"/>
    <col min="2" max="2" width="9" customWidth="1"/>
    <col min="3" max="4" width="9.75" bestFit="1" customWidth="1"/>
    <col min="6" max="6" width="9.75" bestFit="1" customWidth="1"/>
    <col min="12" max="12" width="10.875" bestFit="1" customWidth="1"/>
  </cols>
  <sheetData>
    <row r="1" spans="1:19" s="23" customFormat="1" ht="15" thickBot="1"/>
    <row r="2" spans="1:19" s="23" customFormat="1" ht="15" thickBot="1">
      <c r="A2" s="29"/>
      <c r="B2" s="30"/>
      <c r="C2" s="40"/>
    </row>
    <row r="3" spans="1:19" s="23" customFormat="1" ht="15" thickBot="1">
      <c r="A3" s="29" t="s">
        <v>97</v>
      </c>
      <c r="B3" s="30" t="s">
        <v>42</v>
      </c>
      <c r="C3" s="31">
        <v>109015479</v>
      </c>
    </row>
    <row r="4" spans="1:19" s="23" customFormat="1" ht="15" thickBot="1">
      <c r="A4" s="29" t="s">
        <v>98</v>
      </c>
      <c r="B4" s="30" t="s">
        <v>51</v>
      </c>
      <c r="C4" s="40">
        <v>50</v>
      </c>
    </row>
    <row r="5" spans="1:19" ht="15" thickBot="1">
      <c r="A5" s="29" t="s">
        <v>95</v>
      </c>
      <c r="B5" s="30" t="s">
        <v>37</v>
      </c>
      <c r="C5" s="31">
        <v>120000</v>
      </c>
    </row>
    <row r="6" spans="1:19" ht="15" thickBot="1">
      <c r="A6" s="66" t="s">
        <v>110</v>
      </c>
      <c r="B6" s="66" t="s">
        <v>81</v>
      </c>
      <c r="C6" s="68">
        <v>-0.2</v>
      </c>
    </row>
    <row r="7" spans="1:19" ht="15" thickBot="1"/>
    <row r="8" spans="1:19" ht="15" thickBot="1">
      <c r="A8" s="72" t="s">
        <v>99</v>
      </c>
      <c r="B8" s="30"/>
      <c r="C8" s="75">
        <f>'صورت سودوزیان'!D15</f>
        <v>4062.3046729306743</v>
      </c>
      <c r="K8" s="31">
        <f>C8</f>
        <v>4062.3046729306743</v>
      </c>
      <c r="L8" s="31">
        <v>40</v>
      </c>
      <c r="M8" s="31">
        <v>45</v>
      </c>
      <c r="N8" s="31">
        <v>50</v>
      </c>
      <c r="O8" s="31">
        <v>55</v>
      </c>
      <c r="P8" s="31">
        <v>60</v>
      </c>
      <c r="Q8" s="31">
        <v>65</v>
      </c>
      <c r="R8" s="31">
        <v>70</v>
      </c>
      <c r="S8" s="31">
        <v>75</v>
      </c>
    </row>
    <row r="9" spans="1:19" ht="18" customHeight="1" thickBot="1">
      <c r="K9" s="31">
        <v>110000</v>
      </c>
      <c r="L9" s="31">
        <f t="dataTable" ref="L9:S15" dt2D="1" dtr="1" r1="C4" r2="C5"/>
        <v>2523.9452674176578</v>
      </c>
      <c r="M9" s="31">
        <v>3053.6970418317082</v>
      </c>
      <c r="N9" s="31">
        <v>3583.4488162457783</v>
      </c>
      <c r="O9" s="31">
        <v>4113.2005906598433</v>
      </c>
      <c r="P9" s="31">
        <v>4642.9523650739138</v>
      </c>
      <c r="Q9" s="31">
        <v>5172.7041394879634</v>
      </c>
      <c r="R9" s="31">
        <v>5702.4559139020421</v>
      </c>
      <c r="S9" s="31">
        <v>6232.2076883160935</v>
      </c>
    </row>
    <row r="10" spans="1:19" ht="15" thickBot="1">
      <c r="K10" s="31">
        <v>115000</v>
      </c>
      <c r="L10" s="31">
        <v>2715.213943540648</v>
      </c>
      <c r="M10" s="31">
        <v>3269.0453440644428</v>
      </c>
      <c r="N10" s="31">
        <v>3822.8767445882299</v>
      </c>
      <c r="O10" s="31">
        <v>4376.7081451120312</v>
      </c>
      <c r="P10" s="31">
        <v>4930.5395456358056</v>
      </c>
      <c r="Q10" s="31">
        <v>5484.3709461596191</v>
      </c>
      <c r="R10" s="31">
        <v>6038.202346683408</v>
      </c>
      <c r="S10" s="31">
        <v>6592.0337472071951</v>
      </c>
    </row>
    <row r="11" spans="1:19" ht="15" thickBot="1">
      <c r="K11" s="31">
        <v>120000</v>
      </c>
      <c r="L11" s="31">
        <v>2906.482619663645</v>
      </c>
      <c r="M11" s="31">
        <v>3484.3936462971565</v>
      </c>
      <c r="N11" s="31">
        <v>4062.3046729306743</v>
      </c>
      <c r="O11" s="31">
        <v>4640.2156995642063</v>
      </c>
      <c r="P11" s="31">
        <v>5218.1267261977246</v>
      </c>
      <c r="Q11" s="31">
        <v>5796.0377528312565</v>
      </c>
      <c r="R11" s="31">
        <v>6373.9487794647866</v>
      </c>
      <c r="S11" s="31">
        <v>6951.8598060982986</v>
      </c>
    </row>
    <row r="12" spans="1:19" ht="15" thickBot="1">
      <c r="K12" s="31">
        <v>125000</v>
      </c>
      <c r="L12" s="31">
        <v>3097.7512957866288</v>
      </c>
      <c r="M12" s="31">
        <v>3699.7419485298838</v>
      </c>
      <c r="N12" s="31">
        <v>4301.7326012731401</v>
      </c>
      <c r="O12" s="31">
        <v>4903.723254016395</v>
      </c>
      <c r="P12" s="31">
        <v>5505.7139067596572</v>
      </c>
      <c r="Q12" s="31">
        <v>6107.7045595029049</v>
      </c>
      <c r="R12" s="31">
        <v>6709.6952122461616</v>
      </c>
      <c r="S12" s="31">
        <v>7311.6858649893966</v>
      </c>
    </row>
    <row r="13" spans="1:19" ht="45.75" thickBot="1">
      <c r="A13" s="14" t="s">
        <v>0</v>
      </c>
      <c r="B13" s="14" t="s">
        <v>111</v>
      </c>
      <c r="C13" s="14" t="s">
        <v>112</v>
      </c>
      <c r="D13" s="14" t="s">
        <v>109</v>
      </c>
      <c r="E13" s="14" t="s">
        <v>93</v>
      </c>
      <c r="F13" s="14" t="s">
        <v>94</v>
      </c>
      <c r="K13" s="31">
        <v>130000</v>
      </c>
      <c r="L13" s="31">
        <v>3289.0199719096113</v>
      </c>
      <c r="M13" s="31">
        <v>3915.0902507626115</v>
      </c>
      <c r="N13" s="31">
        <v>4541.1605296155767</v>
      </c>
      <c r="O13" s="31">
        <v>5167.2308084685701</v>
      </c>
      <c r="P13" s="31">
        <v>5793.3010873215626</v>
      </c>
      <c r="Q13" s="31">
        <v>6419.3713661745405</v>
      </c>
      <c r="R13" s="31">
        <v>7045.4416450275212</v>
      </c>
      <c r="S13" s="31">
        <v>7671.5119238805137</v>
      </c>
    </row>
    <row r="14" spans="1:19" ht="15" thickBot="1">
      <c r="A14" s="74" t="s">
        <v>101</v>
      </c>
      <c r="B14" s="35"/>
      <c r="C14" s="41"/>
      <c r="D14" s="41"/>
      <c r="E14" s="41"/>
      <c r="F14" s="69"/>
      <c r="K14" s="31">
        <v>135000</v>
      </c>
      <c r="L14" s="31">
        <v>3480.2886480326088</v>
      </c>
      <c r="M14" s="31">
        <v>4130.4385529953315</v>
      </c>
      <c r="N14" s="31">
        <v>4780.5884579580488</v>
      </c>
      <c r="O14" s="31">
        <v>5430.738362920757</v>
      </c>
      <c r="P14" s="31">
        <v>6080.8882678834889</v>
      </c>
      <c r="Q14" s="31">
        <v>6731.038172846198</v>
      </c>
      <c r="R14" s="31">
        <v>7381.1880778089007</v>
      </c>
      <c r="S14" s="31">
        <v>8031.3379827716217</v>
      </c>
    </row>
    <row r="15" spans="1:19" ht="15" thickBot="1">
      <c r="A15" s="19" t="s">
        <v>9</v>
      </c>
      <c r="B15" s="68">
        <v>0.3308263945145889</v>
      </c>
      <c r="C15" s="31">
        <f>E15+C$4</f>
        <v>66.269230769230774</v>
      </c>
      <c r="D15" s="31">
        <v>21.15</v>
      </c>
      <c r="E15" s="31">
        <f>(D15+ABS(D15)*$C$6)*$C$4/52</f>
        <v>16.269230769230766</v>
      </c>
      <c r="F15" s="69">
        <f>تولیدوفروش!G218</f>
        <v>4.824162858738763</v>
      </c>
      <c r="K15" s="31">
        <v>140000</v>
      </c>
      <c r="L15" s="31">
        <v>3671.5573241556122</v>
      </c>
      <c r="M15" s="31">
        <v>4345.7868552280588</v>
      </c>
      <c r="N15" s="31">
        <v>5020.0163863004918</v>
      </c>
      <c r="O15" s="31">
        <v>5694.2459173729467</v>
      </c>
      <c r="P15" s="31">
        <v>6368.4754484453797</v>
      </c>
      <c r="Q15" s="31">
        <v>7042.70497951782</v>
      </c>
      <c r="R15" s="31">
        <v>7716.9345105902739</v>
      </c>
      <c r="S15" s="31">
        <v>8391.1640416627179</v>
      </c>
    </row>
    <row r="16" spans="1:19" ht="15" thickBot="1">
      <c r="A16" s="17" t="s">
        <v>6</v>
      </c>
      <c r="B16" s="35">
        <v>0.23002783641287788</v>
      </c>
      <c r="C16" s="28">
        <v>64.2</v>
      </c>
      <c r="D16" s="28">
        <v>12.2</v>
      </c>
      <c r="E16" s="28">
        <f t="shared" ref="E15:E29" si="0">(D16+ABS(D16)*$C$6)*$C$4/52</f>
        <v>9.384615384615385</v>
      </c>
      <c r="F16" s="69">
        <f>تولیدوفروش!G215</f>
        <v>1.763897528756095</v>
      </c>
    </row>
    <row r="17" spans="1:6" ht="15" thickBot="1">
      <c r="A17" s="19" t="s">
        <v>11</v>
      </c>
      <c r="B17" s="68">
        <v>0.22931004386614981</v>
      </c>
      <c r="C17" s="31">
        <f>E17+C$4</f>
        <v>46.793326152813954</v>
      </c>
      <c r="D17" s="31">
        <v>-2.7791173342279052</v>
      </c>
      <c r="E17" s="31">
        <f t="shared" si="0"/>
        <v>-3.2066738471860443</v>
      </c>
      <c r="F17" s="69">
        <f>تولیدوفروش!G220</f>
        <v>-0.97049570706588562</v>
      </c>
    </row>
    <row r="18" spans="1:6" ht="15" thickBot="1">
      <c r="A18" s="17" t="s">
        <v>8</v>
      </c>
      <c r="B18" s="35">
        <v>4.4768725585341874E-2</v>
      </c>
      <c r="C18" s="28">
        <f>E18+C$4</f>
        <v>65.384615384615387</v>
      </c>
      <c r="D18" s="28">
        <v>20</v>
      </c>
      <c r="E18" s="28">
        <f t="shared" si="0"/>
        <v>15.384615384615385</v>
      </c>
      <c r="F18" s="69">
        <f>تولیدوفروش!G217</f>
        <v>0.62245528091287183</v>
      </c>
    </row>
    <row r="19" spans="1:6" ht="15" thickBot="1">
      <c r="A19" s="19" t="s">
        <v>3</v>
      </c>
      <c r="B19" s="68">
        <v>2.3612518288677199E-2</v>
      </c>
      <c r="C19" s="31">
        <f>E19+C$4</f>
        <v>30.225570132777705</v>
      </c>
      <c r="D19" s="31">
        <v>-17.137839218259323</v>
      </c>
      <c r="E19" s="31">
        <f t="shared" si="0"/>
        <v>-19.774429867222295</v>
      </c>
      <c r="F19" s="69">
        <f>تولیدوفروش!G213</f>
        <v>-0.51262148540521368</v>
      </c>
    </row>
    <row r="20" spans="1:6" ht="15" thickBot="1">
      <c r="A20" s="17" t="s">
        <v>7</v>
      </c>
      <c r="B20" s="35">
        <v>1.1168743102236476E-2</v>
      </c>
      <c r="C20" s="28">
        <f>E20+C$4</f>
        <v>67.000758793388968</v>
      </c>
      <c r="D20" s="28">
        <v>22.100986431405666</v>
      </c>
      <c r="E20" s="28">
        <f t="shared" si="0"/>
        <v>17.000758793388972</v>
      </c>
      <c r="F20" s="69">
        <f>تولیدوفروش!G216</f>
        <v>0.18078616929370461</v>
      </c>
    </row>
    <row r="21" spans="1:6" ht="14.25" customHeight="1" thickBot="1">
      <c r="A21" s="73" t="s">
        <v>100</v>
      </c>
      <c r="B21" s="68"/>
      <c r="C21" s="31"/>
      <c r="D21" s="31"/>
      <c r="E21" s="31"/>
      <c r="F21" s="69"/>
    </row>
    <row r="22" spans="1:6" ht="15" thickBot="1">
      <c r="A22" s="17" t="s">
        <v>16</v>
      </c>
      <c r="B22" s="35">
        <v>0.10098195198559169</v>
      </c>
      <c r="C22" s="28">
        <f>E22+C$4</f>
        <v>40.881882395014998</v>
      </c>
      <c r="D22" s="28">
        <v>-7.9023685909870025</v>
      </c>
      <c r="E22" s="28">
        <f t="shared" si="0"/>
        <v>-9.1181176049850023</v>
      </c>
      <c r="F22" s="69">
        <f>تولیدوفروش!G225</f>
        <v>-1.1950417762861782</v>
      </c>
    </row>
    <row r="23" spans="1:6" ht="15" thickBot="1">
      <c r="A23" s="19" t="s">
        <v>12</v>
      </c>
      <c r="B23" s="68">
        <v>1.6402748974286344E-2</v>
      </c>
      <c r="C23" s="31">
        <f>E23+C$4</f>
        <v>53.79737095821455</v>
      </c>
      <c r="D23" s="31">
        <v>4.9365822456789132</v>
      </c>
      <c r="E23" s="31">
        <f t="shared" si="0"/>
        <v>3.7973709582145485</v>
      </c>
      <c r="F23" s="69">
        <f>تولیدوفروش!G221</f>
        <v>2.6427943272708421E-2</v>
      </c>
    </row>
    <row r="24" spans="1:6" ht="15" thickBot="1">
      <c r="A24" s="17" t="s">
        <v>5</v>
      </c>
      <c r="B24" s="35">
        <v>8.0582161099078432E-6</v>
      </c>
      <c r="C24" s="28">
        <f>E24+C$4</f>
        <v>24.1231893894203</v>
      </c>
      <c r="D24" s="28">
        <v>-22.426569195835739</v>
      </c>
      <c r="E24" s="28">
        <f t="shared" si="0"/>
        <v>-25.8768106105797</v>
      </c>
      <c r="F24" s="69">
        <f>تولیدوفروش!G214</f>
        <v>-2.1090111191940215E-4</v>
      </c>
    </row>
    <row r="25" spans="1:6" ht="15" thickBot="1">
      <c r="A25" s="19" t="s">
        <v>10</v>
      </c>
      <c r="B25" s="68">
        <v>2.7789175059298745E-3</v>
      </c>
      <c r="C25" s="31">
        <f>E25+C$4</f>
        <v>69.143428117100015</v>
      </c>
      <c r="D25" s="31">
        <v>24.886456552230023</v>
      </c>
      <c r="E25" s="31">
        <f t="shared" si="0"/>
        <v>19.143428117100015</v>
      </c>
      <c r="F25" s="69">
        <f>تولیدوفروش!G219</f>
        <v>5.0436707429150789E-2</v>
      </c>
    </row>
    <row r="26" spans="1:6" ht="15" thickBot="1">
      <c r="A26" s="17" t="s">
        <v>13</v>
      </c>
      <c r="B26" s="35">
        <v>2.4797631795875712E-3</v>
      </c>
      <c r="C26" s="28">
        <f>E26+C$4</f>
        <v>65.598239850474812</v>
      </c>
      <c r="D26" s="28">
        <v>20.277711805617251</v>
      </c>
      <c r="E26" s="28">
        <f t="shared" si="0"/>
        <v>15.59823985047481</v>
      </c>
      <c r="F26" s="69">
        <f>تولیدوفروش!G222</f>
        <v>3.1507553473863428E-2</v>
      </c>
    </row>
    <row r="27" spans="1:6" ht="15" thickBot="1">
      <c r="A27" s="19" t="s">
        <v>14</v>
      </c>
      <c r="B27" s="68">
        <v>4.1751007013037687E-3</v>
      </c>
      <c r="C27" s="31">
        <f>E27+C$4</f>
        <v>40.253469223048597</v>
      </c>
      <c r="D27" s="31">
        <v>-8.446993340024548</v>
      </c>
      <c r="E27" s="31">
        <f t="shared" si="0"/>
        <v>-9.7465307769514009</v>
      </c>
      <c r="F27" s="69">
        <f>تولیدوفروش!G223</f>
        <v>-4.7487772451786189E-2</v>
      </c>
    </row>
    <row r="28" spans="1:6" ht="15" thickBot="1">
      <c r="A28" s="17" t="s">
        <v>15</v>
      </c>
      <c r="B28" s="35">
        <v>2.0225566696826622E-3</v>
      </c>
      <c r="C28" s="28">
        <f>E28+C$4</f>
        <v>39.255532875333444</v>
      </c>
      <c r="D28" s="28">
        <v>-9.3118715080443479</v>
      </c>
      <c r="E28" s="28">
        <f t="shared" si="0"/>
        <v>-10.744467124666556</v>
      </c>
      <c r="F28" s="69">
        <f>تولیدوفروش!G224</f>
        <v>-2.4843700803720052E-2</v>
      </c>
    </row>
    <row r="29" spans="1:6" ht="15" thickBot="1">
      <c r="A29" s="19" t="s">
        <v>17</v>
      </c>
      <c r="B29" s="68">
        <v>1.4366409976360529E-3</v>
      </c>
      <c r="C29" s="31">
        <f>E29+C$4</f>
        <v>13.911535494223557</v>
      </c>
      <c r="D29" s="31">
        <v>-31.276669238339583</v>
      </c>
      <c r="E29" s="31">
        <f t="shared" si="0"/>
        <v>-36.088464505776443</v>
      </c>
      <c r="F29" s="69">
        <f>تولیدوفروش!G226</f>
        <v>-5.5194479909383067E-2</v>
      </c>
    </row>
    <row r="30" spans="1:6" ht="15" thickBot="1">
      <c r="A30" s="17" t="s">
        <v>92</v>
      </c>
      <c r="B30" s="71">
        <v>1</v>
      </c>
      <c r="C30" s="70">
        <f>تولیدوفروش!F191</f>
        <v>56.551286660883264</v>
      </c>
      <c r="D30" s="70"/>
      <c r="E30" s="70">
        <f>تولیدوفروش!F227</f>
        <v>6.5512866608832567</v>
      </c>
      <c r="F30" s="70">
        <f>SUM(F15:F29)</f>
        <v>4.6937782188430726</v>
      </c>
    </row>
    <row r="36" spans="1:5">
      <c r="A36" t="s">
        <v>102</v>
      </c>
      <c r="C36">
        <v>52</v>
      </c>
    </row>
    <row r="37" spans="1:5">
      <c r="A37" t="s">
        <v>103</v>
      </c>
      <c r="C37">
        <v>69.55</v>
      </c>
    </row>
    <row r="38" spans="1:5">
      <c r="A38" t="s">
        <v>104</v>
      </c>
      <c r="C38">
        <v>65.989999999999995</v>
      </c>
    </row>
    <row r="39" spans="1:5">
      <c r="A39" t="s">
        <v>113</v>
      </c>
      <c r="C39">
        <f>C37-4/3*(C37-C38)</f>
        <v>64.803333333333327</v>
      </c>
      <c r="D39">
        <f>C39-C$36</f>
        <v>12.803333333333327</v>
      </c>
    </row>
    <row r="40" spans="1:5">
      <c r="A40" t="s">
        <v>114</v>
      </c>
      <c r="C40">
        <f>C37-5/3*(C37-C38)</f>
        <v>63.61666666666666</v>
      </c>
      <c r="D40">
        <f>C40-C$36</f>
        <v>11.61666666666666</v>
      </c>
      <c r="E40">
        <f>AVERAGE(D39:D40)</f>
        <v>12.209999999999994</v>
      </c>
    </row>
    <row r="41" spans="1:5">
      <c r="A41" t="s">
        <v>105</v>
      </c>
      <c r="C41">
        <v>73.150000000000006</v>
      </c>
      <c r="D41">
        <f t="shared" ref="D41:D43" si="1">C41-C$36</f>
        <v>21.150000000000006</v>
      </c>
    </row>
    <row r="42" spans="1:5">
      <c r="A42" t="s">
        <v>107</v>
      </c>
      <c r="C42">
        <f>309.59/6.28981</f>
        <v>49.220882665772095</v>
      </c>
      <c r="D42">
        <f t="shared" si="1"/>
        <v>-2.7791173342279052</v>
      </c>
    </row>
    <row r="43" spans="1:5">
      <c r="A43" t="s">
        <v>108</v>
      </c>
      <c r="C43">
        <v>72.5</v>
      </c>
      <c r="D43">
        <f t="shared" si="1"/>
        <v>20.5</v>
      </c>
    </row>
  </sheetData>
  <conditionalFormatting sqref="L9:S15">
    <cfRule type="colorScale" priority="1">
      <colorScale>
        <cfvo type="num" val="3000"/>
        <cfvo type="num" val="3750"/>
        <cfvo type="num" val="500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تولیدوفروش</vt:lpstr>
      <vt:lpstr>بهای تمام شده</vt:lpstr>
      <vt:lpstr>صورت سودوزیان</vt:lpstr>
      <vt:lpstr>پنل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Bahar</dc:creator>
  <cp:lastModifiedBy>Bahar</cp:lastModifiedBy>
  <dcterms:created xsi:type="dcterms:W3CDTF">2019-08-07T21:42:55Z</dcterms:created>
  <dcterms:modified xsi:type="dcterms:W3CDTF">2019-08-23T09:30:50Z</dcterms:modified>
</cp:coreProperties>
</file>