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6" windowHeight="9048"/>
  </bookViews>
  <sheets>
    <sheet name="محصولات اصلی شپنا" sheetId="2" r:id="rId1"/>
    <sheet name="بهای تمام شده" sheetId="10" r:id="rId2"/>
    <sheet name="مقدار فروش" sheetId="1" r:id="rId3"/>
    <sheet name="مبلغ فروش" sheetId="8" r:id="rId4"/>
    <sheet name="نرخ" sheetId="3" r:id="rId5"/>
    <sheet name="کرک" sheetId="9" r:id="rId6"/>
    <sheet name="مقایسه دلاری" sheetId="6" r:id="rId7"/>
    <sheet name="صورت سود و زیان" sheetId="12" r:id="rId8"/>
  </sheets>
  <calcPr calcId="162913"/>
</workbook>
</file>

<file path=xl/calcChain.xml><?xml version="1.0" encoding="utf-8"?>
<calcChain xmlns="http://schemas.openxmlformats.org/spreadsheetml/2006/main">
  <c r="G24" i="2" l="1"/>
  <c r="F41" i="10"/>
  <c r="G1" i="6"/>
  <c r="K19" i="6"/>
  <c r="K20" i="6"/>
  <c r="K21" i="6"/>
  <c r="F24" i="12"/>
  <c r="F17" i="12"/>
  <c r="F16" i="12"/>
  <c r="F12" i="1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83" i="2"/>
  <c r="F40" i="10"/>
  <c r="F39" i="10"/>
  <c r="G8" i="10"/>
  <c r="F30" i="2"/>
  <c r="E30" i="2"/>
  <c r="D30" i="2"/>
  <c r="E29" i="2"/>
  <c r="D29" i="2"/>
  <c r="E26" i="2"/>
  <c r="D26" i="2"/>
  <c r="F29" i="2"/>
  <c r="B8" i="6"/>
  <c r="I21" i="6" s="1"/>
  <c r="D1" i="6"/>
  <c r="J1" i="6"/>
  <c r="F31" i="10" l="1"/>
  <c r="K32" i="10" s="1"/>
  <c r="G45" i="6" l="1"/>
  <c r="B45" i="6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4" i="6"/>
  <c r="E34" i="6" s="1"/>
  <c r="D35" i="6"/>
  <c r="E35" i="6" s="1"/>
  <c r="D36" i="6"/>
  <c r="F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26" i="6"/>
  <c r="D10" i="10"/>
  <c r="D33" i="10" s="1"/>
  <c r="K33" i="10" s="1"/>
  <c r="D9" i="10"/>
  <c r="D32" i="10" s="1"/>
  <c r="D8" i="10"/>
  <c r="D31" i="10" s="1"/>
  <c r="L3" i="8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5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59" i="2"/>
  <c r="D58" i="2"/>
  <c r="E54" i="2"/>
  <c r="D54" i="2"/>
  <c r="D54" i="10"/>
  <c r="C54" i="10"/>
  <c r="H3" i="6"/>
  <c r="E27" i="10"/>
  <c r="D27" i="10"/>
  <c r="E10" i="10"/>
  <c r="E33" i="10" s="1"/>
  <c r="K35" i="10" s="1"/>
  <c r="F33" i="10" s="1"/>
  <c r="E9" i="10"/>
  <c r="E32" i="10" s="1"/>
  <c r="K34" i="10" s="1"/>
  <c r="F32" i="10" s="1"/>
  <c r="F34" i="10" s="1"/>
  <c r="E8" i="10"/>
  <c r="E26" i="6" l="1"/>
  <c r="F26" i="6"/>
  <c r="E31" i="10"/>
  <c r="E34" i="10" s="1"/>
  <c r="F8" i="10"/>
  <c r="F24" i="10" s="1"/>
  <c r="D90" i="2"/>
  <c r="E98" i="2"/>
  <c r="E94" i="2"/>
  <c r="E90" i="2"/>
  <c r="E97" i="2"/>
  <c r="E93" i="2"/>
  <c r="E85" i="2"/>
  <c r="D100" i="2"/>
  <c r="E83" i="2"/>
  <c r="E92" i="2"/>
  <c r="E88" i="2"/>
  <c r="E84" i="2"/>
  <c r="E99" i="2"/>
  <c r="E91" i="2"/>
  <c r="E87" i="2"/>
  <c r="E78" i="2"/>
  <c r="E86" i="2"/>
  <c r="D78" i="2"/>
  <c r="D98" i="2" s="1"/>
  <c r="D85" i="2"/>
  <c r="E36" i="6"/>
  <c r="E44" i="6" s="1"/>
  <c r="E45" i="6" s="1"/>
  <c r="F29" i="6"/>
  <c r="F42" i="6"/>
  <c r="F38" i="6"/>
  <c r="F34" i="6"/>
  <c r="F32" i="6"/>
  <c r="F28" i="6"/>
  <c r="F41" i="6"/>
  <c r="F37" i="6"/>
  <c r="F31" i="6"/>
  <c r="F27" i="6"/>
  <c r="F40" i="6"/>
  <c r="F30" i="6"/>
  <c r="F43" i="6"/>
  <c r="F39" i="6"/>
  <c r="F35" i="6"/>
  <c r="D34" i="10"/>
  <c r="D11" i="10"/>
  <c r="E11" i="10"/>
  <c r="G24" i="10" l="1"/>
  <c r="E18" i="10"/>
  <c r="E24" i="2"/>
  <c r="D83" i="2"/>
  <c r="D89" i="2"/>
  <c r="D25" i="2"/>
  <c r="D28" i="2" s="1"/>
  <c r="D97" i="2"/>
  <c r="D101" i="2"/>
  <c r="D99" i="2"/>
  <c r="D84" i="2"/>
  <c r="D87" i="2"/>
  <c r="D88" i="2"/>
  <c r="D94" i="2"/>
  <c r="D91" i="2"/>
  <c r="D92" i="2"/>
  <c r="E25" i="2"/>
  <c r="E101" i="2"/>
  <c r="E102" i="2"/>
  <c r="E100" i="2"/>
  <c r="E95" i="2"/>
  <c r="D95" i="2"/>
  <c r="E96" i="2"/>
  <c r="D96" i="2"/>
  <c r="E89" i="2"/>
  <c r="E103" i="2" s="1"/>
  <c r="D93" i="2"/>
  <c r="D86" i="2"/>
  <c r="D102" i="2"/>
  <c r="D17" i="10"/>
  <c r="G17" i="10" s="1"/>
  <c r="D24" i="2"/>
  <c r="D16" i="10"/>
  <c r="G16" i="10" s="1"/>
  <c r="D18" i="10"/>
  <c r="E17" i="10"/>
  <c r="E16" i="10"/>
  <c r="E19" i="10" l="1"/>
  <c r="G31" i="10"/>
  <c r="G9" i="10"/>
  <c r="D19" i="10"/>
  <c r="G18" i="10"/>
  <c r="G10" i="10" s="1"/>
  <c r="F10" i="10" s="1"/>
  <c r="F26" i="10" s="1"/>
  <c r="G26" i="10" s="1"/>
  <c r="G33" i="10" s="1"/>
  <c r="D103" i="2"/>
  <c r="E27" i="2"/>
  <c r="E28" i="2"/>
  <c r="D27" i="2"/>
  <c r="G27" i="2" s="1"/>
  <c r="G19" i="10" l="1"/>
  <c r="F9" i="10"/>
  <c r="F25" i="10" s="1"/>
  <c r="G11" i="10"/>
  <c r="G25" i="2" l="1"/>
  <c r="F24" i="2"/>
  <c r="G25" i="10"/>
  <c r="F27" i="10"/>
  <c r="E38" i="10" s="1"/>
  <c r="F11" i="10"/>
  <c r="C53" i="3"/>
  <c r="C67" i="3" s="1"/>
  <c r="D69" i="3" s="1"/>
  <c r="S4" i="9"/>
  <c r="N4" i="9"/>
  <c r="N5" i="9"/>
  <c r="N7" i="9"/>
  <c r="N8" i="9"/>
  <c r="N12" i="9"/>
  <c r="N14" i="9"/>
  <c r="N16" i="9"/>
  <c r="N3" i="9"/>
  <c r="S5" i="9"/>
  <c r="S7" i="9"/>
  <c r="S9" i="9"/>
  <c r="S13" i="9"/>
  <c r="S14" i="9"/>
  <c r="S17" i="9"/>
  <c r="S3" i="9"/>
  <c r="X4" i="9"/>
  <c r="X5" i="9"/>
  <c r="X7" i="9"/>
  <c r="X14" i="9"/>
  <c r="X15" i="9"/>
  <c r="X19" i="9"/>
  <c r="X3" i="9"/>
  <c r="K19" i="3"/>
  <c r="K18" i="3"/>
  <c r="O18" i="8" s="1"/>
  <c r="K17" i="3"/>
  <c r="X17" i="9" s="1"/>
  <c r="K16" i="3"/>
  <c r="K15" i="3"/>
  <c r="K13" i="3"/>
  <c r="O13" i="8" s="1"/>
  <c r="K12" i="3"/>
  <c r="K11" i="3"/>
  <c r="K10" i="3"/>
  <c r="X10" i="9" s="1"/>
  <c r="K9" i="3"/>
  <c r="O9" i="8" s="1"/>
  <c r="K8" i="3"/>
  <c r="K6" i="3"/>
  <c r="O4" i="8"/>
  <c r="O14" i="8"/>
  <c r="L4" i="8"/>
  <c r="L5" i="8"/>
  <c r="L7" i="8"/>
  <c r="L8" i="8"/>
  <c r="L12" i="8"/>
  <c r="L14" i="8"/>
  <c r="I19" i="3"/>
  <c r="S19" i="9" s="1"/>
  <c r="I18" i="3"/>
  <c r="S18" i="9" s="1"/>
  <c r="I17" i="3"/>
  <c r="L17" i="8" s="1"/>
  <c r="I16" i="3"/>
  <c r="L16" i="8" s="1"/>
  <c r="I15" i="3"/>
  <c r="S15" i="9" s="1"/>
  <c r="I13" i="3"/>
  <c r="L13" i="8" s="1"/>
  <c r="I12" i="3"/>
  <c r="S12" i="9" s="1"/>
  <c r="I11" i="3"/>
  <c r="S11" i="9" s="1"/>
  <c r="I10" i="3"/>
  <c r="S10" i="9" s="1"/>
  <c r="I9" i="3"/>
  <c r="L9" i="8" s="1"/>
  <c r="I8" i="3"/>
  <c r="S8" i="9" s="1"/>
  <c r="I6" i="3"/>
  <c r="S6" i="9" s="1"/>
  <c r="G1" i="3"/>
  <c r="I5" i="8" s="1"/>
  <c r="J1" i="8"/>
  <c r="J4" i="6"/>
  <c r="I4" i="6" s="1"/>
  <c r="P1" i="6"/>
  <c r="P1" i="8"/>
  <c r="O5" i="8" s="1"/>
  <c r="M1" i="8"/>
  <c r="M1" i="6" s="1"/>
  <c r="O2" i="8"/>
  <c r="L2" i="8"/>
  <c r="I2" i="8"/>
  <c r="G19" i="3"/>
  <c r="N19" i="9" s="1"/>
  <c r="G18" i="3"/>
  <c r="N18" i="9" s="1"/>
  <c r="G17" i="3"/>
  <c r="N17" i="9" s="1"/>
  <c r="G16" i="3"/>
  <c r="G15" i="3"/>
  <c r="N15" i="9" s="1"/>
  <c r="G13" i="3"/>
  <c r="N13" i="9" s="1"/>
  <c r="G12" i="3"/>
  <c r="G11" i="3"/>
  <c r="N11" i="9" s="1"/>
  <c r="G10" i="3"/>
  <c r="N10" i="9" s="1"/>
  <c r="G9" i="3"/>
  <c r="N9" i="9" s="1"/>
  <c r="G8" i="3"/>
  <c r="G6" i="3"/>
  <c r="N6" i="9" s="1"/>
  <c r="K2" i="3"/>
  <c r="K1" i="3"/>
  <c r="I1" i="3"/>
  <c r="I2" i="3"/>
  <c r="G2" i="3"/>
  <c r="C64" i="3"/>
  <c r="C55" i="3"/>
  <c r="C69" i="3" s="1"/>
  <c r="C54" i="3"/>
  <c r="C68" i="3" s="1"/>
  <c r="C52" i="3"/>
  <c r="C66" i="3" s="1"/>
  <c r="C51" i="3"/>
  <c r="C65" i="3" s="1"/>
  <c r="C50" i="3"/>
  <c r="C49" i="3"/>
  <c r="C63" i="3" s="1"/>
  <c r="O20" i="1"/>
  <c r="P20" i="1" s="1"/>
  <c r="L20" i="1"/>
  <c r="M20" i="1" s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0" i="1"/>
  <c r="J19" i="1" s="1"/>
  <c r="J4" i="1"/>
  <c r="C48" i="3"/>
  <c r="C62" i="3" s="1"/>
  <c r="C47" i="3"/>
  <c r="C61" i="3" s="1"/>
  <c r="D63" i="3" s="1"/>
  <c r="N20" i="9" s="1"/>
  <c r="C46" i="3"/>
  <c r="C60" i="3" s="1"/>
  <c r="C45" i="3"/>
  <c r="C59" i="3" s="1"/>
  <c r="C44" i="3"/>
  <c r="C58" i="3" s="1"/>
  <c r="C20" i="1"/>
  <c r="F20" i="1"/>
  <c r="C7" i="6"/>
  <c r="J19" i="9"/>
  <c r="K19" i="9" s="1"/>
  <c r="J18" i="9"/>
  <c r="K18" i="9" s="1"/>
  <c r="J17" i="9"/>
  <c r="K17" i="9" s="1"/>
  <c r="J16" i="9"/>
  <c r="K16" i="9" s="1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3" i="9"/>
  <c r="F3" i="9" s="1"/>
  <c r="C13" i="6"/>
  <c r="F4" i="6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3" i="8"/>
  <c r="F20" i="8"/>
  <c r="G6" i="8" s="1"/>
  <c r="B11" i="6"/>
  <c r="E5" i="6"/>
  <c r="E11" i="6" s="1"/>
  <c r="C4" i="6"/>
  <c r="C3" i="6"/>
  <c r="C27" i="3"/>
  <c r="F38" i="10" l="1"/>
  <c r="E54" i="10"/>
  <c r="G60" i="2"/>
  <c r="F60" i="2" s="1"/>
  <c r="G64" i="2"/>
  <c r="F64" i="2" s="1"/>
  <c r="G68" i="2"/>
  <c r="F68" i="2" s="1"/>
  <c r="G72" i="2"/>
  <c r="F72" i="2" s="1"/>
  <c r="G76" i="2"/>
  <c r="F76" i="2" s="1"/>
  <c r="F25" i="2"/>
  <c r="F27" i="2" s="1"/>
  <c r="G59" i="2"/>
  <c r="F59" i="2" s="1"/>
  <c r="G71" i="2"/>
  <c r="F71" i="2" s="1"/>
  <c r="G61" i="2"/>
  <c r="F61" i="2" s="1"/>
  <c r="G65" i="2"/>
  <c r="F65" i="2" s="1"/>
  <c r="G69" i="2"/>
  <c r="F69" i="2" s="1"/>
  <c r="G73" i="2"/>
  <c r="F73" i="2" s="1"/>
  <c r="G77" i="2"/>
  <c r="F77" i="2" s="1"/>
  <c r="G63" i="2"/>
  <c r="F63" i="2" s="1"/>
  <c r="G75" i="2"/>
  <c r="F75" i="2" s="1"/>
  <c r="G62" i="2"/>
  <c r="F62" i="2" s="1"/>
  <c r="G66" i="2"/>
  <c r="F66" i="2" s="1"/>
  <c r="G70" i="2"/>
  <c r="F70" i="2" s="1"/>
  <c r="G74" i="2"/>
  <c r="F74" i="2" s="1"/>
  <c r="G58" i="2"/>
  <c r="G67" i="2"/>
  <c r="F67" i="2" s="1"/>
  <c r="G26" i="2"/>
  <c r="F26" i="2" s="1"/>
  <c r="F28" i="2" s="1"/>
  <c r="G32" i="10"/>
  <c r="G34" i="10" s="1"/>
  <c r="G27" i="10"/>
  <c r="F16" i="10"/>
  <c r="F18" i="10"/>
  <c r="F17" i="10"/>
  <c r="O12" i="9"/>
  <c r="O4" i="9"/>
  <c r="O19" i="9"/>
  <c r="D66" i="3"/>
  <c r="S20" i="9" s="1"/>
  <c r="T3" i="9" s="1"/>
  <c r="X20" i="9"/>
  <c r="P4" i="6"/>
  <c r="O4" i="6" s="1"/>
  <c r="N4" i="6" s="1"/>
  <c r="J5" i="1"/>
  <c r="J13" i="1"/>
  <c r="J20" i="1"/>
  <c r="L19" i="8"/>
  <c r="L15" i="8"/>
  <c r="L11" i="8"/>
  <c r="O3" i="8"/>
  <c r="O10" i="8"/>
  <c r="X9" i="9"/>
  <c r="Y9" i="9" s="1"/>
  <c r="S16" i="9"/>
  <c r="T16" i="9" s="1"/>
  <c r="F14" i="6"/>
  <c r="G14" i="6" s="1"/>
  <c r="J8" i="1"/>
  <c r="J16" i="1"/>
  <c r="L18" i="8"/>
  <c r="L10" i="8"/>
  <c r="O19" i="8"/>
  <c r="O7" i="8"/>
  <c r="O6" i="8"/>
  <c r="O20" i="8" s="1"/>
  <c r="O11" i="8"/>
  <c r="O16" i="8"/>
  <c r="P3" i="1"/>
  <c r="J12" i="1"/>
  <c r="X13" i="9"/>
  <c r="J9" i="1"/>
  <c r="J17" i="1"/>
  <c r="O15" i="8"/>
  <c r="O8" i="8"/>
  <c r="O12" i="8"/>
  <c r="O17" i="8"/>
  <c r="L6" i="8"/>
  <c r="X6" i="9"/>
  <c r="Y6" i="9" s="1"/>
  <c r="X16" i="9"/>
  <c r="X8" i="9"/>
  <c r="Y8" i="9" s="1"/>
  <c r="X11" i="9"/>
  <c r="Y11" i="9" s="1"/>
  <c r="X12" i="9"/>
  <c r="Y12" i="9" s="1"/>
  <c r="X18" i="9"/>
  <c r="Y18" i="9"/>
  <c r="O16" i="9"/>
  <c r="O8" i="9"/>
  <c r="O9" i="9"/>
  <c r="O17" i="9"/>
  <c r="O13" i="9"/>
  <c r="O5" i="9"/>
  <c r="Y16" i="9"/>
  <c r="Y4" i="9"/>
  <c r="Y5" i="9"/>
  <c r="Y7" i="9"/>
  <c r="Y13" i="9"/>
  <c r="Y19" i="9"/>
  <c r="Y10" i="9"/>
  <c r="Y14" i="9"/>
  <c r="Y3" i="9"/>
  <c r="Y15" i="9"/>
  <c r="Y17" i="9"/>
  <c r="I12" i="8"/>
  <c r="I19" i="8"/>
  <c r="I15" i="8"/>
  <c r="I11" i="8"/>
  <c r="I7" i="8"/>
  <c r="I3" i="8"/>
  <c r="I18" i="8"/>
  <c r="I14" i="8"/>
  <c r="I10" i="8"/>
  <c r="I6" i="8"/>
  <c r="I16" i="8"/>
  <c r="I8" i="8"/>
  <c r="I4" i="8"/>
  <c r="I17" i="8"/>
  <c r="I13" i="8"/>
  <c r="I9" i="8"/>
  <c r="H4" i="6"/>
  <c r="O6" i="9"/>
  <c r="O10" i="9"/>
  <c r="O14" i="9"/>
  <c r="O18" i="9"/>
  <c r="O3" i="9"/>
  <c r="O7" i="9"/>
  <c r="O11" i="9"/>
  <c r="O15" i="9"/>
  <c r="P4" i="1"/>
  <c r="P8" i="1"/>
  <c r="P12" i="1"/>
  <c r="P16" i="1"/>
  <c r="P6" i="1"/>
  <c r="P10" i="1"/>
  <c r="P14" i="1"/>
  <c r="P18" i="1"/>
  <c r="P7" i="1"/>
  <c r="P11" i="1"/>
  <c r="P15" i="1"/>
  <c r="P19" i="1"/>
  <c r="P5" i="1"/>
  <c r="P9" i="1"/>
  <c r="P13" i="1"/>
  <c r="P17" i="1"/>
  <c r="J6" i="1"/>
  <c r="J10" i="1"/>
  <c r="J14" i="1"/>
  <c r="J18" i="1"/>
  <c r="J3" i="1"/>
  <c r="J7" i="1"/>
  <c r="J11" i="1"/>
  <c r="J15" i="1"/>
  <c r="F13" i="6"/>
  <c r="G13" i="6" s="1"/>
  <c r="C6" i="6"/>
  <c r="F6" i="6"/>
  <c r="F7" i="6"/>
  <c r="F8" i="6" s="1"/>
  <c r="F3" i="6"/>
  <c r="F5" i="6" s="1"/>
  <c r="F11" i="6" s="1"/>
  <c r="G3" i="8"/>
  <c r="G9" i="8"/>
  <c r="G20" i="8"/>
  <c r="G17" i="8"/>
  <c r="G13" i="8"/>
  <c r="G5" i="8"/>
  <c r="G4" i="8"/>
  <c r="G16" i="8"/>
  <c r="G12" i="8"/>
  <c r="G8" i="8"/>
  <c r="G19" i="8"/>
  <c r="G15" i="8"/>
  <c r="G11" i="8"/>
  <c r="G7" i="8"/>
  <c r="G18" i="8"/>
  <c r="G14" i="8"/>
  <c r="G10" i="8"/>
  <c r="K20" i="9"/>
  <c r="K21" i="9" s="1"/>
  <c r="F20" i="9"/>
  <c r="F21" i="9" s="1"/>
  <c r="C5" i="6"/>
  <c r="C11" i="6" s="1"/>
  <c r="C8" i="6"/>
  <c r="F58" i="2" l="1"/>
  <c r="G78" i="2"/>
  <c r="F43" i="10"/>
  <c r="F54" i="10" s="1"/>
  <c r="F19" i="10"/>
  <c r="T18" i="9"/>
  <c r="T11" i="9"/>
  <c r="T17" i="9"/>
  <c r="T15" i="9"/>
  <c r="T4" i="9"/>
  <c r="T19" i="9"/>
  <c r="T10" i="9"/>
  <c r="T8" i="9"/>
  <c r="T13" i="9"/>
  <c r="T6" i="9"/>
  <c r="T5" i="9"/>
  <c r="M4" i="6"/>
  <c r="L4" i="6" s="1"/>
  <c r="K4" i="6" s="1"/>
  <c r="F9" i="12" s="1"/>
  <c r="I20" i="8"/>
  <c r="J12" i="8" s="1"/>
  <c r="M12" i="9" s="1"/>
  <c r="P12" i="9" s="1"/>
  <c r="T7" i="9"/>
  <c r="T9" i="9"/>
  <c r="T14" i="9"/>
  <c r="T12" i="9"/>
  <c r="L20" i="8"/>
  <c r="K3" i="6" s="1"/>
  <c r="P20" i="8"/>
  <c r="N3" i="6"/>
  <c r="P10" i="8"/>
  <c r="W10" i="9" s="1"/>
  <c r="Z10" i="9" s="1"/>
  <c r="P6" i="8"/>
  <c r="W6" i="9" s="1"/>
  <c r="Z6" i="9" s="1"/>
  <c r="P19" i="8"/>
  <c r="W19" i="9" s="1"/>
  <c r="Z19" i="9" s="1"/>
  <c r="P13" i="8"/>
  <c r="W13" i="9" s="1"/>
  <c r="Z13" i="9" s="1"/>
  <c r="P17" i="8"/>
  <c r="W17" i="9" s="1"/>
  <c r="Z17" i="9" s="1"/>
  <c r="P4" i="8"/>
  <c r="W4" i="9" s="1"/>
  <c r="Z4" i="9" s="1"/>
  <c r="P3" i="8"/>
  <c r="W3" i="9" s="1"/>
  <c r="Z3" i="9" s="1"/>
  <c r="P5" i="8"/>
  <c r="W5" i="9" s="1"/>
  <c r="Z5" i="9" s="1"/>
  <c r="P16" i="8"/>
  <c r="W16" i="9" s="1"/>
  <c r="Z16" i="9" s="1"/>
  <c r="P18" i="8"/>
  <c r="W18" i="9" s="1"/>
  <c r="Z18" i="9" s="1"/>
  <c r="P15" i="8"/>
  <c r="W15" i="9" s="1"/>
  <c r="Z15" i="9" s="1"/>
  <c r="P8" i="8"/>
  <c r="W8" i="9" s="1"/>
  <c r="Z8" i="9" s="1"/>
  <c r="P12" i="8"/>
  <c r="W12" i="9" s="1"/>
  <c r="Z12" i="9" s="1"/>
  <c r="P7" i="8"/>
  <c r="W7" i="9" s="1"/>
  <c r="Z7" i="9" s="1"/>
  <c r="P14" i="8"/>
  <c r="W14" i="9" s="1"/>
  <c r="Z14" i="9" s="1"/>
  <c r="P9" i="8"/>
  <c r="W9" i="9" s="1"/>
  <c r="Z9" i="9" s="1"/>
  <c r="P11" i="8"/>
  <c r="W11" i="9" s="1"/>
  <c r="Z11" i="9" s="1"/>
  <c r="J13" i="8"/>
  <c r="M13" i="9" s="1"/>
  <c r="P13" i="9" s="1"/>
  <c r="J20" i="8"/>
  <c r="J7" i="8"/>
  <c r="M7" i="9" s="1"/>
  <c r="P7" i="9" s="1"/>
  <c r="J14" i="8"/>
  <c r="M14" i="9" s="1"/>
  <c r="P14" i="9" s="1"/>
  <c r="G3" i="6"/>
  <c r="G14" i="1"/>
  <c r="G3" i="1"/>
  <c r="G6" i="6"/>
  <c r="G4" i="1"/>
  <c r="G8" i="1"/>
  <c r="G12" i="1"/>
  <c r="G16" i="1"/>
  <c r="G20" i="1"/>
  <c r="G7" i="1"/>
  <c r="G15" i="1"/>
  <c r="G5" i="1"/>
  <c r="G9" i="1"/>
  <c r="G13" i="1"/>
  <c r="G17" i="1"/>
  <c r="G18" i="1"/>
  <c r="G11" i="1"/>
  <c r="G19" i="1"/>
  <c r="G6" i="1"/>
  <c r="G10" i="1"/>
  <c r="G7" i="6"/>
  <c r="G4" i="6"/>
  <c r="F8" i="12" l="1"/>
  <c r="F10" i="12" s="1"/>
  <c r="F78" i="2"/>
  <c r="F52" i="10"/>
  <c r="M18" i="8"/>
  <c r="R18" i="9" s="1"/>
  <c r="U18" i="9" s="1"/>
  <c r="M12" i="8"/>
  <c r="R12" i="9" s="1"/>
  <c r="U12" i="9" s="1"/>
  <c r="M6" i="8"/>
  <c r="R6" i="9" s="1"/>
  <c r="U6" i="9" s="1"/>
  <c r="M14" i="8"/>
  <c r="R14" i="9" s="1"/>
  <c r="U14" i="9" s="1"/>
  <c r="M20" i="8"/>
  <c r="M7" i="8"/>
  <c r="R7" i="9" s="1"/>
  <c r="U7" i="9" s="1"/>
  <c r="M4" i="8"/>
  <c r="R4" i="9" s="1"/>
  <c r="U4" i="9" s="1"/>
  <c r="M10" i="8"/>
  <c r="R10" i="9" s="1"/>
  <c r="U10" i="9" s="1"/>
  <c r="M16" i="8"/>
  <c r="R16" i="9" s="1"/>
  <c r="U16" i="9" s="1"/>
  <c r="M15" i="8"/>
  <c r="R15" i="9" s="1"/>
  <c r="U15" i="9" s="1"/>
  <c r="M3" i="8"/>
  <c r="R3" i="9" s="1"/>
  <c r="U3" i="9" s="1"/>
  <c r="M9" i="8"/>
  <c r="R9" i="9" s="1"/>
  <c r="U9" i="9" s="1"/>
  <c r="M5" i="8"/>
  <c r="R5" i="9" s="1"/>
  <c r="M8" i="8"/>
  <c r="R8" i="9" s="1"/>
  <c r="U8" i="9" s="1"/>
  <c r="M11" i="8"/>
  <c r="R11" i="9" s="1"/>
  <c r="U11" i="9" s="1"/>
  <c r="M13" i="8"/>
  <c r="R13" i="9" s="1"/>
  <c r="U13" i="9" s="1"/>
  <c r="M19" i="8"/>
  <c r="R19" i="9" s="1"/>
  <c r="U19" i="9" s="1"/>
  <c r="M17" i="8"/>
  <c r="R17" i="9" s="1"/>
  <c r="U17" i="9" s="1"/>
  <c r="J4" i="8"/>
  <c r="M4" i="9" s="1"/>
  <c r="P4" i="9" s="1"/>
  <c r="J16" i="8"/>
  <c r="M16" i="9" s="1"/>
  <c r="P16" i="9" s="1"/>
  <c r="J9" i="8"/>
  <c r="M9" i="9" s="1"/>
  <c r="P9" i="9" s="1"/>
  <c r="J10" i="8"/>
  <c r="M10" i="9" s="1"/>
  <c r="P10" i="9" s="1"/>
  <c r="J11" i="8"/>
  <c r="M11" i="9" s="1"/>
  <c r="P11" i="9" s="1"/>
  <c r="J17" i="8"/>
  <c r="M17" i="9" s="1"/>
  <c r="P17" i="9" s="1"/>
  <c r="J3" i="8"/>
  <c r="M3" i="9" s="1"/>
  <c r="P3" i="9" s="1"/>
  <c r="I3" i="6"/>
  <c r="J15" i="8"/>
  <c r="M15" i="9" s="1"/>
  <c r="P15" i="9" s="1"/>
  <c r="J6" i="8"/>
  <c r="M6" i="9" s="1"/>
  <c r="P6" i="9" s="1"/>
  <c r="J18" i="8"/>
  <c r="M18" i="9" s="1"/>
  <c r="P18" i="9" s="1"/>
  <c r="J19" i="8"/>
  <c r="M19" i="9" s="1"/>
  <c r="P19" i="9" s="1"/>
  <c r="J5" i="8"/>
  <c r="M5" i="9" s="1"/>
  <c r="P5" i="9" s="1"/>
  <c r="J8" i="8"/>
  <c r="M8" i="9" s="1"/>
  <c r="P8" i="9" s="1"/>
  <c r="U5" i="9"/>
  <c r="Z20" i="9"/>
  <c r="Z21" i="9" s="1"/>
  <c r="K5" i="6"/>
  <c r="L3" i="6"/>
  <c r="N5" i="6"/>
  <c r="O3" i="6"/>
  <c r="H5" i="6"/>
  <c r="H6" i="6" s="1"/>
  <c r="G5" i="6"/>
  <c r="G11" i="6" s="1"/>
  <c r="F11" i="12" l="1"/>
  <c r="F14" i="12" s="1"/>
  <c r="F18" i="12" s="1"/>
  <c r="F19" i="12" s="1"/>
  <c r="F20" i="12" s="1"/>
  <c r="F22" i="12" s="1"/>
  <c r="F23" i="12" s="1"/>
  <c r="F88" i="2"/>
  <c r="F102" i="2"/>
  <c r="F90" i="2"/>
  <c r="F98" i="2"/>
  <c r="F99" i="2"/>
  <c r="F93" i="2"/>
  <c r="F94" i="2"/>
  <c r="F85" i="2"/>
  <c r="F95" i="2"/>
  <c r="F84" i="2"/>
  <c r="F89" i="2"/>
  <c r="F86" i="2"/>
  <c r="F96" i="2"/>
  <c r="F100" i="2"/>
  <c r="F91" i="2"/>
  <c r="F92" i="2"/>
  <c r="F101" i="2"/>
  <c r="F97" i="2"/>
  <c r="F87" i="2"/>
  <c r="F83" i="2"/>
  <c r="P20" i="9"/>
  <c r="P21" i="9" s="1"/>
  <c r="U20" i="9"/>
  <c r="U21" i="9" s="1"/>
  <c r="I5" i="6"/>
  <c r="I11" i="6" s="1"/>
  <c r="J3" i="6"/>
  <c r="J5" i="6" s="1"/>
  <c r="J11" i="6" s="1"/>
  <c r="L5" i="6"/>
  <c r="L11" i="6" s="1"/>
  <c r="M3" i="6"/>
  <c r="M5" i="6" s="1"/>
  <c r="M11" i="6" s="1"/>
  <c r="K6" i="6"/>
  <c r="K11" i="6"/>
  <c r="N6" i="6"/>
  <c r="N7" i="6" s="1"/>
  <c r="N11" i="6"/>
  <c r="O5" i="6"/>
  <c r="O11" i="6" s="1"/>
  <c r="P3" i="6"/>
  <c r="P5" i="6" s="1"/>
  <c r="P11" i="6" s="1"/>
  <c r="H7" i="6"/>
  <c r="H11" i="6"/>
  <c r="F103" i="2" l="1"/>
  <c r="K7" i="6"/>
  <c r="L6" i="6"/>
  <c r="M6" i="6" s="1"/>
  <c r="O6" i="6"/>
  <c r="P6" i="6" s="1"/>
  <c r="N8" i="6"/>
  <c r="O7" i="6"/>
  <c r="I6" i="6"/>
  <c r="J6" i="6" s="1"/>
  <c r="L7" i="6" l="1"/>
  <c r="K8" i="6"/>
  <c r="O8" i="6"/>
  <c r="P7" i="6"/>
  <c r="H8" i="6"/>
  <c r="I7" i="6"/>
  <c r="P12" i="6" l="1"/>
  <c r="L8" i="6"/>
  <c r="M7" i="6"/>
  <c r="I8" i="6"/>
  <c r="J7" i="6"/>
  <c r="C26" i="3" l="1"/>
  <c r="D20" i="2"/>
  <c r="C20" i="2"/>
  <c r="C12" i="2"/>
  <c r="D10" i="2"/>
  <c r="C10" i="2"/>
  <c r="G9" i="2"/>
  <c r="G8" i="2"/>
  <c r="G7" i="2"/>
  <c r="G6" i="2"/>
  <c r="G5" i="2"/>
  <c r="G4" i="2"/>
  <c r="G3" i="2"/>
  <c r="G10" i="2" l="1"/>
  <c r="C21" i="3"/>
  <c r="C24" i="3"/>
  <c r="C23" i="3"/>
  <c r="C22" i="3"/>
  <c r="D13" i="6"/>
  <c r="D4" i="1" l="1"/>
  <c r="D8" i="1"/>
  <c r="D12" i="1"/>
  <c r="D16" i="1"/>
  <c r="D3" i="1"/>
  <c r="D5" i="1"/>
  <c r="D9" i="1"/>
  <c r="D13" i="1"/>
  <c r="D17" i="1"/>
  <c r="D6" i="1"/>
  <c r="D10" i="1"/>
  <c r="D14" i="1"/>
  <c r="D18" i="1"/>
  <c r="D7" i="1"/>
  <c r="D11" i="1"/>
  <c r="D15" i="1"/>
  <c r="D19" i="1"/>
  <c r="D20" i="1"/>
  <c r="D3" i="6"/>
  <c r="D7" i="6"/>
  <c r="D4" i="6"/>
  <c r="D6" i="6"/>
  <c r="D5" i="6" l="1"/>
  <c r="D11" i="6" s="1"/>
</calcChain>
</file>

<file path=xl/sharedStrings.xml><?xml version="1.0" encoding="utf-8"?>
<sst xmlns="http://schemas.openxmlformats.org/spreadsheetml/2006/main" count="867" uniqueCount="184">
  <si>
    <t>نفت گاز</t>
  </si>
  <si>
    <t>-</t>
  </si>
  <si>
    <t>بنزین</t>
  </si>
  <si>
    <t>نفت کوره</t>
  </si>
  <si>
    <t>وکیوم باتوم</t>
  </si>
  <si>
    <t>روغن خام</t>
  </si>
  <si>
    <t>گاز مایع /پروپان</t>
  </si>
  <si>
    <t>نفت سفید</t>
  </si>
  <si>
    <t>سوخت سنگین جت (ATK)</t>
  </si>
  <si>
    <t>حلالها</t>
  </si>
  <si>
    <t>هیدرو کربورهای بدون شاخه</t>
  </si>
  <si>
    <t>نفتا</t>
  </si>
  <si>
    <t>آیزوریسایکل</t>
  </si>
  <si>
    <t>سوخت سبک جت (JP4)</t>
  </si>
  <si>
    <t>گوگرد</t>
  </si>
  <si>
    <t>هیدروژن</t>
  </si>
  <si>
    <t>مخلوط آوماتیک های سبک</t>
  </si>
  <si>
    <t>سایر</t>
  </si>
  <si>
    <t>سال 97</t>
  </si>
  <si>
    <t>مقدار فروش (متر مکعب)</t>
  </si>
  <si>
    <t>مبلغ فروش (میلیون ریال)</t>
  </si>
  <si>
    <t>%</t>
  </si>
  <si>
    <t>کل</t>
  </si>
  <si>
    <t xml:space="preserve">مقدار فروش (بشکه) </t>
  </si>
  <si>
    <t>نرخ فروش (دلار/ بشکه)</t>
  </si>
  <si>
    <t>ضریب بنزین</t>
  </si>
  <si>
    <t>ضریب نفت گاز</t>
  </si>
  <si>
    <t>ضریب نفت کوره</t>
  </si>
  <si>
    <t>ضریب نفت سفید</t>
  </si>
  <si>
    <t>ضریب نفتا</t>
  </si>
  <si>
    <t>گاز مایع</t>
  </si>
  <si>
    <t>نفت</t>
  </si>
  <si>
    <t>بهار 98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</si>
  <si>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</si>
  <si>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</si>
  <si>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</si>
  <si>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</si>
  <si>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سود (زیان) عملیاتی</t>
  </si>
  <si>
    <t>سرمایه</t>
  </si>
  <si>
    <t>ریالی</t>
  </si>
  <si>
    <t>دلاری</t>
  </si>
  <si>
    <t>کرک</t>
  </si>
  <si>
    <t>حاشیه سود ناخالص</t>
  </si>
  <si>
    <t>نرخ نفت</t>
  </si>
  <si>
    <t>نرخ</t>
  </si>
  <si>
    <t>کرک موزون</t>
  </si>
  <si>
    <t>بشکه</t>
  </si>
  <si>
    <t>بهای مواد</t>
  </si>
  <si>
    <t>سود (زیان) خالص هر سهم</t>
  </si>
  <si>
    <t>وزن (ارزش فروش)</t>
  </si>
  <si>
    <t>کرک ناخالص (بدون اثر سربار و دستمزد)</t>
  </si>
  <si>
    <t>نفت فروردین</t>
  </si>
  <si>
    <t>نفت اردیبهشت</t>
  </si>
  <si>
    <t>نفت خرداد</t>
  </si>
  <si>
    <t>ورودی</t>
  </si>
  <si>
    <t>مرحله اول محاسبه</t>
  </si>
  <si>
    <t>کسر 1.5 دلار نفت سبک</t>
  </si>
  <si>
    <t>کسر 5% تخفیف</t>
  </si>
  <si>
    <t>نفت تیر</t>
  </si>
  <si>
    <t>نفت مرداد</t>
  </si>
  <si>
    <t>بهای مواد پایان دوره</t>
  </si>
  <si>
    <t>دلیل اینکه بهای تمام شده هر بشکه کمتر از قیمت هر بشکه نفت خریداری شده است این است که:</t>
  </si>
  <si>
    <t>1)بهای تمام شده می تواند کمتر یا بیشتر از بهای مواد مصرفی باشد</t>
  </si>
  <si>
    <t>2)بهای تمام شده تقسیم بر میزان بشکه فروش  رفته محصولات است نه بشکه نفت مصرفی</t>
  </si>
  <si>
    <t>تابستان 98</t>
  </si>
  <si>
    <t>پاییز 98</t>
  </si>
  <si>
    <t>زمستان 98</t>
  </si>
  <si>
    <t>نفت شهریور</t>
  </si>
  <si>
    <t>نفت مهر</t>
  </si>
  <si>
    <t>نفت آبان</t>
  </si>
  <si>
    <t>نفت آذر</t>
  </si>
  <si>
    <t>نفت دی</t>
  </si>
  <si>
    <t>نفت بهمن</t>
  </si>
  <si>
    <t>نفت اسفند</t>
  </si>
  <si>
    <t>زمستان98</t>
  </si>
  <si>
    <t>پاییز98</t>
  </si>
  <si>
    <t>مقدار مصرف</t>
  </si>
  <si>
    <t>شرح</t>
  </si>
  <si>
    <t>واحد</t>
  </si>
  <si>
    <t>سه ماهه 98</t>
  </si>
  <si>
    <t>کارشناسی نه ماهه 98</t>
  </si>
  <si>
    <t>کارشناسی 1398</t>
  </si>
  <si>
    <t>نفت خام</t>
  </si>
  <si>
    <t>جمع كـل</t>
  </si>
  <si>
    <t>نفت خام سبک </t>
  </si>
  <si>
    <t>MTBE </t>
  </si>
  <si>
    <t>نفتا </t>
  </si>
  <si>
    <t>نسبت مصرف</t>
  </si>
  <si>
    <t>مبلغ مواد مصرفی</t>
  </si>
  <si>
    <t>میلیون ریال</t>
  </si>
  <si>
    <t>نرخ مواد مصرفی</t>
  </si>
  <si>
    <t>ریال</t>
  </si>
  <si>
    <t>میانگین</t>
  </si>
  <si>
    <t>دلار</t>
  </si>
  <si>
    <t>میانگین ها</t>
  </si>
  <si>
    <t>درصد از کل</t>
  </si>
  <si>
    <t>بهای تمام شده</t>
  </si>
  <si>
    <t>سال مالي منتهي به ۱۳۹۷/۱۲/۲۹ (ميليون ريال)</t>
  </si>
  <si>
    <t>دوره ۳ ماهه منتهي به ۱۳۹۸/۰۳/۳۱ (ميليون ريال)</t>
  </si>
  <si>
    <t>سهم مواد مستقیم از هزینه های تولید</t>
  </si>
  <si>
    <t>درصد</t>
  </si>
  <si>
    <t xml:space="preserve">مواد مستقيم مصرفي </t>
  </si>
  <si>
    <t xml:space="preserve">دستمزدمستقيم توليد </t>
  </si>
  <si>
    <t xml:space="preserve">سربارتوليد </t>
  </si>
  <si>
    <t xml:space="preserve">جمع </t>
  </si>
  <si>
    <t xml:space="preserve">هزينه جذب نشده درتوليد </t>
  </si>
  <si>
    <t xml:space="preserve">جمع هزينه هاي توليد </t>
  </si>
  <si>
    <t xml:space="preserve">موجودي كالاي درجريان ساخت اول دوره </t>
  </si>
  <si>
    <t xml:space="preserve">موجودي كالاي درجريان ساخت پايان دوره </t>
  </si>
  <si>
    <t xml:space="preserve">ضايعات غيرعادي </t>
  </si>
  <si>
    <t xml:space="preserve">بهاي تمام شده كالاي توليد شده </t>
  </si>
  <si>
    <t xml:space="preserve">موجودي كالاي ساخته شده اول دوره </t>
  </si>
  <si>
    <t xml:space="preserve">موجودي كالاي ساخته شده پايان دوره </t>
  </si>
  <si>
    <t xml:space="preserve">بهاي تمام شده كالاي فروش رفته </t>
  </si>
  <si>
    <t xml:space="preserve">بهاي تمام شده خدمات ارايه شده </t>
  </si>
  <si>
    <t xml:space="preserve">جمع بهاي تمام شده </t>
  </si>
  <si>
    <t xml:space="preserve">شرح </t>
  </si>
  <si>
    <t>جمع خوراک</t>
  </si>
  <si>
    <t>جمع تولید</t>
  </si>
  <si>
    <t>جمع فروش</t>
  </si>
  <si>
    <t>نسبت تولید به خوراک</t>
  </si>
  <si>
    <t>نسبت فروش به تولید</t>
  </si>
  <si>
    <t>نرخ دلار</t>
  </si>
  <si>
    <t>نام محصول</t>
  </si>
  <si>
    <t>گاز مايع /پروپان</t>
  </si>
  <si>
    <t>متر مکعب</t>
  </si>
  <si>
    <t>سوخت سنگين جت (ATK)</t>
  </si>
  <si>
    <t>وکيوم باتوم</t>
  </si>
  <si>
    <t>بنزين (شامل MTBE و بنزين سوپر )</t>
  </si>
  <si>
    <t>نفت سفيد</t>
  </si>
  <si>
    <t>آيزوريسايکل</t>
  </si>
  <si>
    <t>نفت کوره سبک</t>
  </si>
  <si>
    <t>نفت کوره سنگين</t>
  </si>
  <si>
    <t>هيدروژن</t>
  </si>
  <si>
    <t>مخلوط آوماتيک هاي سبک</t>
  </si>
  <si>
    <t>هيدرو کربورهاي بدون شاخه</t>
  </si>
  <si>
    <t>تن</t>
  </si>
  <si>
    <t>نفتاي سبک و سنگين</t>
  </si>
  <si>
    <t>آيزوفيد</t>
  </si>
  <si>
    <t>جمع</t>
  </si>
  <si>
    <t>مترمکعب</t>
  </si>
  <si>
    <t>مقدار/تعداد تولید3 ماهه98</t>
  </si>
  <si>
    <t>سال97</t>
  </si>
  <si>
    <t>9ماهه 98</t>
  </si>
  <si>
    <t>کارشناسی98</t>
  </si>
  <si>
    <t>مقدار تولید(متر مکعب)</t>
  </si>
  <si>
    <t>مقدار تولید( بشکه)</t>
  </si>
  <si>
    <t>سهم از مقدارتولید</t>
  </si>
  <si>
    <t>واقعی</t>
  </si>
  <si>
    <t>دوره منتهی به </t>
  </si>
  <si>
    <t>۱۳۹۸/۰۳/۳۱</t>
  </si>
  <si>
    <t>۱۳۹۷/۰۳/۳۱</t>
  </si>
  <si>
    <t>سال مالی منتهی به</t>
  </si>
  <si>
    <t>۱۳۹۷/۱۲/۲۹</t>
  </si>
  <si>
    <t>دوره منتهی به</t>
  </si>
  <si>
    <t>هزینه‌های فروش، اداری و عمومی</t>
  </si>
  <si>
    <t>سایر درآمدهای عملیاتی</t>
  </si>
  <si>
    <t>سایر هزینه‌های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</si>
  <si>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</si>
  <si>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</si>
  <si>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</si>
  <si>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</si>
  <si>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</si>
  <si>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عملیات در حال تداوم</t>
  </si>
  <si>
    <t>سود (زیان) عملیات متوقف ‌شده پس از اثر مالیاتی</t>
  </si>
  <si>
    <t>سود (زیان) خالص هر سهم– ریال</t>
  </si>
  <si>
    <t>مصرف نفت خام 12 ماهه</t>
  </si>
  <si>
    <t>نرخ نفت خام 9 ماهه</t>
  </si>
  <si>
    <t>$/BBL</t>
  </si>
  <si>
    <t>نرخ دلار 9 ماهه</t>
  </si>
  <si>
    <t>تغییرات کرک اسپرد</t>
  </si>
  <si>
    <t>eps</t>
  </si>
  <si>
    <t>crack Spread نه ماهه</t>
  </si>
  <si>
    <t>محصولات اصلی</t>
  </si>
  <si>
    <t>محصولات ویژه</t>
  </si>
  <si>
    <t>سهم از تولید</t>
  </si>
  <si>
    <t>و فروش</t>
  </si>
  <si>
    <t>نرخ الان</t>
  </si>
  <si>
    <t>سال</t>
  </si>
  <si>
    <t>سال98</t>
  </si>
  <si>
    <t>P/E</t>
  </si>
  <si>
    <t>قیمت کنونی سهم</t>
  </si>
  <si>
    <t>قیمت نفت(با 5درصد تخفیف)</t>
  </si>
  <si>
    <t>کارشناسی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</si>
</sst>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,##0.000000"/>
    <numFmt numFmtId="165" formatCode="[$-3000401]#,##0"/>
    <numFmt numFmtId="166" formatCode="0.000"/>
    <numFmt numFmtId="167" formatCode="0.0"/>
    <numFmt numFmtId="168" formatCode="0.0%"/>
    <numFmt numFmtId="169" formatCode="[$-3000401]#,##0.0"/>
    <numFmt numFmtId="170" formatCode="_(* #,##0_);_(* \(#,##0\);_(* &quot;-&quot;??_);_(@_)"/>
    <numFmt numFmtId="171" formatCode="[$-3000401]0"/>
    <numFmt numFmtId="172" formatCode="#,##0.0"/>
    <numFmt numFmtId="178" formatCode="[$-3000401]#,##0.000"/>
  </numFmts>
  <fonts count="31" x14ac:knownFonts="1">
    <font>
      <sz val="11"/>
      <color rgb="FF333333"/>
      <name val="Calibri"/>
    </font>
    <font>
      <sz val="11"/>
      <color rgb="FF333333"/>
      <name val="Calibri"/>
      <family val="2"/>
    </font>
    <font>
      <sz val="11"/>
      <color rgb="FF333333"/>
      <name val="B Zar"/>
      <charset val="178"/>
    </font>
    <font>
      <b/>
      <sz val="11"/>
      <color rgb="FF333333"/>
      <name val="B Zar"/>
      <charset val="178"/>
    </font>
    <font>
      <b/>
      <sz val="11"/>
      <color theme="0"/>
      <name val="B Zar"/>
      <charset val="178"/>
    </font>
    <font>
      <b/>
      <sz val="12"/>
      <color theme="0"/>
      <name val="B Zar"/>
      <charset val="178"/>
    </font>
    <font>
      <sz val="12"/>
      <color rgb="FF555555"/>
      <name val="B Zar"/>
      <charset val="178"/>
    </font>
    <font>
      <sz val="12"/>
      <color rgb="FF000000"/>
      <name val="B Zar"/>
      <charset val="178"/>
    </font>
    <font>
      <b/>
      <sz val="12"/>
      <color rgb="FF555555"/>
      <name val="B Zar"/>
      <charset val="178"/>
    </font>
    <font>
      <b/>
      <sz val="12"/>
      <color theme="1"/>
      <name val="B Zar"/>
      <charset val="178"/>
    </font>
    <font>
      <sz val="12"/>
      <color theme="1"/>
      <name val="B Zar"/>
      <charset val="178"/>
    </font>
    <font>
      <b/>
      <sz val="11"/>
      <color theme="0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b/>
      <sz val="12"/>
      <color theme="1"/>
      <name val="B Mitra"/>
      <charset val="178"/>
    </font>
    <font>
      <b/>
      <sz val="9"/>
      <color rgb="FFFFFFFF"/>
      <name val="Tahoma"/>
      <family val="2"/>
    </font>
    <font>
      <b/>
      <sz val="12"/>
      <color rgb="FFFFFFFF"/>
      <name val="B Mitra"/>
      <charset val="178"/>
    </font>
    <font>
      <sz val="9"/>
      <color rgb="FF055274"/>
      <name val="Tahoma"/>
      <family val="2"/>
    </font>
    <font>
      <sz val="8"/>
      <color rgb="FF333333"/>
      <name val="Tahoma"/>
      <family val="2"/>
    </font>
    <font>
      <sz val="7"/>
      <color rgb="FF055274"/>
      <name val="Tahoma"/>
      <family val="2"/>
    </font>
    <font>
      <sz val="7"/>
      <color rgb="FF000000"/>
      <name val="Tahoma"/>
      <family val="2"/>
    </font>
    <font>
      <sz val="7"/>
      <color rgb="FF555555"/>
      <name val="Tahoma"/>
      <family val="2"/>
    </font>
    <font>
      <sz val="11"/>
      <color rgb="FF7030A0"/>
      <name val="Calibri"/>
      <family val="2"/>
    </font>
    <font>
      <sz val="12.1"/>
      <color rgb="FFFFFFFF"/>
      <name val="Tahoma"/>
      <family val="2"/>
    </font>
    <font>
      <sz val="8"/>
      <color rgb="FF006400"/>
      <name val="Tahoma"/>
      <family val="2"/>
    </font>
    <font>
      <b/>
      <sz val="8"/>
      <color rgb="FF555555"/>
      <name val="Tahoma"/>
      <family val="2"/>
    </font>
    <font>
      <sz val="8"/>
      <color rgb="FF555555"/>
      <name val="Tahoma"/>
      <family val="2"/>
    </font>
    <font>
      <sz val="8"/>
      <color rgb="FFFF0000"/>
      <name val="Tahoma"/>
      <family val="2"/>
    </font>
    <font>
      <sz val="8"/>
      <color rgb="FF000000"/>
      <name val="Tahoma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EC8"/>
        <bgColor indexed="64"/>
      </patternFill>
    </fill>
    <fill>
      <patternFill patternType="solid">
        <fgColor rgb="FF9ED9EB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auto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medium">
        <color rgb="FF1C6EA4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1C6EA4"/>
      </left>
      <right style="medium">
        <color rgb="FF1C6EA4"/>
      </right>
      <top style="medium">
        <color rgb="FF1C6EA4"/>
      </top>
      <bottom style="medium">
        <color rgb="FF1C6EA4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1C6EA4"/>
      </bottom>
      <diagonal/>
    </border>
    <border>
      <left/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theme="0"/>
      </bottom>
      <diagonal/>
    </border>
    <border>
      <left style="medium">
        <color rgb="FFFFFFFF"/>
      </left>
      <right style="medium">
        <color rgb="FFCCCCCC"/>
      </right>
      <top style="medium">
        <color rgb="FFCCCCCC"/>
      </top>
      <bottom/>
      <diagonal/>
    </border>
    <border>
      <left style="medium">
        <color rgb="FFFFFFFF"/>
      </left>
      <right style="medium">
        <color rgb="FFCCCCCC"/>
      </right>
      <top/>
      <bottom/>
      <diagonal/>
    </border>
    <border>
      <left style="medium">
        <color rgb="FFFFFFFF"/>
      </left>
      <right style="medium">
        <color rgb="FFCCCCCC"/>
      </right>
      <top/>
      <bottom style="medium">
        <color rgb="FFFFFFFF"/>
      </bottom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D3D3D3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D3D3D3"/>
      </right>
      <top/>
      <bottom style="medium">
        <color rgb="FFD3D3D3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rgb="FFBBBBB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/>
    <xf numFmtId="3" fontId="3" fillId="2" borderId="6" xfId="0" applyNumberFormat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9" fontId="3" fillId="3" borderId="10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center" vertical="center"/>
    </xf>
    <xf numFmtId="9" fontId="4" fillId="4" borderId="10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center" vertical="center"/>
    </xf>
    <xf numFmtId="9" fontId="3" fillId="3" borderId="7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center" vertical="center"/>
    </xf>
    <xf numFmtId="0" fontId="0" fillId="2" borderId="9" xfId="0" applyFill="1" applyBorder="1"/>
    <xf numFmtId="9" fontId="3" fillId="3" borderId="6" xfId="1" applyFont="1" applyFill="1" applyBorder="1" applyAlignment="1">
      <alignment horizontal="center" vertical="center"/>
    </xf>
    <xf numFmtId="9" fontId="3" fillId="2" borderId="6" xfId="1" applyFont="1" applyFill="1" applyBorder="1" applyAlignment="1">
      <alignment horizontal="center" vertical="center"/>
    </xf>
    <xf numFmtId="0" fontId="2" fillId="2" borderId="9" xfId="0" applyFont="1" applyFill="1" applyBorder="1"/>
    <xf numFmtId="0" fontId="6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4" fillId="4" borderId="0" xfId="0" applyFont="1" applyFill="1"/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3" fontId="4" fillId="4" borderId="30" xfId="0" applyNumberFormat="1" applyFont="1" applyFill="1" applyBorder="1" applyAlignment="1">
      <alignment horizontal="center"/>
    </xf>
    <xf numFmtId="3" fontId="4" fillId="4" borderId="33" xfId="0" applyNumberFormat="1" applyFont="1" applyFill="1" applyBorder="1" applyAlignment="1">
      <alignment horizont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3" fontId="4" fillId="4" borderId="35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/>
    </xf>
    <xf numFmtId="3" fontId="4" fillId="4" borderId="22" xfId="0" applyNumberFormat="1" applyFont="1" applyFill="1" applyBorder="1" applyAlignment="1">
      <alignment horizontal="center" vertical="center"/>
    </xf>
    <xf numFmtId="168" fontId="3" fillId="2" borderId="7" xfId="1" applyNumberFormat="1" applyFont="1" applyFill="1" applyBorder="1" applyAlignment="1">
      <alignment horizontal="center" vertical="center"/>
    </xf>
    <xf numFmtId="9" fontId="3" fillId="2" borderId="7" xfId="1" applyNumberFormat="1" applyFont="1" applyFill="1" applyBorder="1" applyAlignment="1">
      <alignment horizontal="center" vertical="center"/>
    </xf>
    <xf numFmtId="10" fontId="3" fillId="2" borderId="7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4" borderId="2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165" fontId="9" fillId="6" borderId="6" xfId="0" applyNumberFormat="1" applyFont="1" applyFill="1" applyBorder="1" applyAlignment="1">
      <alignment horizontal="center" vertical="center" wrapText="1"/>
    </xf>
    <xf numFmtId="167" fontId="9" fillId="6" borderId="11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165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169" fontId="9" fillId="6" borderId="6" xfId="0" applyNumberFormat="1" applyFont="1" applyFill="1" applyBorder="1" applyAlignment="1">
      <alignment horizontal="center" vertical="center" wrapText="1"/>
    </xf>
    <xf numFmtId="2" fontId="9" fillId="6" borderId="11" xfId="0" applyNumberFormat="1" applyFont="1" applyFill="1" applyBorder="1" applyAlignment="1">
      <alignment horizontal="center"/>
    </xf>
    <xf numFmtId="168" fontId="4" fillId="4" borderId="21" xfId="1" applyNumberFormat="1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right"/>
    </xf>
    <xf numFmtId="0" fontId="11" fillId="4" borderId="0" xfId="0" applyFont="1" applyFill="1"/>
    <xf numFmtId="0" fontId="4" fillId="4" borderId="1" xfId="0" applyFont="1" applyFill="1" applyBorder="1" applyAlignment="1">
      <alignment horizontal="right" readingOrder="2"/>
    </xf>
    <xf numFmtId="165" fontId="9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/>
    <xf numFmtId="0" fontId="15" fillId="5" borderId="38" xfId="0" applyFont="1" applyFill="1" applyBorder="1" applyAlignment="1"/>
    <xf numFmtId="0" fontId="15" fillId="5" borderId="39" xfId="0" applyFont="1" applyFill="1" applyBorder="1" applyAlignment="1"/>
    <xf numFmtId="0" fontId="16" fillId="5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/>
    </xf>
    <xf numFmtId="0" fontId="17" fillId="7" borderId="40" xfId="0" applyFont="1" applyFill="1" applyBorder="1" applyAlignment="1">
      <alignment horizontal="center"/>
    </xf>
    <xf numFmtId="165" fontId="17" fillId="8" borderId="40" xfId="0" applyNumberFormat="1" applyFont="1" applyFill="1" applyBorder="1" applyAlignment="1">
      <alignment horizontal="center"/>
    </xf>
    <xf numFmtId="0" fontId="19" fillId="7" borderId="43" xfId="0" applyFont="1" applyFill="1" applyBorder="1" applyAlignment="1">
      <alignment horizontal="center" vertical="center" wrapText="1"/>
    </xf>
    <xf numFmtId="0" fontId="19" fillId="0" borderId="0" xfId="0" applyFont="1"/>
    <xf numFmtId="9" fontId="17" fillId="7" borderId="40" xfId="1" applyFont="1" applyFill="1" applyBorder="1" applyAlignment="1">
      <alignment horizontal="center"/>
    </xf>
    <xf numFmtId="9" fontId="17" fillId="8" borderId="40" xfId="1" applyFont="1" applyFill="1" applyBorder="1" applyAlignment="1">
      <alignment horizontal="center"/>
    </xf>
    <xf numFmtId="1" fontId="17" fillId="8" borderId="40" xfId="0" applyNumberFormat="1" applyFont="1" applyFill="1" applyBorder="1" applyAlignment="1">
      <alignment horizontal="center"/>
    </xf>
    <xf numFmtId="170" fontId="0" fillId="0" borderId="0" xfId="2" applyNumberFormat="1" applyFont="1" applyAlignment="1"/>
    <xf numFmtId="170" fontId="16" fillId="5" borderId="40" xfId="2" applyNumberFormat="1" applyFont="1" applyFill="1" applyBorder="1" applyAlignment="1">
      <alignment horizontal="center" vertical="center"/>
    </xf>
    <xf numFmtId="170" fontId="16" fillId="5" borderId="40" xfId="2" applyNumberFormat="1" applyFont="1" applyFill="1" applyBorder="1" applyAlignment="1">
      <alignment horizontal="center" vertical="center" wrapText="1"/>
    </xf>
    <xf numFmtId="170" fontId="17" fillId="7" borderId="40" xfId="2" applyNumberFormat="1" applyFont="1" applyFill="1" applyBorder="1" applyAlignment="1">
      <alignment horizontal="center"/>
    </xf>
    <xf numFmtId="170" fontId="17" fillId="8" borderId="40" xfId="2" applyNumberFormat="1" applyFont="1" applyFill="1" applyBorder="1" applyAlignment="1">
      <alignment horizontal="center"/>
    </xf>
    <xf numFmtId="170" fontId="19" fillId="7" borderId="43" xfId="2" applyNumberFormat="1" applyFont="1" applyFill="1" applyBorder="1" applyAlignment="1">
      <alignment horizontal="center" vertical="center" wrapText="1"/>
    </xf>
    <xf numFmtId="170" fontId="0" fillId="0" borderId="0" xfId="2" applyNumberFormat="1" applyFont="1"/>
    <xf numFmtId="0" fontId="16" fillId="5" borderId="40" xfId="2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165" fontId="17" fillId="8" borderId="44" xfId="0" applyNumberFormat="1" applyFont="1" applyFill="1" applyBorder="1" applyAlignment="1">
      <alignment horizontal="center" wrapText="1"/>
    </xf>
    <xf numFmtId="165" fontId="17" fillId="7" borderId="44" xfId="0" applyNumberFormat="1" applyFont="1" applyFill="1" applyBorder="1" applyAlignment="1">
      <alignment horizontal="center" wrapText="1"/>
    </xf>
    <xf numFmtId="171" fontId="17" fillId="8" borderId="44" xfId="0" applyNumberFormat="1" applyFont="1" applyFill="1" applyBorder="1" applyAlignment="1">
      <alignment horizontal="center" wrapText="1"/>
    </xf>
    <xf numFmtId="171" fontId="17" fillId="7" borderId="44" xfId="0" applyNumberFormat="1" applyFont="1" applyFill="1" applyBorder="1" applyAlignment="1">
      <alignment horizontal="center" wrapText="1"/>
    </xf>
    <xf numFmtId="165" fontId="17" fillId="8" borderId="45" xfId="0" applyNumberFormat="1" applyFont="1" applyFill="1" applyBorder="1" applyAlignment="1">
      <alignment horizontal="center" wrapText="1"/>
    </xf>
    <xf numFmtId="0" fontId="17" fillId="8" borderId="42" xfId="0" applyFont="1" applyFill="1" applyBorder="1" applyAlignment="1">
      <alignment horizontal="center" wrapText="1"/>
    </xf>
    <xf numFmtId="9" fontId="17" fillId="8" borderId="46" xfId="1" applyFont="1" applyFill="1" applyBorder="1" applyAlignment="1">
      <alignment horizontal="center" wrapText="1"/>
    </xf>
    <xf numFmtId="9" fontId="17" fillId="8" borderId="46" xfId="1" applyNumberFormat="1" applyFont="1" applyFill="1" applyBorder="1" applyAlignment="1">
      <alignment horizontal="center" wrapText="1"/>
    </xf>
    <xf numFmtId="9" fontId="19" fillId="7" borderId="43" xfId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165" fontId="17" fillId="8" borderId="40" xfId="0" applyNumberFormat="1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171" fontId="17" fillId="7" borderId="40" xfId="0" applyNumberFormat="1" applyFont="1" applyFill="1" applyBorder="1" applyAlignment="1">
      <alignment horizontal="center" vertical="center" wrapText="1"/>
    </xf>
    <xf numFmtId="168" fontId="17" fillId="7" borderId="40" xfId="1" applyNumberFormat="1" applyFont="1" applyFill="1" applyBorder="1" applyAlignment="1">
      <alignment horizontal="center" vertical="center" wrapText="1"/>
    </xf>
    <xf numFmtId="9" fontId="17" fillId="8" borderId="40" xfId="1" applyFont="1" applyFill="1" applyBorder="1" applyAlignment="1">
      <alignment horizontal="center" vertical="center" wrapText="1"/>
    </xf>
    <xf numFmtId="171" fontId="17" fillId="7" borderId="40" xfId="0" applyNumberFormat="1" applyFont="1" applyFill="1" applyBorder="1" applyAlignment="1">
      <alignment horizontal="center" wrapText="1"/>
    </xf>
    <xf numFmtId="0" fontId="21" fillId="12" borderId="40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vertical="center" wrapText="1"/>
    </xf>
    <xf numFmtId="165" fontId="17" fillId="8" borderId="40" xfId="0" applyNumberFormat="1" applyFont="1" applyFill="1" applyBorder="1" applyAlignment="1">
      <alignment horizontal="center" wrapText="1"/>
    </xf>
    <xf numFmtId="165" fontId="17" fillId="7" borderId="40" xfId="0" applyNumberFormat="1" applyFont="1" applyFill="1" applyBorder="1" applyAlignment="1">
      <alignment horizontal="center" wrapText="1"/>
    </xf>
    <xf numFmtId="165" fontId="21" fillId="12" borderId="4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22" fillId="9" borderId="0" xfId="0" applyFont="1" applyFill="1"/>
    <xf numFmtId="0" fontId="14" fillId="9" borderId="0" xfId="0" applyFont="1" applyFill="1" applyAlignment="1">
      <alignment vertical="center"/>
    </xf>
    <xf numFmtId="9" fontId="17" fillId="8" borderId="40" xfId="1" applyFont="1" applyFill="1" applyBorder="1" applyAlignment="1">
      <alignment horizontal="center" wrapText="1"/>
    </xf>
    <xf numFmtId="9" fontId="21" fillId="12" borderId="40" xfId="1" applyFont="1" applyFill="1" applyBorder="1" applyAlignment="1">
      <alignment horizontal="center" vertical="center" wrapText="1"/>
    </xf>
    <xf numFmtId="9" fontId="17" fillId="7" borderId="40" xfId="1" applyFont="1" applyFill="1" applyBorder="1" applyAlignment="1">
      <alignment horizontal="center" wrapText="1"/>
    </xf>
    <xf numFmtId="0" fontId="23" fillId="11" borderId="51" xfId="0" applyFont="1" applyFill="1" applyBorder="1" applyAlignment="1">
      <alignment horizontal="center" vertical="center" wrapText="1"/>
    </xf>
    <xf numFmtId="0" fontId="23" fillId="11" borderId="52" xfId="0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horizontal="center" vertical="center" wrapText="1"/>
    </xf>
    <xf numFmtId="0" fontId="24" fillId="10" borderId="54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center" vertical="center" wrapText="1"/>
    </xf>
    <xf numFmtId="165" fontId="18" fillId="10" borderId="54" xfId="0" applyNumberFormat="1" applyFont="1" applyFill="1" applyBorder="1" applyAlignment="1">
      <alignment horizontal="center" vertical="center" wrapText="1"/>
    </xf>
    <xf numFmtId="165" fontId="27" fillId="10" borderId="54" xfId="0" applyNumberFormat="1" applyFont="1" applyFill="1" applyBorder="1" applyAlignment="1">
      <alignment horizontal="center" vertical="center" wrapText="1"/>
    </xf>
    <xf numFmtId="165" fontId="18" fillId="14" borderId="54" xfId="0" applyNumberFormat="1" applyFont="1" applyFill="1" applyBorder="1" applyAlignment="1">
      <alignment horizontal="center" vertical="center" wrapText="1"/>
    </xf>
    <xf numFmtId="171" fontId="18" fillId="10" borderId="54" xfId="0" applyNumberFormat="1" applyFont="1" applyFill="1" applyBorder="1" applyAlignment="1">
      <alignment horizontal="center" vertical="center" wrapText="1"/>
    </xf>
    <xf numFmtId="171" fontId="18" fillId="14" borderId="54" xfId="0" applyNumberFormat="1" applyFont="1" applyFill="1" applyBorder="1" applyAlignment="1">
      <alignment horizontal="center" vertical="center" wrapText="1"/>
    </xf>
    <xf numFmtId="0" fontId="24" fillId="13" borderId="55" xfId="0" applyFont="1" applyFill="1" applyBorder="1" applyAlignment="1">
      <alignment horizontal="justify" vertical="center" wrapText="1"/>
    </xf>
    <xf numFmtId="0" fontId="24" fillId="10" borderId="56" xfId="0" applyFont="1" applyFill="1" applyBorder="1" applyAlignment="1">
      <alignment horizontal="center" vertical="center" wrapText="1"/>
    </xf>
    <xf numFmtId="0" fontId="25" fillId="13" borderId="55" xfId="0" applyFont="1" applyFill="1" applyBorder="1" applyAlignment="1">
      <alignment horizontal="justify" vertical="center" wrapText="1"/>
    </xf>
    <xf numFmtId="0" fontId="18" fillId="10" borderId="56" xfId="0" applyFont="1" applyFill="1" applyBorder="1" applyAlignment="1">
      <alignment horizontal="center" vertical="center" wrapText="1"/>
    </xf>
    <xf numFmtId="0" fontId="26" fillId="13" borderId="55" xfId="0" applyFont="1" applyFill="1" applyBorder="1" applyAlignment="1">
      <alignment horizontal="justify" vertical="center" wrapText="1"/>
    </xf>
    <xf numFmtId="165" fontId="18" fillId="10" borderId="56" xfId="0" applyNumberFormat="1" applyFont="1" applyFill="1" applyBorder="1" applyAlignment="1">
      <alignment horizontal="center" vertical="center" wrapText="1"/>
    </xf>
    <xf numFmtId="165" fontId="27" fillId="10" borderId="56" xfId="0" applyNumberFormat="1" applyFont="1" applyFill="1" applyBorder="1" applyAlignment="1">
      <alignment horizontal="center" vertical="center" wrapText="1"/>
    </xf>
    <xf numFmtId="0" fontId="26" fillId="14" borderId="55" xfId="0" applyFont="1" applyFill="1" applyBorder="1" applyAlignment="1">
      <alignment horizontal="justify" vertical="center" wrapText="1"/>
    </xf>
    <xf numFmtId="165" fontId="18" fillId="14" borderId="56" xfId="0" applyNumberFormat="1" applyFont="1" applyFill="1" applyBorder="1" applyAlignment="1">
      <alignment horizontal="center" vertical="center" wrapText="1"/>
    </xf>
    <xf numFmtId="171" fontId="18" fillId="10" borderId="56" xfId="0" applyNumberFormat="1" applyFont="1" applyFill="1" applyBorder="1" applyAlignment="1">
      <alignment horizontal="center" vertical="center" wrapText="1"/>
    </xf>
    <xf numFmtId="0" fontId="28" fillId="15" borderId="57" xfId="0" applyFont="1" applyFill="1" applyBorder="1" applyAlignment="1">
      <alignment horizontal="justify" vertical="center" wrapText="1"/>
    </xf>
    <xf numFmtId="165" fontId="18" fillId="14" borderId="58" xfId="0" applyNumberFormat="1" applyFont="1" applyFill="1" applyBorder="1" applyAlignment="1">
      <alignment horizontal="center" vertical="center" wrapText="1"/>
    </xf>
    <xf numFmtId="165" fontId="18" fillId="14" borderId="59" xfId="0" applyNumberFormat="1" applyFont="1" applyFill="1" applyBorder="1" applyAlignment="1">
      <alignment horizontal="center" vertical="center" wrapText="1"/>
    </xf>
    <xf numFmtId="0" fontId="13" fillId="0" borderId="60" xfId="0" applyFont="1" applyBorder="1"/>
    <xf numFmtId="0" fontId="13" fillId="16" borderId="60" xfId="0" applyFont="1" applyFill="1" applyBorder="1"/>
    <xf numFmtId="1" fontId="0" fillId="0" borderId="0" xfId="0" applyNumberFormat="1"/>
    <xf numFmtId="9" fontId="13" fillId="16" borderId="60" xfId="1" applyNumberFormat="1" applyFont="1" applyFill="1" applyBorder="1"/>
    <xf numFmtId="0" fontId="4" fillId="4" borderId="23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9" fontId="4" fillId="4" borderId="23" xfId="0" applyNumberFormat="1" applyFont="1" applyFill="1" applyBorder="1" applyAlignment="1">
      <alignment vertical="center"/>
    </xf>
    <xf numFmtId="3" fontId="3" fillId="17" borderId="9" xfId="0" applyNumberFormat="1" applyFont="1" applyFill="1" applyBorder="1" applyAlignment="1">
      <alignment horizontal="center" vertical="center"/>
    </xf>
    <xf numFmtId="0" fontId="13" fillId="16" borderId="61" xfId="0" applyFont="1" applyFill="1" applyBorder="1"/>
    <xf numFmtId="172" fontId="3" fillId="3" borderId="7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23" fillId="11" borderId="51" xfId="0" applyFont="1" applyFill="1" applyBorder="1" applyAlignment="1">
      <alignment horizontal="center" vertical="center" wrapText="1"/>
    </xf>
    <xf numFmtId="0" fontId="23" fillId="11" borderId="52" xfId="0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0" fontId="23" fillId="11" borderId="51" xfId="0" applyFont="1" applyFill="1" applyBorder="1" applyAlignment="1">
      <alignment horizontal="center" vertical="center" wrapText="1"/>
    </xf>
    <xf numFmtId="0" fontId="23" fillId="11" borderId="52" xfId="0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horizontal="center" vertical="center" wrapText="1"/>
    </xf>
    <xf numFmtId="165" fontId="13" fillId="16" borderId="61" xfId="0" applyNumberFormat="1" applyFont="1" applyFill="1" applyBorder="1"/>
    <xf numFmtId="0" fontId="0" fillId="18" borderId="0" xfId="0" applyFill="1" applyAlignment="1">
      <alignment horizontal="center" vertical="center"/>
    </xf>
    <xf numFmtId="178" fontId="10" fillId="2" borderId="6" xfId="0" applyNumberFormat="1" applyFont="1" applyFill="1" applyBorder="1" applyAlignment="1">
      <alignment horizontal="center" vertical="center" wrapText="1"/>
    </xf>
    <xf numFmtId="178" fontId="13" fillId="16" borderId="61" xfId="0" applyNumberFormat="1" applyFont="1" applyFill="1" applyBorder="1"/>
    <xf numFmtId="43" fontId="17" fillId="8" borderId="40" xfId="2" applyNumberFormat="1" applyFont="1" applyFill="1" applyBorder="1" applyAlignment="1">
      <alignment horizontal="center"/>
    </xf>
    <xf numFmtId="43" fontId="17" fillId="7" borderId="40" xfId="2" applyNumberFormat="1" applyFont="1" applyFill="1" applyBorder="1" applyAlignment="1">
      <alignment horizontal="center"/>
    </xf>
    <xf numFmtId="43" fontId="30" fillId="0" borderId="0" xfId="0" applyNumberFormat="1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rightToLeft="1" tabSelected="1" workbookViewId="0">
      <selection activeCell="I31" sqref="I31"/>
    </sheetView>
  </sheetViews>
  <sheetFormatPr defaultRowHeight="14.4" x14ac:dyDescent="0.3"/>
  <cols>
    <col min="2" max="2" width="22.109375" bestFit="1" customWidth="1"/>
    <col min="3" max="3" width="11.109375" bestFit="1" customWidth="1"/>
    <col min="4" max="4" width="10.88671875" bestFit="1" customWidth="1"/>
    <col min="5" max="5" width="9.88671875" bestFit="1" customWidth="1"/>
    <col min="6" max="6" width="16.77734375" bestFit="1" customWidth="1"/>
    <col min="7" max="7" width="12.109375" customWidth="1"/>
  </cols>
  <sheetData>
    <row r="1" spans="2:7" ht="15" thickBot="1" x14ac:dyDescent="0.35"/>
    <row r="2" spans="2:7" ht="20.399999999999999" x14ac:dyDescent="0.3">
      <c r="B2" s="13" t="s">
        <v>19</v>
      </c>
      <c r="C2" s="14" t="s">
        <v>18</v>
      </c>
      <c r="D2" s="15" t="s">
        <v>21</v>
      </c>
      <c r="E2" s="1"/>
      <c r="F2" s="19" t="s">
        <v>23</v>
      </c>
      <c r="G2" s="20" t="s">
        <v>18</v>
      </c>
    </row>
    <row r="3" spans="2:7" ht="18.600000000000001" x14ac:dyDescent="0.3">
      <c r="B3" s="21" t="s">
        <v>0</v>
      </c>
      <c r="C3" s="22">
        <v>7105257</v>
      </c>
      <c r="D3" s="23">
        <v>0.36</v>
      </c>
      <c r="E3" s="1"/>
      <c r="F3" s="24" t="s">
        <v>0</v>
      </c>
      <c r="G3" s="25">
        <f>(C3*1000)/159</f>
        <v>44687150.943396226</v>
      </c>
    </row>
    <row r="4" spans="2:7" ht="18.600000000000001" x14ac:dyDescent="0.3">
      <c r="B4" s="21" t="s">
        <v>2</v>
      </c>
      <c r="C4" s="22">
        <v>3548214</v>
      </c>
      <c r="D4" s="23">
        <v>0.18</v>
      </c>
      <c r="E4" s="1"/>
      <c r="F4" s="24" t="s">
        <v>2</v>
      </c>
      <c r="G4" s="25">
        <f t="shared" ref="G4:G9" si="0">(C4*1000)/159</f>
        <v>22315811.320754718</v>
      </c>
    </row>
    <row r="5" spans="2:7" ht="18.600000000000001" x14ac:dyDescent="0.3">
      <c r="B5" s="21" t="s">
        <v>3</v>
      </c>
      <c r="C5" s="22">
        <v>3040985</v>
      </c>
      <c r="D5" s="23">
        <v>0.16</v>
      </c>
      <c r="E5" s="1"/>
      <c r="F5" s="24" t="s">
        <v>3</v>
      </c>
      <c r="G5" s="25">
        <f t="shared" si="0"/>
        <v>19125691.82389937</v>
      </c>
    </row>
    <row r="6" spans="2:7" ht="18.600000000000001" x14ac:dyDescent="0.3">
      <c r="B6" s="21" t="s">
        <v>4</v>
      </c>
      <c r="C6" s="22">
        <v>1438562</v>
      </c>
      <c r="D6" s="23">
        <v>7.0000000000000007E-2</v>
      </c>
      <c r="E6" s="1"/>
      <c r="F6" s="24" t="s">
        <v>4</v>
      </c>
      <c r="G6" s="25">
        <f t="shared" si="0"/>
        <v>9047559.7484276723</v>
      </c>
    </row>
    <row r="7" spans="2:7" ht="18.600000000000001" x14ac:dyDescent="0.3">
      <c r="B7" s="21" t="s">
        <v>5</v>
      </c>
      <c r="C7" s="22">
        <v>593258</v>
      </c>
      <c r="D7" s="23">
        <v>0.03</v>
      </c>
      <c r="E7" s="1"/>
      <c r="F7" s="24" t="s">
        <v>5</v>
      </c>
      <c r="G7" s="25">
        <f t="shared" si="0"/>
        <v>3731182.389937107</v>
      </c>
    </row>
    <row r="8" spans="2:7" ht="18.600000000000001" x14ac:dyDescent="0.3">
      <c r="B8" s="21" t="s">
        <v>6</v>
      </c>
      <c r="C8" s="22">
        <v>639072</v>
      </c>
      <c r="D8" s="23">
        <v>0.03</v>
      </c>
      <c r="E8" s="1"/>
      <c r="F8" s="24" t="s">
        <v>6</v>
      </c>
      <c r="G8" s="25">
        <f t="shared" si="0"/>
        <v>4019320.7547169812</v>
      </c>
    </row>
    <row r="9" spans="2:7" ht="19.2" thickBot="1" x14ac:dyDescent="0.35">
      <c r="B9" s="7" t="s">
        <v>7</v>
      </c>
      <c r="C9" s="8">
        <v>268869</v>
      </c>
      <c r="D9" s="9">
        <v>0.01</v>
      </c>
      <c r="E9" s="1"/>
      <c r="F9" s="26" t="s">
        <v>7</v>
      </c>
      <c r="G9" s="27">
        <f t="shared" si="0"/>
        <v>1691000</v>
      </c>
    </row>
    <row r="10" spans="2:7" ht="19.2" thickBot="1" x14ac:dyDescent="0.35">
      <c r="B10" s="10" t="s">
        <v>22</v>
      </c>
      <c r="C10" s="11">
        <f t="shared" ref="C10" si="1">SUM(C3:C9)</f>
        <v>16634217</v>
      </c>
      <c r="D10" s="12">
        <f>SUM(D3:D9)</f>
        <v>0.84000000000000008</v>
      </c>
      <c r="F10" s="24" t="s">
        <v>139</v>
      </c>
      <c r="G10" s="27">
        <f>SUM(G3:G9)</f>
        <v>104617716.98113208</v>
      </c>
    </row>
    <row r="11" spans="2:7" ht="15" thickBot="1" x14ac:dyDescent="0.35"/>
    <row r="12" spans="2:7" ht="20.399999999999999" x14ac:dyDescent="0.3">
      <c r="B12" s="13" t="s">
        <v>20</v>
      </c>
      <c r="C12" s="14" t="str">
        <f>C2</f>
        <v>سال 97</v>
      </c>
      <c r="D12" s="15" t="s">
        <v>21</v>
      </c>
    </row>
    <row r="13" spans="2:7" ht="18.600000000000001" x14ac:dyDescent="0.3">
      <c r="B13" s="21" t="s">
        <v>0</v>
      </c>
      <c r="C13" s="22">
        <v>217630023</v>
      </c>
      <c r="D13" s="23">
        <v>0.45</v>
      </c>
    </row>
    <row r="14" spans="2:7" ht="18.600000000000001" x14ac:dyDescent="0.3">
      <c r="B14" s="21" t="s">
        <v>2</v>
      </c>
      <c r="C14" s="22">
        <v>100658295</v>
      </c>
      <c r="D14" s="23">
        <v>0.21</v>
      </c>
    </row>
    <row r="15" spans="2:7" ht="18.600000000000001" x14ac:dyDescent="0.3">
      <c r="B15" s="21" t="s">
        <v>3</v>
      </c>
      <c r="C15" s="22">
        <v>72552474</v>
      </c>
      <c r="D15" s="23">
        <v>0.15</v>
      </c>
    </row>
    <row r="16" spans="2:7" ht="18.600000000000001" x14ac:dyDescent="0.3">
      <c r="B16" s="21" t="s">
        <v>4</v>
      </c>
      <c r="C16" s="22">
        <v>26115944</v>
      </c>
      <c r="D16" s="23">
        <v>0.05</v>
      </c>
    </row>
    <row r="17" spans="1:7" ht="18.600000000000001" x14ac:dyDescent="0.3">
      <c r="B17" s="21" t="s">
        <v>5</v>
      </c>
      <c r="C17" s="22">
        <v>15248795</v>
      </c>
      <c r="D17" s="23">
        <v>0.03</v>
      </c>
    </row>
    <row r="18" spans="1:7" ht="18.600000000000001" x14ac:dyDescent="0.3">
      <c r="B18" s="21" t="s">
        <v>6</v>
      </c>
      <c r="C18" s="22">
        <v>11239165</v>
      </c>
      <c r="D18" s="23">
        <v>0.02</v>
      </c>
    </row>
    <row r="19" spans="1:7" ht="18.600000000000001" x14ac:dyDescent="0.3">
      <c r="B19" s="21" t="s">
        <v>7</v>
      </c>
      <c r="C19" s="22">
        <v>9731243</v>
      </c>
      <c r="D19" s="23">
        <v>0.02</v>
      </c>
    </row>
    <row r="20" spans="1:7" ht="19.2" thickBot="1" x14ac:dyDescent="0.35">
      <c r="B20" s="10" t="s">
        <v>22</v>
      </c>
      <c r="C20" s="11">
        <f>SUM(C13:C19)</f>
        <v>453175939</v>
      </c>
      <c r="D20" s="12">
        <f>SUM(D13:D19)</f>
        <v>0.93000000000000016</v>
      </c>
    </row>
    <row r="21" spans="1:7" s="1" customFormat="1" ht="15" thickBot="1" x14ac:dyDescent="0.35"/>
    <row r="22" spans="1:7" ht="19.2" thickBot="1" x14ac:dyDescent="0.65">
      <c r="D22" s="55">
        <v>61229</v>
      </c>
      <c r="E22" s="55">
        <v>93226</v>
      </c>
      <c r="F22" s="55">
        <v>115000</v>
      </c>
      <c r="G22" s="55">
        <v>120000</v>
      </c>
    </row>
    <row r="23" spans="1:7" ht="37.799999999999997" thickBot="1" x14ac:dyDescent="0.35">
      <c r="B23" s="122" t="s">
        <v>116</v>
      </c>
      <c r="C23" s="122" t="s">
        <v>78</v>
      </c>
      <c r="D23" s="95">
        <v>1397</v>
      </c>
      <c r="E23" s="95" t="s">
        <v>79</v>
      </c>
      <c r="F23" s="95" t="s">
        <v>80</v>
      </c>
      <c r="G23" s="95" t="s">
        <v>81</v>
      </c>
    </row>
    <row r="24" spans="1:7" ht="15" thickBot="1" x14ac:dyDescent="0.35">
      <c r="B24" s="123" t="s">
        <v>117</v>
      </c>
      <c r="C24" s="123" t="s">
        <v>46</v>
      </c>
      <c r="D24" s="124">
        <f>'بهای تمام شده'!D11</f>
        <v>115898938.66241001</v>
      </c>
      <c r="E24" s="124">
        <f>'بهای تمام شده'!E11</f>
        <v>30894377.358490564</v>
      </c>
      <c r="F24" s="124">
        <f>G24-E24</f>
        <v>85004561.303919435</v>
      </c>
      <c r="G24" s="124">
        <f>D24</f>
        <v>115898938.66241001</v>
      </c>
    </row>
    <row r="25" spans="1:7" ht="15" thickBot="1" x14ac:dyDescent="0.35">
      <c r="B25" s="125" t="s">
        <v>118</v>
      </c>
      <c r="C25" s="125" t="s">
        <v>46</v>
      </c>
      <c r="D25" s="126">
        <f>D78</f>
        <v>115193995.62703998</v>
      </c>
      <c r="E25" s="126">
        <f>E78</f>
        <v>30644212.202210005</v>
      </c>
      <c r="F25" s="126">
        <f t="shared" ref="F25:F26" si="2">G25-E25</f>
        <v>84549783.424829975</v>
      </c>
      <c r="G25" s="126">
        <f>G24*G27</f>
        <v>115193995.62703998</v>
      </c>
    </row>
    <row r="26" spans="1:7" ht="15" thickBot="1" x14ac:dyDescent="0.35">
      <c r="B26" s="123" t="s">
        <v>119</v>
      </c>
      <c r="C26" s="123" t="s">
        <v>46</v>
      </c>
      <c r="D26" s="124">
        <f>'مقدار فروش'!C20</f>
        <v>122698030.64779873</v>
      </c>
      <c r="E26" s="124">
        <f>'مقدار فروش'!F20</f>
        <v>32323477.987421382</v>
      </c>
      <c r="F26" s="124">
        <f t="shared" si="2"/>
        <v>82870517.639618605</v>
      </c>
      <c r="G26" s="124">
        <f>G25*G28</f>
        <v>115193995.62703998</v>
      </c>
    </row>
    <row r="27" spans="1:7" ht="15" thickBot="1" x14ac:dyDescent="0.35">
      <c r="B27" s="125" t="s">
        <v>120</v>
      </c>
      <c r="C27" s="125"/>
      <c r="D27" s="127">
        <f>D25/D24</f>
        <v>0.99391760577356647</v>
      </c>
      <c r="E27" s="127">
        <f>E25/E24</f>
        <v>0.99190256682056721</v>
      </c>
      <c r="F27" s="127">
        <f t="shared" ref="D27:F28" si="3">F25/F24</f>
        <v>0.99464995910674159</v>
      </c>
      <c r="G27" s="127">
        <f>D27</f>
        <v>0.99391760577356647</v>
      </c>
    </row>
    <row r="28" spans="1:7" ht="15" thickBot="1" x14ac:dyDescent="0.35">
      <c r="B28" s="123" t="s">
        <v>121</v>
      </c>
      <c r="C28" s="123"/>
      <c r="D28" s="128">
        <f t="shared" si="3"/>
        <v>1.0651425882044609</v>
      </c>
      <c r="E28" s="128">
        <f t="shared" si="3"/>
        <v>1.0547987911756553</v>
      </c>
      <c r="F28" s="128">
        <f t="shared" si="3"/>
        <v>0.98013873345158431</v>
      </c>
      <c r="G28" s="128">
        <v>1</v>
      </c>
    </row>
    <row r="29" spans="1:7" ht="15" thickBot="1" x14ac:dyDescent="0.35">
      <c r="B29" s="125" t="s">
        <v>122</v>
      </c>
      <c r="C29" s="125" t="s">
        <v>91</v>
      </c>
      <c r="D29" s="126">
        <f>'مقدار فروش'!D1</f>
        <v>61229</v>
      </c>
      <c r="E29" s="129">
        <f>'مقدار فروش'!G1</f>
        <v>93226</v>
      </c>
      <c r="F29" s="129">
        <f>'مقایسه دلاری'!I18</f>
        <v>115000</v>
      </c>
      <c r="G29" s="129">
        <v>120000</v>
      </c>
    </row>
    <row r="30" spans="1:7" ht="15" thickBot="1" x14ac:dyDescent="0.35">
      <c r="B30" s="123" t="s">
        <v>182</v>
      </c>
      <c r="C30" s="123" t="s">
        <v>93</v>
      </c>
      <c r="D30" s="124">
        <f>نرخ!D60</f>
        <v>63</v>
      </c>
      <c r="E30" s="124">
        <f>نرخ!D63</f>
        <v>56.208333333333336</v>
      </c>
      <c r="F30" s="124">
        <f>نرخ!D66</f>
        <v>53.67499999999999</v>
      </c>
      <c r="G30" s="124">
        <v>55</v>
      </c>
    </row>
    <row r="32" spans="1:7" ht="15" thickBot="1" x14ac:dyDescent="0.35">
      <c r="A32" s="136" t="s">
        <v>145</v>
      </c>
      <c r="B32" s="136"/>
    </row>
    <row r="33" spans="2:27" ht="56.4" thickBot="1" x14ac:dyDescent="0.35">
      <c r="B33" s="95" t="s">
        <v>123</v>
      </c>
      <c r="C33" s="95" t="s">
        <v>78</v>
      </c>
      <c r="D33" s="95" t="s">
        <v>142</v>
      </c>
      <c r="E33" s="95" t="s">
        <v>141</v>
      </c>
      <c r="F33" s="95" t="s">
        <v>143</v>
      </c>
      <c r="G33" s="95" t="s">
        <v>144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</row>
    <row r="34" spans="2:27" ht="18" customHeight="1" thickBot="1" x14ac:dyDescent="0.35">
      <c r="B34" s="132" t="s">
        <v>124</v>
      </c>
      <c r="C34" s="132" t="s">
        <v>125</v>
      </c>
      <c r="D34" s="132">
        <v>638635</v>
      </c>
      <c r="E34" s="132">
        <v>176683</v>
      </c>
      <c r="F34" s="132"/>
      <c r="G34" s="132"/>
    </row>
    <row r="35" spans="2:27" ht="15" thickBot="1" x14ac:dyDescent="0.35">
      <c r="B35" s="129" t="s">
        <v>13</v>
      </c>
      <c r="C35" s="129" t="s">
        <v>125</v>
      </c>
      <c r="D35" s="129">
        <v>9406</v>
      </c>
      <c r="E35" s="129">
        <v>3646</v>
      </c>
      <c r="F35" s="129"/>
      <c r="G35" s="129"/>
    </row>
    <row r="36" spans="2:27" ht="15" thickBot="1" x14ac:dyDescent="0.35">
      <c r="B36" s="132" t="s">
        <v>126</v>
      </c>
      <c r="C36" s="132" t="s">
        <v>125</v>
      </c>
      <c r="D36" s="132">
        <v>249098</v>
      </c>
      <c r="E36" s="132">
        <v>82022</v>
      </c>
      <c r="F36" s="132"/>
      <c r="G36" s="132"/>
    </row>
    <row r="37" spans="2:27" ht="15" thickBot="1" x14ac:dyDescent="0.35">
      <c r="B37" s="133" t="s">
        <v>127</v>
      </c>
      <c r="C37" s="133" t="s">
        <v>125</v>
      </c>
      <c r="D37" s="133">
        <v>1438562</v>
      </c>
      <c r="E37" s="133">
        <v>399167</v>
      </c>
      <c r="F37" s="133"/>
      <c r="G37" s="133"/>
    </row>
    <row r="38" spans="2:27" ht="24.6" thickBot="1" x14ac:dyDescent="0.35">
      <c r="B38" s="132" t="s">
        <v>128</v>
      </c>
      <c r="C38" s="132" t="s">
        <v>125</v>
      </c>
      <c r="D38" s="132">
        <v>3567171</v>
      </c>
      <c r="E38" s="132">
        <v>975588</v>
      </c>
      <c r="F38" s="132"/>
      <c r="G38" s="132"/>
    </row>
    <row r="39" spans="2:27" ht="15" thickBot="1" x14ac:dyDescent="0.35">
      <c r="B39" s="133" t="s">
        <v>129</v>
      </c>
      <c r="C39" s="133" t="s">
        <v>125</v>
      </c>
      <c r="D39" s="133">
        <v>304004</v>
      </c>
      <c r="E39" s="133">
        <v>95827</v>
      </c>
      <c r="F39" s="133"/>
      <c r="G39" s="133"/>
    </row>
    <row r="40" spans="2:27" ht="15" thickBot="1" x14ac:dyDescent="0.35">
      <c r="B40" s="132" t="s">
        <v>9</v>
      </c>
      <c r="C40" s="132" t="s">
        <v>125</v>
      </c>
      <c r="D40" s="132">
        <v>191701</v>
      </c>
      <c r="E40" s="132">
        <v>53268</v>
      </c>
      <c r="F40" s="132"/>
      <c r="G40" s="132"/>
    </row>
    <row r="41" spans="2:27" ht="15" thickBot="1" x14ac:dyDescent="0.35">
      <c r="B41" s="133" t="s">
        <v>14</v>
      </c>
      <c r="C41" s="133" t="s">
        <v>125</v>
      </c>
      <c r="D41" s="133">
        <v>20244</v>
      </c>
      <c r="E41" s="133">
        <v>5867</v>
      </c>
      <c r="F41" s="133"/>
      <c r="G41" s="133"/>
    </row>
    <row r="42" spans="2:27" ht="29.4" customHeight="1" thickBot="1" x14ac:dyDescent="0.35">
      <c r="B42" s="132" t="s">
        <v>0</v>
      </c>
      <c r="C42" s="132" t="s">
        <v>125</v>
      </c>
      <c r="D42" s="132">
        <v>7236670</v>
      </c>
      <c r="E42" s="132">
        <v>1931388</v>
      </c>
      <c r="F42" s="132"/>
      <c r="G42" s="132"/>
    </row>
    <row r="43" spans="2:27" ht="15" thickBot="1" x14ac:dyDescent="0.35">
      <c r="B43" s="133" t="s">
        <v>130</v>
      </c>
      <c r="C43" s="133" t="s">
        <v>125</v>
      </c>
      <c r="D43" s="133">
        <v>74736</v>
      </c>
      <c r="E43" s="133">
        <v>19508</v>
      </c>
      <c r="F43" s="133"/>
      <c r="G43" s="133"/>
    </row>
    <row r="44" spans="2:27" ht="15" thickBot="1" x14ac:dyDescent="0.35">
      <c r="B44" s="132" t="s">
        <v>5</v>
      </c>
      <c r="C44" s="132" t="s">
        <v>125</v>
      </c>
      <c r="D44" s="132">
        <v>593100</v>
      </c>
      <c r="E44" s="132">
        <v>163265</v>
      </c>
      <c r="F44" s="132"/>
      <c r="G44" s="132"/>
    </row>
    <row r="45" spans="2:27" ht="15" thickBot="1" x14ac:dyDescent="0.35">
      <c r="B45" s="133" t="s">
        <v>131</v>
      </c>
      <c r="C45" s="133" t="s">
        <v>125</v>
      </c>
      <c r="D45" s="133">
        <v>3315309</v>
      </c>
      <c r="E45" s="133">
        <v>821539</v>
      </c>
      <c r="F45" s="133"/>
      <c r="G45" s="133"/>
    </row>
    <row r="46" spans="2:27" ht="15" thickBot="1" x14ac:dyDescent="0.35">
      <c r="B46" s="132" t="s">
        <v>132</v>
      </c>
      <c r="C46" s="132" t="s">
        <v>125</v>
      </c>
      <c r="D46" s="132">
        <v>7027</v>
      </c>
      <c r="E46" s="132">
        <v>0</v>
      </c>
      <c r="F46" s="132"/>
      <c r="G46" s="132"/>
    </row>
    <row r="47" spans="2:27" ht="15" thickBot="1" x14ac:dyDescent="0.35">
      <c r="B47" s="133" t="s">
        <v>133</v>
      </c>
      <c r="C47" s="133" t="s">
        <v>125</v>
      </c>
      <c r="D47" s="133">
        <v>180862</v>
      </c>
      <c r="E47" s="133">
        <v>2109</v>
      </c>
      <c r="F47" s="133"/>
      <c r="G47" s="133"/>
    </row>
    <row r="48" spans="2:27" ht="15" thickBot="1" x14ac:dyDescent="0.35">
      <c r="B48" s="124" t="s">
        <v>134</v>
      </c>
      <c r="C48" s="124" t="s">
        <v>125</v>
      </c>
      <c r="D48" s="124">
        <v>212811</v>
      </c>
      <c r="E48" s="124">
        <v>49304</v>
      </c>
      <c r="F48" s="124"/>
      <c r="G48" s="124"/>
    </row>
    <row r="49" spans="1:7" ht="15" thickBot="1" x14ac:dyDescent="0.35">
      <c r="B49" s="133" t="s">
        <v>135</v>
      </c>
      <c r="C49" s="133" t="s">
        <v>136</v>
      </c>
      <c r="D49" s="133">
        <v>127269</v>
      </c>
      <c r="E49" s="133">
        <v>60403</v>
      </c>
      <c r="F49" s="133"/>
      <c r="G49" s="133"/>
    </row>
    <row r="50" spans="1:7" ht="15" thickBot="1" x14ac:dyDescent="0.35">
      <c r="B50" s="132" t="s">
        <v>137</v>
      </c>
      <c r="C50" s="132" t="s">
        <v>125</v>
      </c>
      <c r="D50" s="132"/>
      <c r="E50" s="132">
        <v>32457</v>
      </c>
      <c r="F50" s="132"/>
      <c r="G50" s="132"/>
    </row>
    <row r="51" spans="1:7" s="1" customFormat="1" ht="15" thickBot="1" x14ac:dyDescent="0.35">
      <c r="B51" s="133" t="s">
        <v>132</v>
      </c>
      <c r="C51" s="133" t="s">
        <v>125</v>
      </c>
      <c r="D51" s="133">
        <v>20510</v>
      </c>
      <c r="E51" s="133"/>
      <c r="F51" s="133"/>
      <c r="G51" s="133"/>
    </row>
    <row r="52" spans="1:7" s="1" customFormat="1" ht="15" thickBot="1" x14ac:dyDescent="0.35">
      <c r="B52" s="132" t="s">
        <v>11</v>
      </c>
      <c r="C52" s="132" t="s">
        <v>140</v>
      </c>
      <c r="D52" s="132">
        <v>127269</v>
      </c>
      <c r="E52" s="132"/>
      <c r="F52" s="132"/>
      <c r="G52" s="132"/>
    </row>
    <row r="53" spans="1:7" ht="15" thickBot="1" x14ac:dyDescent="0.35">
      <c r="B53" s="133" t="s">
        <v>138</v>
      </c>
      <c r="C53" s="133" t="s">
        <v>125</v>
      </c>
      <c r="D53" s="133">
        <v>0</v>
      </c>
      <c r="E53" s="133">
        <v>0</v>
      </c>
      <c r="F53" s="133"/>
      <c r="G53" s="133"/>
    </row>
    <row r="54" spans="1:7" ht="15" thickBot="1" x14ac:dyDescent="0.35">
      <c r="B54" s="130" t="s">
        <v>139</v>
      </c>
      <c r="C54" s="130"/>
      <c r="D54" s="134">
        <f>SUM(D34:D53)</f>
        <v>18314384</v>
      </c>
      <c r="E54" s="134">
        <f>SUM(E34:E53)</f>
        <v>4872041</v>
      </c>
      <c r="F54" s="130"/>
      <c r="G54" s="130"/>
    </row>
    <row r="56" spans="1:7" ht="15" thickBot="1" x14ac:dyDescent="0.35">
      <c r="A56" s="136" t="s">
        <v>146</v>
      </c>
      <c r="B56" s="135"/>
    </row>
    <row r="57" spans="1:7" ht="56.4" thickBot="1" x14ac:dyDescent="0.35">
      <c r="B57" s="95" t="s">
        <v>123</v>
      </c>
      <c r="C57" s="95" t="s">
        <v>78</v>
      </c>
      <c r="D57" s="95" t="s">
        <v>142</v>
      </c>
      <c r="E57" s="95" t="s">
        <v>141</v>
      </c>
      <c r="F57" s="95" t="s">
        <v>143</v>
      </c>
      <c r="G57" s="95" t="s">
        <v>144</v>
      </c>
    </row>
    <row r="58" spans="1:7" ht="15" thickBot="1" x14ac:dyDescent="0.35">
      <c r="B58" s="132" t="s">
        <v>124</v>
      </c>
      <c r="C58" s="132" t="s">
        <v>46</v>
      </c>
      <c r="D58" s="132">
        <f>D34*6.28981</f>
        <v>4016892.8093500002</v>
      </c>
      <c r="E58" s="132">
        <f>E34*6.28981</f>
        <v>1111302.5002300001</v>
      </c>
      <c r="F58" s="132">
        <f>G58-E58</f>
        <v>2905590.3091200003</v>
      </c>
      <c r="G58" s="132">
        <f>G83*$G$25</f>
        <v>4016892.8093500002</v>
      </c>
    </row>
    <row r="59" spans="1:7" ht="15" thickBot="1" x14ac:dyDescent="0.35">
      <c r="B59" s="129" t="s">
        <v>13</v>
      </c>
      <c r="C59" s="129" t="s">
        <v>46</v>
      </c>
      <c r="D59" s="129">
        <f>D35*6.28981</f>
        <v>59161.952859999998</v>
      </c>
      <c r="E59" s="129">
        <f t="shared" ref="E59:E74" si="4">E35*6.28981</f>
        <v>22932.647260000002</v>
      </c>
      <c r="F59" s="129">
        <f t="shared" ref="F59:F77" si="5">G59-E59</f>
        <v>36229.305599999992</v>
      </c>
      <c r="G59" s="129">
        <f t="shared" ref="G59:G77" si="6">G84*$G$25</f>
        <v>59161.952859999998</v>
      </c>
    </row>
    <row r="60" spans="1:7" ht="15" thickBot="1" x14ac:dyDescent="0.35">
      <c r="B60" s="132" t="s">
        <v>126</v>
      </c>
      <c r="C60" s="132" t="s">
        <v>46</v>
      </c>
      <c r="D60" s="132">
        <f t="shared" ref="D60:D77" si="7">D36*6.28981</f>
        <v>1566779.0913800001</v>
      </c>
      <c r="E60" s="132">
        <f t="shared" si="4"/>
        <v>515902.79582</v>
      </c>
      <c r="F60" s="132">
        <f t="shared" si="5"/>
        <v>1050876.29556</v>
      </c>
      <c r="G60" s="132">
        <f t="shared" si="6"/>
        <v>1566779.0913800001</v>
      </c>
    </row>
    <row r="61" spans="1:7" ht="15" thickBot="1" x14ac:dyDescent="0.35">
      <c r="B61" s="133" t="s">
        <v>127</v>
      </c>
      <c r="C61" s="133" t="s">
        <v>46</v>
      </c>
      <c r="D61" s="133">
        <f t="shared" si="7"/>
        <v>9048281.6532199997</v>
      </c>
      <c r="E61" s="133">
        <f t="shared" si="4"/>
        <v>2510684.5882700002</v>
      </c>
      <c r="F61" s="133">
        <f t="shared" si="5"/>
        <v>6537597.0649499996</v>
      </c>
      <c r="G61" s="133">
        <f t="shared" si="6"/>
        <v>9048281.6532199997</v>
      </c>
    </row>
    <row r="62" spans="1:7" ht="24.6" thickBot="1" x14ac:dyDescent="0.35">
      <c r="B62" s="132" t="s">
        <v>128</v>
      </c>
      <c r="C62" s="132" t="s">
        <v>46</v>
      </c>
      <c r="D62" s="132">
        <f t="shared" si="7"/>
        <v>22436827.827509999</v>
      </c>
      <c r="E62" s="132">
        <f t="shared" si="4"/>
        <v>6136263.1582800001</v>
      </c>
      <c r="F62" s="132">
        <f t="shared" si="5"/>
        <v>16300564.669229999</v>
      </c>
      <c r="G62" s="132">
        <f t="shared" si="6"/>
        <v>22436827.827509999</v>
      </c>
    </row>
    <row r="63" spans="1:7" ht="15" thickBot="1" x14ac:dyDescent="0.35">
      <c r="B63" s="133" t="s">
        <v>129</v>
      </c>
      <c r="C63" s="133" t="s">
        <v>46</v>
      </c>
      <c r="D63" s="133">
        <f t="shared" si="7"/>
        <v>1912127.3992399999</v>
      </c>
      <c r="E63" s="133">
        <f t="shared" si="4"/>
        <v>602733.62286999996</v>
      </c>
      <c r="F63" s="133">
        <f t="shared" si="5"/>
        <v>1309393.7763700001</v>
      </c>
      <c r="G63" s="133">
        <f t="shared" si="6"/>
        <v>1912127.3992399999</v>
      </c>
    </row>
    <row r="64" spans="1:7" ht="15" thickBot="1" x14ac:dyDescent="0.35">
      <c r="B64" s="132" t="s">
        <v>9</v>
      </c>
      <c r="C64" s="132" t="s">
        <v>46</v>
      </c>
      <c r="D64" s="132">
        <f t="shared" si="7"/>
        <v>1205762.86681</v>
      </c>
      <c r="E64" s="132">
        <f t="shared" si="4"/>
        <v>335045.59908000001</v>
      </c>
      <c r="F64" s="132">
        <f t="shared" si="5"/>
        <v>870717.26772999996</v>
      </c>
      <c r="G64" s="132">
        <f t="shared" si="6"/>
        <v>1205762.86681</v>
      </c>
    </row>
    <row r="65" spans="2:7" ht="15" thickBot="1" x14ac:dyDescent="0.35">
      <c r="B65" s="133" t="s">
        <v>14</v>
      </c>
      <c r="C65" s="133" t="s">
        <v>46</v>
      </c>
      <c r="D65" s="133">
        <f t="shared" si="7"/>
        <v>127330.91364</v>
      </c>
      <c r="E65" s="133">
        <f t="shared" si="4"/>
        <v>36902.315269999999</v>
      </c>
      <c r="F65" s="133">
        <f t="shared" si="5"/>
        <v>90428.598369999992</v>
      </c>
      <c r="G65" s="133">
        <f t="shared" si="6"/>
        <v>127330.91364</v>
      </c>
    </row>
    <row r="66" spans="2:7" ht="15" thickBot="1" x14ac:dyDescent="0.35">
      <c r="B66" s="132" t="s">
        <v>0</v>
      </c>
      <c r="C66" s="132" t="s">
        <v>46</v>
      </c>
      <c r="D66" s="132">
        <f t="shared" si="7"/>
        <v>45517279.332699999</v>
      </c>
      <c r="E66" s="132">
        <f t="shared" si="4"/>
        <v>12148063.55628</v>
      </c>
      <c r="F66" s="132">
        <f t="shared" si="5"/>
        <v>33369215.776419997</v>
      </c>
      <c r="G66" s="132">
        <f t="shared" si="6"/>
        <v>45517279.332699999</v>
      </c>
    </row>
    <row r="67" spans="2:7" ht="15" thickBot="1" x14ac:dyDescent="0.35">
      <c r="B67" s="133" t="s">
        <v>130</v>
      </c>
      <c r="C67" s="133" t="s">
        <v>46</v>
      </c>
      <c r="D67" s="133">
        <f t="shared" si="7"/>
        <v>470075.24015999999</v>
      </c>
      <c r="E67" s="133">
        <f t="shared" si="4"/>
        <v>122701.61348</v>
      </c>
      <c r="F67" s="133">
        <f t="shared" si="5"/>
        <v>347373.62667999999</v>
      </c>
      <c r="G67" s="133">
        <f t="shared" si="6"/>
        <v>470075.24015999999</v>
      </c>
    </row>
    <row r="68" spans="2:7" ht="15" thickBot="1" x14ac:dyDescent="0.35">
      <c r="B68" s="132" t="s">
        <v>5</v>
      </c>
      <c r="C68" s="132" t="s">
        <v>46</v>
      </c>
      <c r="D68" s="132">
        <f t="shared" si="7"/>
        <v>3730486.3110000002</v>
      </c>
      <c r="E68" s="132">
        <f t="shared" si="4"/>
        <v>1026905.82965</v>
      </c>
      <c r="F68" s="132">
        <f t="shared" si="5"/>
        <v>2703580.48135</v>
      </c>
      <c r="G68" s="132">
        <f t="shared" si="6"/>
        <v>3730486.3110000002</v>
      </c>
    </row>
    <row r="69" spans="2:7" ht="15" thickBot="1" x14ac:dyDescent="0.35">
      <c r="B69" s="133" t="s">
        <v>131</v>
      </c>
      <c r="C69" s="133" t="s">
        <v>46</v>
      </c>
      <c r="D69" s="133">
        <f t="shared" si="7"/>
        <v>20852663.70129</v>
      </c>
      <c r="E69" s="133">
        <f t="shared" si="4"/>
        <v>5167324.2175900005</v>
      </c>
      <c r="F69" s="133">
        <f t="shared" si="5"/>
        <v>15685339.4837</v>
      </c>
      <c r="G69" s="133">
        <f t="shared" si="6"/>
        <v>20852663.70129</v>
      </c>
    </row>
    <row r="70" spans="2:7" ht="15" thickBot="1" x14ac:dyDescent="0.35">
      <c r="B70" s="132" t="s">
        <v>132</v>
      </c>
      <c r="C70" s="132" t="s">
        <v>46</v>
      </c>
      <c r="D70" s="132">
        <f t="shared" si="7"/>
        <v>44198.494870000002</v>
      </c>
      <c r="E70" s="132">
        <f t="shared" si="4"/>
        <v>0</v>
      </c>
      <c r="F70" s="132">
        <f t="shared" si="5"/>
        <v>44198.494870000002</v>
      </c>
      <c r="G70" s="132">
        <f t="shared" si="6"/>
        <v>44198.494870000002</v>
      </c>
    </row>
    <row r="71" spans="2:7" ht="15" thickBot="1" x14ac:dyDescent="0.35">
      <c r="B71" s="133" t="s">
        <v>133</v>
      </c>
      <c r="C71" s="133" t="s">
        <v>46</v>
      </c>
      <c r="D71" s="133">
        <f t="shared" si="7"/>
        <v>1137587.61622</v>
      </c>
      <c r="E71" s="133">
        <f t="shared" si="4"/>
        <v>13265.209290000001</v>
      </c>
      <c r="F71" s="133">
        <f t="shared" si="5"/>
        <v>1124322.4069300001</v>
      </c>
      <c r="G71" s="133">
        <f t="shared" si="6"/>
        <v>1137587.61622</v>
      </c>
    </row>
    <row r="72" spans="2:7" ht="15" thickBot="1" x14ac:dyDescent="0.35">
      <c r="B72" s="124" t="s">
        <v>134</v>
      </c>
      <c r="C72" s="124" t="s">
        <v>46</v>
      </c>
      <c r="D72" s="124">
        <f t="shared" si="7"/>
        <v>1338540.7559100001</v>
      </c>
      <c r="E72" s="124">
        <f t="shared" si="4"/>
        <v>310112.79223999998</v>
      </c>
      <c r="F72" s="124">
        <f t="shared" si="5"/>
        <v>1028427.9636700001</v>
      </c>
      <c r="G72" s="124">
        <f t="shared" si="6"/>
        <v>1338540.7559100001</v>
      </c>
    </row>
    <row r="73" spans="2:7" ht="15" thickBot="1" x14ac:dyDescent="0.35">
      <c r="B73" s="133" t="s">
        <v>135</v>
      </c>
      <c r="C73" s="133" t="s">
        <v>46</v>
      </c>
      <c r="D73" s="133">
        <f t="shared" si="7"/>
        <v>800497.82889</v>
      </c>
      <c r="E73" s="133">
        <f t="shared" si="4"/>
        <v>379923.39343</v>
      </c>
      <c r="F73" s="133">
        <f t="shared" si="5"/>
        <v>420574.43546000001</v>
      </c>
      <c r="G73" s="133">
        <f t="shared" si="6"/>
        <v>800497.82889</v>
      </c>
    </row>
    <row r="74" spans="2:7" ht="15" thickBot="1" x14ac:dyDescent="0.35">
      <c r="B74" s="132" t="s">
        <v>137</v>
      </c>
      <c r="C74" s="132" t="s">
        <v>46</v>
      </c>
      <c r="D74" s="132">
        <f t="shared" si="7"/>
        <v>0</v>
      </c>
      <c r="E74" s="132">
        <f t="shared" si="4"/>
        <v>204148.36317</v>
      </c>
      <c r="F74" s="132">
        <f t="shared" si="5"/>
        <v>-204148.36317</v>
      </c>
      <c r="G74" s="132">
        <f t="shared" si="6"/>
        <v>0</v>
      </c>
    </row>
    <row r="75" spans="2:7" ht="15" thickBot="1" x14ac:dyDescent="0.35">
      <c r="B75" s="133" t="s">
        <v>132</v>
      </c>
      <c r="C75" s="133" t="s">
        <v>46</v>
      </c>
      <c r="D75" s="133">
        <f t="shared" si="7"/>
        <v>129004.0031</v>
      </c>
      <c r="E75" s="133"/>
      <c r="F75" s="133">
        <f t="shared" si="5"/>
        <v>129004.00309999999</v>
      </c>
      <c r="G75" s="133">
        <f t="shared" si="6"/>
        <v>129004.00309999999</v>
      </c>
    </row>
    <row r="76" spans="2:7" ht="15" thickBot="1" x14ac:dyDescent="0.35">
      <c r="B76" s="132" t="s">
        <v>11</v>
      </c>
      <c r="C76" s="132" t="s">
        <v>46</v>
      </c>
      <c r="D76" s="132">
        <f t="shared" si="7"/>
        <v>800497.82889</v>
      </c>
      <c r="E76" s="132"/>
      <c r="F76" s="132">
        <f t="shared" si="5"/>
        <v>800497.82889</v>
      </c>
      <c r="G76" s="132">
        <f t="shared" si="6"/>
        <v>800497.82889</v>
      </c>
    </row>
    <row r="77" spans="2:7" ht="15" thickBot="1" x14ac:dyDescent="0.35">
      <c r="B77" s="133" t="s">
        <v>138</v>
      </c>
      <c r="C77" s="133" t="s">
        <v>46</v>
      </c>
      <c r="D77" s="133">
        <f t="shared" si="7"/>
        <v>0</v>
      </c>
      <c r="E77" s="133">
        <v>0</v>
      </c>
      <c r="F77" s="133">
        <f t="shared" si="5"/>
        <v>0</v>
      </c>
      <c r="G77" s="133">
        <f t="shared" si="6"/>
        <v>0</v>
      </c>
    </row>
    <row r="78" spans="2:7" ht="15" thickBot="1" x14ac:dyDescent="0.35">
      <c r="B78" s="130" t="s">
        <v>139</v>
      </c>
      <c r="C78" s="130"/>
      <c r="D78" s="134">
        <f>SUM(D58:D77)</f>
        <v>115193995.62703998</v>
      </c>
      <c r="E78" s="134">
        <f>SUM(E58:E77)</f>
        <v>30644212.202210005</v>
      </c>
      <c r="F78" s="134">
        <f>SUM(F58:F77)</f>
        <v>84549783.42482999</v>
      </c>
      <c r="G78" s="134">
        <f>SUM(G58:G77)</f>
        <v>115193995.62703998</v>
      </c>
    </row>
    <row r="81" spans="1:7" ht="19.2" thickBot="1" x14ac:dyDescent="0.35">
      <c r="A81" s="137" t="s">
        <v>147</v>
      </c>
      <c r="B81" s="135"/>
    </row>
    <row r="82" spans="1:7" ht="56.4" thickBot="1" x14ac:dyDescent="0.35">
      <c r="B82" s="95" t="s">
        <v>123</v>
      </c>
      <c r="C82" s="95" t="s">
        <v>78</v>
      </c>
      <c r="D82" s="95" t="s">
        <v>142</v>
      </c>
      <c r="E82" s="95" t="s">
        <v>141</v>
      </c>
      <c r="F82" s="95" t="s">
        <v>143</v>
      </c>
      <c r="G82" s="95" t="s">
        <v>144</v>
      </c>
    </row>
    <row r="83" spans="1:7" ht="15" thickBot="1" x14ac:dyDescent="0.35">
      <c r="B83" s="132" t="s">
        <v>124</v>
      </c>
      <c r="C83" s="132" t="s">
        <v>46</v>
      </c>
      <c r="D83" s="138">
        <f>D58/$D$78</f>
        <v>3.4870678697137732E-2</v>
      </c>
      <c r="E83" s="138">
        <f>E58/$E$78</f>
        <v>3.6264678396589846E-2</v>
      </c>
      <c r="F83" s="138">
        <f>F58/$F$78</f>
        <v>3.4365437632412753E-2</v>
      </c>
      <c r="G83" s="138">
        <f>D83</f>
        <v>3.4870678697137732E-2</v>
      </c>
    </row>
    <row r="84" spans="1:7" ht="15" thickBot="1" x14ac:dyDescent="0.35">
      <c r="B84" s="129" t="s">
        <v>13</v>
      </c>
      <c r="C84" s="129" t="s">
        <v>46</v>
      </c>
      <c r="D84" s="140">
        <f t="shared" ref="D84:D102" si="8">D59/$D$78</f>
        <v>5.1358538731087E-4</v>
      </c>
      <c r="E84" s="140">
        <f t="shared" ref="E84:E102" si="9">E59/$E$78</f>
        <v>7.4835166617029695E-4</v>
      </c>
      <c r="F84" s="140">
        <f t="shared" ref="F84:F102" si="10">F59/$F$78</f>
        <v>4.2849672858369999E-4</v>
      </c>
      <c r="G84" s="140">
        <f t="shared" ref="G84:G103" si="11">D84</f>
        <v>5.1358538731087E-4</v>
      </c>
    </row>
    <row r="85" spans="1:7" ht="15" thickBot="1" x14ac:dyDescent="0.35">
      <c r="B85" s="132" t="s">
        <v>126</v>
      </c>
      <c r="C85" s="132" t="s">
        <v>46</v>
      </c>
      <c r="D85" s="138">
        <f t="shared" si="8"/>
        <v>1.3601221859277389E-2</v>
      </c>
      <c r="E85" s="138">
        <f t="shared" si="9"/>
        <v>1.6835244202583678E-2</v>
      </c>
      <c r="F85" s="138">
        <f t="shared" si="10"/>
        <v>1.242908323348095E-2</v>
      </c>
      <c r="G85" s="138">
        <f t="shared" si="11"/>
        <v>1.3601221859277389E-2</v>
      </c>
    </row>
    <row r="86" spans="1:7" ht="15" thickBot="1" x14ac:dyDescent="0.35">
      <c r="B86" s="133" t="s">
        <v>127</v>
      </c>
      <c r="C86" s="133" t="s">
        <v>46</v>
      </c>
      <c r="D86" s="140">
        <f t="shared" si="8"/>
        <v>7.8548205607133728E-2</v>
      </c>
      <c r="E86" s="140">
        <f t="shared" si="9"/>
        <v>8.1930139750465966E-2</v>
      </c>
      <c r="F86" s="140">
        <f t="shared" si="10"/>
        <v>7.7322457848308143E-2</v>
      </c>
      <c r="G86" s="140">
        <f t="shared" si="11"/>
        <v>7.8548205607133728E-2</v>
      </c>
    </row>
    <row r="87" spans="1:7" ht="24.6" thickBot="1" x14ac:dyDescent="0.35">
      <c r="B87" s="132" t="s">
        <v>128</v>
      </c>
      <c r="C87" s="132" t="s">
        <v>46</v>
      </c>
      <c r="D87" s="138">
        <f t="shared" si="8"/>
        <v>0.19477428233458469</v>
      </c>
      <c r="E87" s="138">
        <f t="shared" si="9"/>
        <v>0.20024215723964553</v>
      </c>
      <c r="F87" s="138">
        <f t="shared" si="10"/>
        <v>0.19279250648491861</v>
      </c>
      <c r="G87" s="138">
        <f t="shared" si="11"/>
        <v>0.19477428233458469</v>
      </c>
    </row>
    <row r="88" spans="1:7" ht="15" thickBot="1" x14ac:dyDescent="0.35">
      <c r="B88" s="133" t="s">
        <v>129</v>
      </c>
      <c r="C88" s="133" t="s">
        <v>46</v>
      </c>
      <c r="D88" s="140">
        <f t="shared" si="8"/>
        <v>1.6599193289820725E-2</v>
      </c>
      <c r="E88" s="140">
        <f t="shared" si="9"/>
        <v>1.9668758945173077E-2</v>
      </c>
      <c r="F88" s="140">
        <f t="shared" si="10"/>
        <v>1.5486660324022385E-2</v>
      </c>
      <c r="G88" s="140">
        <f t="shared" si="11"/>
        <v>1.6599193289820725E-2</v>
      </c>
    </row>
    <row r="89" spans="1:7" ht="15" thickBot="1" x14ac:dyDescent="0.35">
      <c r="B89" s="132" t="s">
        <v>9</v>
      </c>
      <c r="C89" s="132" t="s">
        <v>46</v>
      </c>
      <c r="D89" s="138">
        <f t="shared" si="8"/>
        <v>1.0467237118103455E-2</v>
      </c>
      <c r="E89" s="138">
        <f t="shared" si="9"/>
        <v>1.093340552758074E-2</v>
      </c>
      <c r="F89" s="138">
        <f t="shared" si="10"/>
        <v>1.0298279102088082E-2</v>
      </c>
      <c r="G89" s="138">
        <f t="shared" si="11"/>
        <v>1.0467237118103455E-2</v>
      </c>
    </row>
    <row r="90" spans="1:7" ht="15" thickBot="1" x14ac:dyDescent="0.35">
      <c r="B90" s="133" t="s">
        <v>14</v>
      </c>
      <c r="C90" s="133" t="s">
        <v>46</v>
      </c>
      <c r="D90" s="140">
        <f t="shared" si="8"/>
        <v>1.1053606826197378E-3</v>
      </c>
      <c r="E90" s="140">
        <f t="shared" si="9"/>
        <v>1.2042181090019561E-3</v>
      </c>
      <c r="F90" s="140">
        <f t="shared" si="10"/>
        <v>1.0695308102166416E-3</v>
      </c>
      <c r="G90" s="140">
        <f t="shared" si="11"/>
        <v>1.1053606826197378E-3</v>
      </c>
    </row>
    <row r="91" spans="1:7" ht="15" thickBot="1" x14ac:dyDescent="0.35">
      <c r="B91" s="132" t="s">
        <v>0</v>
      </c>
      <c r="C91" s="132" t="s">
        <v>46</v>
      </c>
      <c r="D91" s="138">
        <f t="shared" si="8"/>
        <v>0.39513586697756259</v>
      </c>
      <c r="E91" s="138">
        <f t="shared" si="9"/>
        <v>0.39642277230425599</v>
      </c>
      <c r="F91" s="138">
        <f t="shared" si="10"/>
        <v>0.39466944118298425</v>
      </c>
      <c r="G91" s="138">
        <f t="shared" si="11"/>
        <v>0.39513586697756259</v>
      </c>
    </row>
    <row r="92" spans="1:7" ht="15" thickBot="1" x14ac:dyDescent="0.35">
      <c r="B92" s="133" t="s">
        <v>130</v>
      </c>
      <c r="C92" s="133" t="s">
        <v>46</v>
      </c>
      <c r="D92" s="140">
        <f t="shared" si="8"/>
        <v>4.0807269302642127E-3</v>
      </c>
      <c r="E92" s="140">
        <f t="shared" si="9"/>
        <v>4.0040713943088734E-3</v>
      </c>
      <c r="F92" s="140">
        <f t="shared" si="10"/>
        <v>4.1085099524688518E-3</v>
      </c>
      <c r="G92" s="140">
        <f t="shared" si="11"/>
        <v>4.0807269302642127E-3</v>
      </c>
    </row>
    <row r="93" spans="1:7" ht="15" thickBot="1" x14ac:dyDescent="0.35">
      <c r="B93" s="132" t="s">
        <v>5</v>
      </c>
      <c r="C93" s="132" t="s">
        <v>46</v>
      </c>
      <c r="D93" s="138">
        <f t="shared" si="8"/>
        <v>3.2384381587718163E-2</v>
      </c>
      <c r="E93" s="138">
        <f t="shared" si="9"/>
        <v>3.3510596483075569E-2</v>
      </c>
      <c r="F93" s="138">
        <f t="shared" si="10"/>
        <v>3.1976196411592835E-2</v>
      </c>
      <c r="G93" s="138">
        <f t="shared" si="11"/>
        <v>3.2384381587718163E-2</v>
      </c>
    </row>
    <row r="94" spans="1:7" ht="15" thickBot="1" x14ac:dyDescent="0.35">
      <c r="B94" s="133" t="s">
        <v>131</v>
      </c>
      <c r="C94" s="133" t="s">
        <v>46</v>
      </c>
      <c r="D94" s="140">
        <f t="shared" si="8"/>
        <v>0.18102214084841731</v>
      </c>
      <c r="E94" s="140">
        <f t="shared" si="9"/>
        <v>0.1686231704536148</v>
      </c>
      <c r="F94" s="140">
        <f t="shared" si="10"/>
        <v>0.18551602202086351</v>
      </c>
      <c r="G94" s="140">
        <f t="shared" si="11"/>
        <v>0.18102214084841731</v>
      </c>
    </row>
    <row r="95" spans="1:7" ht="15" thickBot="1" x14ac:dyDescent="0.35">
      <c r="B95" s="132" t="s">
        <v>132</v>
      </c>
      <c r="C95" s="132" t="s">
        <v>46</v>
      </c>
      <c r="D95" s="138">
        <f t="shared" si="8"/>
        <v>3.8368748847900108E-4</v>
      </c>
      <c r="E95" s="138">
        <f t="shared" si="9"/>
        <v>0</v>
      </c>
      <c r="F95" s="138">
        <f t="shared" si="10"/>
        <v>5.2275113051348274E-4</v>
      </c>
      <c r="G95" s="138">
        <f t="shared" si="11"/>
        <v>3.8368748847900108E-4</v>
      </c>
    </row>
    <row r="96" spans="1:7" ht="15" thickBot="1" x14ac:dyDescent="0.35">
      <c r="B96" s="133" t="s">
        <v>133</v>
      </c>
      <c r="C96" s="133" t="s">
        <v>46</v>
      </c>
      <c r="D96" s="140">
        <f>D71/$D$78</f>
        <v>9.8754072209035273E-3</v>
      </c>
      <c r="E96" s="140">
        <f t="shared" si="9"/>
        <v>4.328781305411838E-4</v>
      </c>
      <c r="F96" s="140">
        <f t="shared" si="10"/>
        <v>1.3297756202173983E-2</v>
      </c>
      <c r="G96" s="140">
        <f t="shared" si="11"/>
        <v>9.8754072209035273E-3</v>
      </c>
    </row>
    <row r="97" spans="2:7" ht="15" thickBot="1" x14ac:dyDescent="0.35">
      <c r="B97" s="124" t="s">
        <v>134</v>
      </c>
      <c r="C97" s="124" t="s">
        <v>46</v>
      </c>
      <c r="D97" s="128">
        <f t="shared" si="8"/>
        <v>1.16198830383812E-2</v>
      </c>
      <c r="E97" s="128">
        <f t="shared" si="9"/>
        <v>1.0119783474728555E-2</v>
      </c>
      <c r="F97" s="128">
        <f t="shared" si="10"/>
        <v>1.2163578923704003E-2</v>
      </c>
      <c r="G97" s="128">
        <f t="shared" si="11"/>
        <v>1.16198830383812E-2</v>
      </c>
    </row>
    <row r="98" spans="2:7" ht="15" thickBot="1" x14ac:dyDescent="0.35">
      <c r="B98" s="133" t="s">
        <v>135</v>
      </c>
      <c r="C98" s="133" t="s">
        <v>46</v>
      </c>
      <c r="D98" s="140">
        <f t="shared" si="8"/>
        <v>6.9491280733220409E-3</v>
      </c>
      <c r="E98" s="140">
        <f t="shared" si="9"/>
        <v>1.2397884172157005E-2</v>
      </c>
      <c r="F98" s="140">
        <f t="shared" si="10"/>
        <v>4.9742816412287659E-3</v>
      </c>
      <c r="G98" s="140">
        <f t="shared" si="11"/>
        <v>6.9491280733220409E-3</v>
      </c>
    </row>
    <row r="99" spans="2:7" ht="15" thickBot="1" x14ac:dyDescent="0.35">
      <c r="B99" s="132" t="s">
        <v>137</v>
      </c>
      <c r="C99" s="132" t="s">
        <v>46</v>
      </c>
      <c r="D99" s="138">
        <f t="shared" si="8"/>
        <v>0</v>
      </c>
      <c r="E99" s="138">
        <f t="shared" si="9"/>
        <v>6.6618897501067812E-3</v>
      </c>
      <c r="F99" s="138">
        <f t="shared" si="10"/>
        <v>-2.4145344304932559E-3</v>
      </c>
      <c r="G99" s="138">
        <f t="shared" si="11"/>
        <v>0</v>
      </c>
    </row>
    <row r="100" spans="2:7" ht="15" thickBot="1" x14ac:dyDescent="0.35">
      <c r="B100" s="133" t="s">
        <v>132</v>
      </c>
      <c r="C100" s="133" t="s">
        <v>46</v>
      </c>
      <c r="D100" s="140">
        <f t="shared" si="8"/>
        <v>1.1198847856417121E-3</v>
      </c>
      <c r="E100" s="140">
        <f t="shared" si="9"/>
        <v>0</v>
      </c>
      <c r="F100" s="140">
        <f t="shared" si="10"/>
        <v>1.5257756776478626E-3</v>
      </c>
      <c r="G100" s="140">
        <f t="shared" si="11"/>
        <v>1.1198847856417121E-3</v>
      </c>
    </row>
    <row r="101" spans="2:7" ht="15" thickBot="1" x14ac:dyDescent="0.35">
      <c r="B101" s="132" t="s">
        <v>11</v>
      </c>
      <c r="C101" s="132" t="s">
        <v>46</v>
      </c>
      <c r="D101" s="138">
        <f t="shared" si="8"/>
        <v>6.9491280733220409E-3</v>
      </c>
      <c r="E101" s="138">
        <f t="shared" si="9"/>
        <v>0</v>
      </c>
      <c r="F101" s="138">
        <f t="shared" si="10"/>
        <v>9.4677691232845362E-3</v>
      </c>
      <c r="G101" s="138">
        <f t="shared" si="11"/>
        <v>6.9491280733220409E-3</v>
      </c>
    </row>
    <row r="102" spans="2:7" ht="15" thickBot="1" x14ac:dyDescent="0.35">
      <c r="B102" s="133" t="s">
        <v>138</v>
      </c>
      <c r="C102" s="133" t="s">
        <v>46</v>
      </c>
      <c r="D102" s="140">
        <f t="shared" si="8"/>
        <v>0</v>
      </c>
      <c r="E102" s="140">
        <f t="shared" si="9"/>
        <v>0</v>
      </c>
      <c r="F102" s="140">
        <f t="shared" si="10"/>
        <v>0</v>
      </c>
      <c r="G102" s="140">
        <f t="shared" si="11"/>
        <v>0</v>
      </c>
    </row>
    <row r="103" spans="2:7" ht="15" thickBot="1" x14ac:dyDescent="0.35">
      <c r="B103" s="130" t="s">
        <v>139</v>
      </c>
      <c r="C103" s="130"/>
      <c r="D103" s="139">
        <f>SUM(D83:D102)</f>
        <v>1.0000000000000002</v>
      </c>
      <c r="E103" s="139">
        <f>SUM(E83:E102)</f>
        <v>0.99999999999999989</v>
      </c>
      <c r="F103" s="139">
        <f>SUM(F83:F102)</f>
        <v>1.0000000000000002</v>
      </c>
      <c r="G103" s="139">
        <f t="shared" si="11"/>
        <v>1.0000000000000002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4"/>
  <sheetViews>
    <sheetView rightToLeft="1" workbookViewId="0">
      <selection activeCell="G8" sqref="G8"/>
    </sheetView>
  </sheetViews>
  <sheetFormatPr defaultRowHeight="14.4" x14ac:dyDescent="0.3"/>
  <cols>
    <col min="2" max="2" width="10" bestFit="1" customWidth="1"/>
    <col min="3" max="3" width="10.88671875" bestFit="1" customWidth="1"/>
    <col min="4" max="4" width="14.5546875" style="110" bestFit="1" customWidth="1"/>
    <col min="5" max="5" width="12.5546875" style="110" bestFit="1" customWidth="1"/>
    <col min="6" max="6" width="16.88671875" style="110" bestFit="1" customWidth="1"/>
    <col min="7" max="7" width="12.5546875" style="110" bestFit="1" customWidth="1"/>
    <col min="11" max="11" width="12.5546875" bestFit="1" customWidth="1"/>
  </cols>
  <sheetData>
    <row r="4" spans="1:11" ht="15" thickBot="1" x14ac:dyDescent="0.35"/>
    <row r="5" spans="1:11" ht="19.2" thickBot="1" x14ac:dyDescent="0.65">
      <c r="D5" s="55">
        <v>63</v>
      </c>
      <c r="E5" s="55">
        <v>56.208333333333336</v>
      </c>
      <c r="F5" s="55">
        <v>50</v>
      </c>
      <c r="G5" s="55">
        <v>55</v>
      </c>
    </row>
    <row r="6" spans="1:11" ht="19.2" thickBot="1" x14ac:dyDescent="0.65">
      <c r="A6" s="91" t="s">
        <v>76</v>
      </c>
      <c r="B6" s="92"/>
      <c r="C6" s="92"/>
      <c r="D6" s="55">
        <v>61229</v>
      </c>
      <c r="E6" s="55">
        <v>93226</v>
      </c>
      <c r="F6" s="55">
        <v>115000</v>
      </c>
      <c r="G6" s="55">
        <v>120000</v>
      </c>
    </row>
    <row r="7" spans="1:11" ht="37.799999999999997" thickBot="1" x14ac:dyDescent="0.35">
      <c r="A7" s="92"/>
      <c r="B7" s="93" t="s">
        <v>77</v>
      </c>
      <c r="C7" s="94" t="s">
        <v>78</v>
      </c>
      <c r="D7" s="111">
        <v>1397</v>
      </c>
      <c r="E7" s="105" t="s">
        <v>79</v>
      </c>
      <c r="F7" s="106" t="s">
        <v>80</v>
      </c>
      <c r="G7" s="106" t="s">
        <v>81</v>
      </c>
    </row>
    <row r="8" spans="1:11" ht="15" thickBot="1" x14ac:dyDescent="0.35">
      <c r="A8" s="92"/>
      <c r="B8" s="99" t="s">
        <v>84</v>
      </c>
      <c r="C8" s="97" t="s">
        <v>46</v>
      </c>
      <c r="D8" s="107">
        <f>18309775*6.28981</f>
        <v>115165005.89274999</v>
      </c>
      <c r="E8" s="107">
        <f>4875730*1000/159</f>
        <v>30664968.553459119</v>
      </c>
      <c r="F8" s="107" t="e">
        <f>G8-E8</f>
        <v>#REF!</v>
      </c>
      <c r="G8" s="107" t="e">
        <f>#REF!</f>
        <v>#REF!</v>
      </c>
    </row>
    <row r="9" spans="1:11" ht="15" thickBot="1" x14ac:dyDescent="0.35">
      <c r="A9" s="92"/>
      <c r="B9" s="98" t="s">
        <v>85</v>
      </c>
      <c r="C9" s="103" t="s">
        <v>46</v>
      </c>
      <c r="D9" s="108">
        <f>104972*6.28981</f>
        <v>660253.93532000005</v>
      </c>
      <c r="E9" s="108">
        <f>31337*1000/159</f>
        <v>197088.05031446542</v>
      </c>
      <c r="F9" s="108" t="e">
        <f t="shared" ref="F9:F10" si="0">G9-E9</f>
        <v>#REF!</v>
      </c>
      <c r="G9" s="199" t="e">
        <f>G8*G17/G16</f>
        <v>#REF!</v>
      </c>
    </row>
    <row r="10" spans="1:11" s="1" customFormat="1" ht="15" thickBot="1" x14ac:dyDescent="0.35">
      <c r="A10" s="92"/>
      <c r="B10" s="99" t="s">
        <v>86</v>
      </c>
      <c r="C10" s="99" t="s">
        <v>46</v>
      </c>
      <c r="D10" s="109">
        <f>(11714*6.28981)</f>
        <v>73678.834340000001</v>
      </c>
      <c r="E10" s="109">
        <f>5139*1000/159</f>
        <v>32320.754716981133</v>
      </c>
      <c r="F10" s="107" t="e">
        <f t="shared" si="0"/>
        <v>#REF!</v>
      </c>
      <c r="G10" s="200" t="e">
        <f>G8*G18/G16</f>
        <v>#REF!</v>
      </c>
    </row>
    <row r="11" spans="1:11" ht="15" thickBot="1" x14ac:dyDescent="0.35">
      <c r="A11" s="92"/>
      <c r="B11" s="98" t="s">
        <v>83</v>
      </c>
      <c r="C11" s="98" t="s">
        <v>46</v>
      </c>
      <c r="D11" s="108">
        <f>SUM(D8:D10)</f>
        <v>115898938.66241001</v>
      </c>
      <c r="E11" s="108">
        <f>SUM(E8:E10)</f>
        <v>30894377.358490564</v>
      </c>
      <c r="F11" s="108" t="e">
        <f>SUM(F8:F10)</f>
        <v>#REF!</v>
      </c>
      <c r="G11" s="108" t="e">
        <f>SUM(G8:G10)</f>
        <v>#REF!</v>
      </c>
    </row>
    <row r="12" spans="1:11" x14ac:dyDescent="0.3">
      <c r="K12" s="166"/>
    </row>
    <row r="14" spans="1:11" ht="19.2" thickBot="1" x14ac:dyDescent="0.35">
      <c r="A14" s="91" t="s">
        <v>87</v>
      </c>
      <c r="B14" s="92"/>
      <c r="C14" s="92"/>
      <c r="D14" s="104"/>
      <c r="E14" s="104"/>
      <c r="F14" s="104"/>
      <c r="G14" s="104"/>
    </row>
    <row r="15" spans="1:11" ht="37.799999999999997" thickBot="1" x14ac:dyDescent="0.35">
      <c r="A15" s="92"/>
      <c r="B15" s="93" t="s">
        <v>77</v>
      </c>
      <c r="C15" s="94" t="s">
        <v>78</v>
      </c>
      <c r="D15" s="111">
        <v>1397</v>
      </c>
      <c r="E15" s="105" t="s">
        <v>79</v>
      </c>
      <c r="F15" s="106" t="s">
        <v>80</v>
      </c>
      <c r="G15" s="106" t="s">
        <v>81</v>
      </c>
    </row>
    <row r="16" spans="1:11" ht="15" thickBot="1" x14ac:dyDescent="0.35">
      <c r="A16" s="92"/>
      <c r="B16" s="96" t="s">
        <v>82</v>
      </c>
      <c r="C16" s="97" t="s">
        <v>46</v>
      </c>
      <c r="D16" s="101">
        <f>D8/$D$11</f>
        <v>0.99366747635370667</v>
      </c>
      <c r="E16" s="101">
        <f>E8/$E$11</f>
        <v>0.99257441564950666</v>
      </c>
      <c r="F16" s="101" t="e">
        <f>F8/$F$11</f>
        <v>#REF!</v>
      </c>
      <c r="G16" s="101">
        <f>D16</f>
        <v>0.99366747635370667</v>
      </c>
    </row>
    <row r="17" spans="1:15" ht="15" thickBot="1" x14ac:dyDescent="0.35">
      <c r="A17" s="92"/>
      <c r="B17" s="98" t="s">
        <v>85</v>
      </c>
      <c r="C17" s="98" t="s">
        <v>46</v>
      </c>
      <c r="D17" s="102">
        <f t="shared" ref="D17:D18" si="1">D9/$D$11</f>
        <v>5.6968074336140838E-3</v>
      </c>
      <c r="E17" s="102">
        <f>E9/$E$11</f>
        <v>6.3794148698161279E-3</v>
      </c>
      <c r="F17" s="102" t="e">
        <f t="shared" ref="F17:F18" si="2">F9/$F$11</f>
        <v>#REF!</v>
      </c>
      <c r="G17" s="102">
        <f>D17</f>
        <v>5.6968074336140838E-3</v>
      </c>
    </row>
    <row r="18" spans="1:15" s="1" customFormat="1" ht="15" thickBot="1" x14ac:dyDescent="0.35">
      <c r="A18" s="92"/>
      <c r="B18" s="99" t="s">
        <v>86</v>
      </c>
      <c r="C18" s="99" t="s">
        <v>46</v>
      </c>
      <c r="D18" s="121">
        <f t="shared" si="1"/>
        <v>6.3571621267914658E-4</v>
      </c>
      <c r="E18" s="121">
        <f>E10/$E$11</f>
        <v>1.046169480677317E-3</v>
      </c>
      <c r="F18" s="101" t="e">
        <f t="shared" si="2"/>
        <v>#REF!</v>
      </c>
      <c r="G18" s="121">
        <f>D18</f>
        <v>6.3571621267914658E-4</v>
      </c>
    </row>
    <row r="19" spans="1:15" ht="15" thickBot="1" x14ac:dyDescent="0.35">
      <c r="A19" s="92"/>
      <c r="B19" s="108" t="s">
        <v>83</v>
      </c>
      <c r="C19" s="108" t="s">
        <v>46</v>
      </c>
      <c r="D19" s="102">
        <f>SUM(D16:D18)</f>
        <v>0.99999999999999989</v>
      </c>
      <c r="E19" s="102">
        <f>SUM(E16:E18)</f>
        <v>1</v>
      </c>
      <c r="F19" s="102" t="e">
        <f>SUM(F16:F18)</f>
        <v>#REF!</v>
      </c>
      <c r="G19" s="102">
        <f>SUM(G16:G18)</f>
        <v>0.99999999999999989</v>
      </c>
    </row>
    <row r="22" spans="1:15" ht="19.2" thickBot="1" x14ac:dyDescent="0.35">
      <c r="A22" s="91" t="s">
        <v>88</v>
      </c>
      <c r="D22" s="1"/>
    </row>
    <row r="23" spans="1:15" ht="37.799999999999997" thickBot="1" x14ac:dyDescent="0.35">
      <c r="B23" s="93" t="s">
        <v>77</v>
      </c>
      <c r="C23" s="94" t="s">
        <v>78</v>
      </c>
      <c r="D23" s="111">
        <v>1397</v>
      </c>
      <c r="E23" s="105" t="s">
        <v>79</v>
      </c>
      <c r="F23" s="106" t="s">
        <v>80</v>
      </c>
      <c r="G23" s="106" t="s">
        <v>81</v>
      </c>
    </row>
    <row r="24" spans="1:15" ht="15" thickBot="1" x14ac:dyDescent="0.35">
      <c r="B24" s="99" t="s">
        <v>82</v>
      </c>
      <c r="C24" s="97" t="s">
        <v>89</v>
      </c>
      <c r="D24" s="107">
        <v>444213957</v>
      </c>
      <c r="E24" s="107">
        <v>180429240</v>
      </c>
      <c r="F24" s="107" t="e">
        <f>F31*F8/1000000</f>
        <v>#REF!</v>
      </c>
      <c r="G24" s="107" t="e">
        <f>F24+E24</f>
        <v>#REF!</v>
      </c>
      <c r="I24" s="100"/>
    </row>
    <row r="25" spans="1:15" ht="15" thickBot="1" x14ac:dyDescent="0.35">
      <c r="B25" s="98" t="s">
        <v>85</v>
      </c>
      <c r="C25" s="103" t="s">
        <v>89</v>
      </c>
      <c r="D25" s="108">
        <v>3147871</v>
      </c>
      <c r="E25" s="108">
        <v>1858305</v>
      </c>
      <c r="F25" s="108" t="e">
        <f t="shared" ref="F25:F26" si="3">F32*F9/1000000</f>
        <v>#REF!</v>
      </c>
      <c r="G25" s="108" t="e">
        <f t="shared" ref="G25:G26" si="4">F25+E25</f>
        <v>#REF!</v>
      </c>
      <c r="I25" s="100"/>
    </row>
    <row r="26" spans="1:15" ht="15" thickBot="1" x14ac:dyDescent="0.35">
      <c r="B26" s="99" t="s">
        <v>86</v>
      </c>
      <c r="C26" s="99" t="s">
        <v>89</v>
      </c>
      <c r="D26" s="109">
        <v>124895</v>
      </c>
      <c r="E26" s="109">
        <v>54794</v>
      </c>
      <c r="F26" s="107" t="e">
        <f t="shared" si="3"/>
        <v>#REF!</v>
      </c>
      <c r="G26" s="107" t="e">
        <f t="shared" si="4"/>
        <v>#REF!</v>
      </c>
      <c r="I26" s="100"/>
    </row>
    <row r="27" spans="1:15" s="1" customFormat="1" ht="15" thickBot="1" x14ac:dyDescent="0.35">
      <c r="B27" s="98" t="s">
        <v>83</v>
      </c>
      <c r="C27" s="98" t="s">
        <v>89</v>
      </c>
      <c r="D27" s="108">
        <f>SUM(D24:D26)</f>
        <v>447486723</v>
      </c>
      <c r="E27" s="108">
        <f>SUM(E24:E26)</f>
        <v>182342339</v>
      </c>
      <c r="F27" s="108" t="e">
        <f>SUM(F24:F26)</f>
        <v>#REF!</v>
      </c>
      <c r="G27" s="108" t="e">
        <f>SUM(G24:G26)</f>
        <v>#REF!</v>
      </c>
    </row>
    <row r="29" spans="1:15" ht="19.2" thickBot="1" x14ac:dyDescent="0.35">
      <c r="A29" s="91" t="s">
        <v>90</v>
      </c>
    </row>
    <row r="30" spans="1:15" ht="37.799999999999997" thickBot="1" x14ac:dyDescent="0.35">
      <c r="B30" s="93" t="s">
        <v>77</v>
      </c>
      <c r="C30" s="94" t="s">
        <v>78</v>
      </c>
      <c r="D30" s="111">
        <v>1397</v>
      </c>
      <c r="E30" s="105" t="s">
        <v>79</v>
      </c>
      <c r="F30" s="106" t="s">
        <v>80</v>
      </c>
      <c r="G30" s="106" t="s">
        <v>81</v>
      </c>
      <c r="J30" s="203"/>
      <c r="K30" s="203"/>
      <c r="L30" s="203"/>
    </row>
    <row r="31" spans="1:15" ht="15" thickBot="1" x14ac:dyDescent="0.35">
      <c r="B31" s="99" t="s">
        <v>82</v>
      </c>
      <c r="C31" s="97" t="s">
        <v>91</v>
      </c>
      <c r="D31" s="107">
        <f>D24*1000000/D8</f>
        <v>3857195.6260192809</v>
      </c>
      <c r="E31" s="107">
        <f>E24*1000000/E8</f>
        <v>5883887.9839531723</v>
      </c>
      <c r="F31" s="107">
        <f>F6*F5</f>
        <v>5750000</v>
      </c>
      <c r="G31" s="107" t="e">
        <f>G24*1000000/G8</f>
        <v>#REF!</v>
      </c>
      <c r="J31" s="203"/>
      <c r="K31" s="203"/>
      <c r="L31" s="203"/>
      <c r="M31" s="202"/>
      <c r="N31" s="202"/>
      <c r="O31" s="202"/>
    </row>
    <row r="32" spans="1:15" ht="15" thickBot="1" x14ac:dyDescent="0.35">
      <c r="A32" s="1"/>
      <c r="B32" s="108" t="s">
        <v>85</v>
      </c>
      <c r="C32" s="108" t="s">
        <v>91</v>
      </c>
      <c r="D32" s="108">
        <f t="shared" ref="D32:E33" si="5">D25*1000000/D9</f>
        <v>4767667.1529028397</v>
      </c>
      <c r="E32" s="108">
        <f t="shared" si="5"/>
        <v>9428806.0439735763</v>
      </c>
      <c r="F32" s="108">
        <f>K34*F6</f>
        <v>11631011.681901628</v>
      </c>
      <c r="G32" s="108" t="e">
        <f t="shared" ref="G32:G33" si="6">G25*1000000/G9</f>
        <v>#REF!</v>
      </c>
      <c r="J32" s="203"/>
      <c r="K32" s="204">
        <f>F31/F6</f>
        <v>50</v>
      </c>
      <c r="L32" s="203"/>
      <c r="M32" s="202"/>
      <c r="N32" s="202"/>
      <c r="O32" s="202"/>
    </row>
    <row r="33" spans="1:15" ht="15" thickBot="1" x14ac:dyDescent="0.35">
      <c r="B33" s="99" t="s">
        <v>86</v>
      </c>
      <c r="C33" s="97" t="s">
        <v>91</v>
      </c>
      <c r="D33" s="107">
        <f t="shared" si="5"/>
        <v>1695127.2521991422</v>
      </c>
      <c r="E33" s="107">
        <f t="shared" si="5"/>
        <v>1695319.3228254523</v>
      </c>
      <c r="F33" s="109">
        <f>K35*F6</f>
        <v>2091280.5668475211</v>
      </c>
      <c r="G33" s="107" t="e">
        <f t="shared" si="6"/>
        <v>#REF!</v>
      </c>
      <c r="J33" s="203"/>
      <c r="K33" s="201">
        <f>D33/D6</f>
        <v>27.685038988047204</v>
      </c>
      <c r="L33" s="203"/>
      <c r="M33" s="202"/>
      <c r="N33" s="202"/>
      <c r="O33" s="202"/>
    </row>
    <row r="34" spans="1:15" ht="15" thickBot="1" x14ac:dyDescent="0.35">
      <c r="B34" s="98" t="s">
        <v>92</v>
      </c>
      <c r="C34" s="98" t="s">
        <v>91</v>
      </c>
      <c r="D34" s="108">
        <f>AVERAGE(D31:D33)</f>
        <v>3439996.6770404205</v>
      </c>
      <c r="E34" s="108">
        <f t="shared" ref="E34:G34" si="7">AVERAGE(E31:E33)</f>
        <v>5669337.7835840667</v>
      </c>
      <c r="F34" s="108">
        <f t="shared" si="7"/>
        <v>6490764.0829163827</v>
      </c>
      <c r="G34" s="108" t="e">
        <f t="shared" si="7"/>
        <v>#REF!</v>
      </c>
      <c r="J34" s="203"/>
      <c r="K34" s="201">
        <f>E32/E6</f>
        <v>101.1392320165359</v>
      </c>
      <c r="L34" s="203"/>
      <c r="M34" s="202"/>
      <c r="N34" s="202"/>
      <c r="O34" s="202"/>
    </row>
    <row r="35" spans="1:15" x14ac:dyDescent="0.3">
      <c r="J35" s="203"/>
      <c r="K35" s="201">
        <f>E33/E6</f>
        <v>18.185048407369749</v>
      </c>
      <c r="L35" s="203"/>
      <c r="M35" s="202"/>
      <c r="N35" s="202"/>
      <c r="O35" s="202"/>
    </row>
    <row r="36" spans="1:15" ht="19.2" thickBot="1" x14ac:dyDescent="0.35">
      <c r="A36" s="91" t="s">
        <v>96</v>
      </c>
      <c r="J36" s="203"/>
      <c r="K36" s="203"/>
      <c r="L36" s="203"/>
      <c r="M36" s="202"/>
      <c r="N36" s="202"/>
      <c r="O36" s="202"/>
    </row>
    <row r="37" spans="1:15" ht="93.6" thickBot="1" x14ac:dyDescent="0.35">
      <c r="B37" s="95" t="s">
        <v>77</v>
      </c>
      <c r="C37" s="95" t="s">
        <v>97</v>
      </c>
      <c r="D37" s="95" t="s">
        <v>98</v>
      </c>
      <c r="E37" s="95" t="s">
        <v>80</v>
      </c>
      <c r="F37" s="95" t="s">
        <v>81</v>
      </c>
      <c r="G37"/>
      <c r="J37" s="203"/>
      <c r="K37" s="203"/>
      <c r="L37" s="203"/>
      <c r="M37" s="202"/>
      <c r="N37" s="202"/>
      <c r="O37" s="202"/>
    </row>
    <row r="38" spans="1:15" ht="36" thickBot="1" x14ac:dyDescent="0.35">
      <c r="B38" s="113" t="s">
        <v>101</v>
      </c>
      <c r="C38" s="113">
        <v>447486723</v>
      </c>
      <c r="D38" s="113">
        <v>182342339</v>
      </c>
      <c r="E38" s="113" t="e">
        <f>F27</f>
        <v>#REF!</v>
      </c>
      <c r="F38" s="113" t="e">
        <f>E38+D38</f>
        <v>#REF!</v>
      </c>
      <c r="G38"/>
    </row>
    <row r="39" spans="1:15" ht="24.6" thickBot="1" x14ac:dyDescent="0.35">
      <c r="B39" s="114" t="s">
        <v>102</v>
      </c>
      <c r="C39" s="114">
        <v>173553</v>
      </c>
      <c r="D39" s="114">
        <v>52066</v>
      </c>
      <c r="E39" s="114"/>
      <c r="F39" s="114">
        <f>C39*1.3</f>
        <v>225618.9</v>
      </c>
      <c r="G39"/>
    </row>
    <row r="40" spans="1:15" ht="15" thickBot="1" x14ac:dyDescent="0.35">
      <c r="B40" s="113" t="s">
        <v>103</v>
      </c>
      <c r="C40" s="113">
        <v>5054313</v>
      </c>
      <c r="D40" s="113">
        <v>1419413</v>
      </c>
      <c r="E40" s="113"/>
      <c r="F40" s="113">
        <f>C40*2</f>
        <v>10108626</v>
      </c>
      <c r="G40"/>
    </row>
    <row r="41" spans="1:15" ht="15" thickBot="1" x14ac:dyDescent="0.35">
      <c r="B41" s="114" t="s">
        <v>104</v>
      </c>
      <c r="C41" s="114">
        <v>452714589</v>
      </c>
      <c r="D41" s="114">
        <v>183813818</v>
      </c>
      <c r="E41" s="114"/>
      <c r="F41" s="114" t="e">
        <f>SUM(F38:F40)</f>
        <v>#REF!</v>
      </c>
      <c r="G41"/>
    </row>
    <row r="42" spans="1:15" ht="24.6" thickBot="1" x14ac:dyDescent="0.35">
      <c r="B42" s="115" t="s">
        <v>105</v>
      </c>
      <c r="C42" s="115">
        <v>0</v>
      </c>
      <c r="D42" s="115">
        <v>0</v>
      </c>
      <c r="E42" s="115"/>
      <c r="F42" s="115"/>
      <c r="G42"/>
    </row>
    <row r="43" spans="1:15" ht="24.6" thickBot="1" x14ac:dyDescent="0.35">
      <c r="B43" s="114" t="s">
        <v>106</v>
      </c>
      <c r="C43" s="114">
        <v>452714589</v>
      </c>
      <c r="D43" s="114">
        <v>183813818</v>
      </c>
      <c r="E43" s="114"/>
      <c r="F43" s="114" t="e">
        <f>F41</f>
        <v>#REF!</v>
      </c>
    </row>
    <row r="44" spans="1:15" ht="58.8" thickBot="1" x14ac:dyDescent="0.35">
      <c r="B44" s="113" t="s">
        <v>107</v>
      </c>
      <c r="C44" s="113">
        <v>1578419</v>
      </c>
      <c r="D44" s="113">
        <v>4736622</v>
      </c>
      <c r="E44" s="113"/>
      <c r="F44" s="113"/>
    </row>
    <row r="45" spans="1:15" ht="58.8" thickBot="1" x14ac:dyDescent="0.35">
      <c r="B45" s="114" t="s">
        <v>108</v>
      </c>
      <c r="C45" s="114">
        <v>-4736622</v>
      </c>
      <c r="D45" s="114">
        <v>-5133964</v>
      </c>
      <c r="E45" s="114"/>
      <c r="F45" s="114"/>
    </row>
    <row r="46" spans="1:15" ht="24.6" thickBot="1" x14ac:dyDescent="0.35">
      <c r="B46" s="115" t="s">
        <v>109</v>
      </c>
      <c r="C46" s="115">
        <v>0</v>
      </c>
      <c r="D46" s="115">
        <v>0</v>
      </c>
      <c r="E46" s="115"/>
      <c r="F46" s="115"/>
    </row>
    <row r="47" spans="1:15" ht="36" thickBot="1" x14ac:dyDescent="0.35">
      <c r="B47" s="114" t="s">
        <v>110</v>
      </c>
      <c r="C47" s="114">
        <v>449556386</v>
      </c>
      <c r="D47" s="114">
        <v>183416476</v>
      </c>
      <c r="E47" s="114"/>
      <c r="F47" s="114"/>
    </row>
    <row r="48" spans="1:15" ht="47.4" thickBot="1" x14ac:dyDescent="0.35">
      <c r="B48" s="113" t="s">
        <v>111</v>
      </c>
      <c r="C48" s="113">
        <v>5702667</v>
      </c>
      <c r="D48" s="113">
        <v>23570097</v>
      </c>
      <c r="E48" s="113"/>
      <c r="F48" s="113"/>
    </row>
    <row r="49" spans="2:7" ht="47.4" thickBot="1" x14ac:dyDescent="0.35">
      <c r="B49" s="114" t="s">
        <v>112</v>
      </c>
      <c r="C49" s="114">
        <v>-23570097</v>
      </c>
      <c r="D49" s="114">
        <v>-41136749</v>
      </c>
      <c r="E49" s="114"/>
      <c r="F49" s="114"/>
    </row>
    <row r="50" spans="2:7" ht="36" thickBot="1" x14ac:dyDescent="0.35">
      <c r="B50" s="113" t="s">
        <v>113</v>
      </c>
      <c r="C50" s="113">
        <v>431688956</v>
      </c>
      <c r="D50" s="113">
        <v>165849824</v>
      </c>
      <c r="E50" s="113"/>
      <c r="F50" s="113"/>
    </row>
    <row r="51" spans="2:7" ht="36" thickBot="1" x14ac:dyDescent="0.35">
      <c r="B51" s="116" t="s">
        <v>114</v>
      </c>
      <c r="C51" s="116">
        <v>0</v>
      </c>
      <c r="D51" s="116">
        <v>0</v>
      </c>
      <c r="E51" s="116"/>
      <c r="F51" s="116"/>
    </row>
    <row r="52" spans="2:7" ht="24.6" thickBot="1" x14ac:dyDescent="0.35">
      <c r="B52" s="117" t="s">
        <v>115</v>
      </c>
      <c r="C52" s="117">
        <v>431688956</v>
      </c>
      <c r="D52" s="117">
        <v>165849824</v>
      </c>
      <c r="E52" s="117"/>
      <c r="F52" s="117" t="e">
        <f>SUM(F38:F51)</f>
        <v>#REF!</v>
      </c>
    </row>
    <row r="53" spans="2:7" ht="15" thickBot="1" x14ac:dyDescent="0.35"/>
    <row r="54" spans="2:7" ht="47.4" thickBot="1" x14ac:dyDescent="0.35">
      <c r="B54" s="118" t="s">
        <v>99</v>
      </c>
      <c r="C54" s="119">
        <f>C43/C38</f>
        <v>1.0116827287409822</v>
      </c>
      <c r="D54" s="120">
        <f>D43/D38</f>
        <v>1.0080698701578024</v>
      </c>
      <c r="E54" s="119" t="e">
        <f t="shared" ref="E54:F54" si="8">E43/E38</f>
        <v>#REF!</v>
      </c>
      <c r="F54" s="119" t="e">
        <f t="shared" si="8"/>
        <v>#REF!</v>
      </c>
      <c r="G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rightToLeft="1" zoomScaleNormal="100" workbookViewId="0">
      <selection activeCell="C27" sqref="C27"/>
    </sheetView>
  </sheetViews>
  <sheetFormatPr defaultRowHeight="14.4" x14ac:dyDescent="0.3"/>
  <cols>
    <col min="2" max="2" width="23.33203125" bestFit="1" customWidth="1"/>
    <col min="3" max="3" width="11.6640625" customWidth="1"/>
    <col min="4" max="4" width="11.6640625" style="1" customWidth="1"/>
    <col min="5" max="5" width="23.33203125" bestFit="1" customWidth="1"/>
    <col min="6" max="6" width="11.33203125" customWidth="1"/>
    <col min="7" max="7" width="10" bestFit="1" customWidth="1"/>
    <col min="8" max="8" width="23.33203125" bestFit="1" customWidth="1"/>
    <col min="9" max="9" width="10.109375" bestFit="1" customWidth="1"/>
    <col min="11" max="11" width="23.33203125" bestFit="1" customWidth="1"/>
    <col min="12" max="12" width="10.109375" bestFit="1" customWidth="1"/>
    <col min="14" max="14" width="23.33203125" bestFit="1" customWidth="1"/>
    <col min="15" max="15" width="10.109375" bestFit="1" customWidth="1"/>
  </cols>
  <sheetData>
    <row r="1" spans="2:16" s="1" customFormat="1" ht="19.2" thickBot="1" x14ac:dyDescent="0.65">
      <c r="B1" s="181" t="s">
        <v>18</v>
      </c>
      <c r="C1" s="182"/>
      <c r="D1" s="55">
        <v>61229</v>
      </c>
      <c r="E1" s="181" t="s">
        <v>32</v>
      </c>
      <c r="F1" s="182"/>
      <c r="G1" s="55">
        <v>93226</v>
      </c>
      <c r="H1" s="181" t="s">
        <v>64</v>
      </c>
      <c r="I1" s="182"/>
      <c r="J1" s="55">
        <v>110000</v>
      </c>
      <c r="K1" s="181" t="s">
        <v>65</v>
      </c>
      <c r="L1" s="182"/>
      <c r="M1" s="55">
        <v>115000</v>
      </c>
      <c r="N1" s="181" t="s">
        <v>66</v>
      </c>
      <c r="O1" s="182"/>
      <c r="P1" s="55">
        <v>120000</v>
      </c>
    </row>
    <row r="2" spans="2:16" ht="20.399999999999999" x14ac:dyDescent="0.3">
      <c r="B2" s="50" t="s">
        <v>23</v>
      </c>
      <c r="C2" s="51" t="s">
        <v>18</v>
      </c>
      <c r="D2" s="52" t="s">
        <v>95</v>
      </c>
      <c r="E2" s="50" t="s">
        <v>23</v>
      </c>
      <c r="F2" s="51" t="s">
        <v>32</v>
      </c>
      <c r="G2" s="52" t="s">
        <v>95</v>
      </c>
      <c r="H2" s="50" t="s">
        <v>23</v>
      </c>
      <c r="I2" s="51" t="s">
        <v>32</v>
      </c>
      <c r="J2" s="52" t="s">
        <v>95</v>
      </c>
      <c r="K2" s="50" t="s">
        <v>23</v>
      </c>
      <c r="L2" s="51" t="s">
        <v>32</v>
      </c>
      <c r="M2" s="52" t="s">
        <v>95</v>
      </c>
      <c r="N2" s="50" t="s">
        <v>23</v>
      </c>
      <c r="O2" s="51" t="s">
        <v>32</v>
      </c>
      <c r="P2" s="52" t="s">
        <v>95</v>
      </c>
    </row>
    <row r="3" spans="2:16" ht="18.600000000000001" x14ac:dyDescent="0.3">
      <c r="B3" s="21" t="s">
        <v>0</v>
      </c>
      <c r="C3" s="22">
        <v>44687150.943396226</v>
      </c>
      <c r="D3" s="23">
        <f>C3/C$20</f>
        <v>0.36420430472653176</v>
      </c>
      <c r="E3" s="21" t="s">
        <v>0</v>
      </c>
      <c r="F3" s="22">
        <v>11222138.364779875</v>
      </c>
      <c r="G3" s="23">
        <f>F3/F$20</f>
        <v>0.34718226699326565</v>
      </c>
      <c r="H3" s="21" t="s">
        <v>0</v>
      </c>
      <c r="I3" s="22">
        <v>11222138.364779875</v>
      </c>
      <c r="J3" s="23">
        <f>I3/I$20</f>
        <v>0.34718226699326565</v>
      </c>
      <c r="K3" s="21" t="s">
        <v>0</v>
      </c>
      <c r="L3" s="22">
        <v>11222138.364779875</v>
      </c>
      <c r="M3" s="23">
        <f>L3/L$20</f>
        <v>0.34718226699326565</v>
      </c>
      <c r="N3" s="21" t="s">
        <v>0</v>
      </c>
      <c r="O3" s="22">
        <v>11222138.364779875</v>
      </c>
      <c r="P3" s="23">
        <f>O3/O$20</f>
        <v>0.34718226699326565</v>
      </c>
    </row>
    <row r="4" spans="2:16" ht="18.600000000000001" x14ac:dyDescent="0.3">
      <c r="B4" s="21" t="s">
        <v>2</v>
      </c>
      <c r="C4" s="22">
        <v>22315811.320754718</v>
      </c>
      <c r="D4" s="23">
        <f t="shared" ref="D4:D19" si="0">C4/C$20</f>
        <v>0.1818758720326297</v>
      </c>
      <c r="E4" s="21" t="s">
        <v>2</v>
      </c>
      <c r="F4" s="22">
        <v>5977446.5408805031</v>
      </c>
      <c r="G4" s="23">
        <f t="shared" ref="G4:G20" si="1">F4/F$20</f>
        <v>0.18492584687843971</v>
      </c>
      <c r="H4" s="21" t="s">
        <v>2</v>
      </c>
      <c r="I4" s="22">
        <v>5977446.5408805031</v>
      </c>
      <c r="J4" s="23">
        <f t="shared" ref="J4:J20" si="2">I4/I$20</f>
        <v>0.18492584687843971</v>
      </c>
      <c r="K4" s="21" t="s">
        <v>2</v>
      </c>
      <c r="L4" s="22">
        <v>5977446.5408805031</v>
      </c>
      <c r="M4" s="23">
        <f t="shared" ref="M4:M20" si="3">L4/L$20</f>
        <v>0.18492584687843971</v>
      </c>
      <c r="N4" s="21" t="s">
        <v>2</v>
      </c>
      <c r="O4" s="22">
        <v>5977446.5408805031</v>
      </c>
      <c r="P4" s="23">
        <f t="shared" ref="P4:P20" si="4">O4/O$20</f>
        <v>0.18492584687843971</v>
      </c>
    </row>
    <row r="5" spans="2:16" ht="18.600000000000001" x14ac:dyDescent="0.3">
      <c r="B5" s="21" t="s">
        <v>3</v>
      </c>
      <c r="C5" s="22">
        <v>19125691.82389937</v>
      </c>
      <c r="D5" s="23">
        <f t="shared" si="0"/>
        <v>0.15587611083016592</v>
      </c>
      <c r="E5" s="21" t="s">
        <v>3</v>
      </c>
      <c r="F5" s="22">
        <v>5212584.9056603778</v>
      </c>
      <c r="G5" s="23">
        <f t="shared" si="1"/>
        <v>0.1612631198811231</v>
      </c>
      <c r="H5" s="21" t="s">
        <v>3</v>
      </c>
      <c r="I5" s="22">
        <v>5212584.9056603778</v>
      </c>
      <c r="J5" s="23">
        <f t="shared" si="2"/>
        <v>0.1612631198811231</v>
      </c>
      <c r="K5" s="21" t="s">
        <v>3</v>
      </c>
      <c r="L5" s="22">
        <v>5212584.9056603778</v>
      </c>
      <c r="M5" s="23">
        <f t="shared" si="3"/>
        <v>0.1612631198811231</v>
      </c>
      <c r="N5" s="21" t="s">
        <v>3</v>
      </c>
      <c r="O5" s="22">
        <v>5212584.9056603778</v>
      </c>
      <c r="P5" s="23">
        <f t="shared" si="4"/>
        <v>0.1612631198811231</v>
      </c>
    </row>
    <row r="6" spans="2:16" ht="18.600000000000001" x14ac:dyDescent="0.3">
      <c r="B6" s="21" t="s">
        <v>4</v>
      </c>
      <c r="C6" s="22">
        <v>9047559.7484276723</v>
      </c>
      <c r="D6" s="23">
        <f t="shared" si="0"/>
        <v>7.3738426775556323E-2</v>
      </c>
      <c r="E6" s="21" t="s">
        <v>4</v>
      </c>
      <c r="F6" s="22">
        <v>2510484.2767295595</v>
      </c>
      <c r="G6" s="23">
        <f t="shared" si="1"/>
        <v>7.7667517019873594E-2</v>
      </c>
      <c r="H6" s="21" t="s">
        <v>4</v>
      </c>
      <c r="I6" s="22">
        <v>2510484.2767295595</v>
      </c>
      <c r="J6" s="23">
        <f t="shared" si="2"/>
        <v>7.7667517019873594E-2</v>
      </c>
      <c r="K6" s="21" t="s">
        <v>4</v>
      </c>
      <c r="L6" s="22">
        <v>2510484.2767295595</v>
      </c>
      <c r="M6" s="23">
        <f t="shared" si="3"/>
        <v>7.7667517019873594E-2</v>
      </c>
      <c r="N6" s="21" t="s">
        <v>4</v>
      </c>
      <c r="O6" s="22">
        <v>2510484.2767295595</v>
      </c>
      <c r="P6" s="23">
        <f t="shared" si="4"/>
        <v>7.7667517019873594E-2</v>
      </c>
    </row>
    <row r="7" spans="2:16" ht="18.600000000000001" x14ac:dyDescent="0.3">
      <c r="B7" s="21" t="s">
        <v>5</v>
      </c>
      <c r="C7" s="22">
        <v>3731182.389937107</v>
      </c>
      <c r="D7" s="23">
        <f t="shared" si="0"/>
        <v>3.0409472509362125E-2</v>
      </c>
      <c r="E7" s="21" t="s">
        <v>5</v>
      </c>
      <c r="F7" s="22">
        <v>1026245.283018868</v>
      </c>
      <c r="G7" s="23">
        <f t="shared" si="1"/>
        <v>3.1749222141819924E-2</v>
      </c>
      <c r="H7" s="21" t="s">
        <v>5</v>
      </c>
      <c r="I7" s="22">
        <v>1026245.283018868</v>
      </c>
      <c r="J7" s="23">
        <f t="shared" si="2"/>
        <v>3.1749222141819924E-2</v>
      </c>
      <c r="K7" s="21" t="s">
        <v>5</v>
      </c>
      <c r="L7" s="22">
        <v>1026245.283018868</v>
      </c>
      <c r="M7" s="23">
        <f t="shared" si="3"/>
        <v>3.1749222141819924E-2</v>
      </c>
      <c r="N7" s="21" t="s">
        <v>5</v>
      </c>
      <c r="O7" s="22">
        <v>1026245.283018868</v>
      </c>
      <c r="P7" s="23">
        <f t="shared" si="4"/>
        <v>3.1749222141819924E-2</v>
      </c>
    </row>
    <row r="8" spans="2:16" ht="18.600000000000001" x14ac:dyDescent="0.3">
      <c r="B8" s="21" t="s">
        <v>6</v>
      </c>
      <c r="C8" s="22">
        <v>4019320.7547169812</v>
      </c>
      <c r="D8" s="23">
        <f t="shared" si="0"/>
        <v>3.27578261321433E-2</v>
      </c>
      <c r="E8" s="21" t="s">
        <v>6</v>
      </c>
      <c r="F8" s="22">
        <v>1109327.0440251573</v>
      </c>
      <c r="G8" s="23">
        <f t="shared" si="1"/>
        <v>3.4319544587895205E-2</v>
      </c>
      <c r="H8" s="21" t="s">
        <v>6</v>
      </c>
      <c r="I8" s="22">
        <v>1109327.0440251573</v>
      </c>
      <c r="J8" s="23">
        <f t="shared" si="2"/>
        <v>3.4319544587895205E-2</v>
      </c>
      <c r="K8" s="21" t="s">
        <v>6</v>
      </c>
      <c r="L8" s="22">
        <v>1109327.0440251573</v>
      </c>
      <c r="M8" s="23">
        <f t="shared" si="3"/>
        <v>3.4319544587895205E-2</v>
      </c>
      <c r="N8" s="21" t="s">
        <v>6</v>
      </c>
      <c r="O8" s="22">
        <v>1109327.0440251573</v>
      </c>
      <c r="P8" s="23">
        <f t="shared" si="4"/>
        <v>3.4319544587895205E-2</v>
      </c>
    </row>
    <row r="9" spans="2:16" ht="18.600000000000001" x14ac:dyDescent="0.3">
      <c r="B9" s="21" t="s">
        <v>7</v>
      </c>
      <c r="C9" s="22">
        <v>1691000</v>
      </c>
      <c r="D9" s="23">
        <f t="shared" si="0"/>
        <v>1.3781802291953391E-2</v>
      </c>
      <c r="E9" s="21" t="s">
        <v>7</v>
      </c>
      <c r="F9" s="22">
        <v>431540.88050314464</v>
      </c>
      <c r="G9" s="23">
        <f t="shared" si="1"/>
        <v>1.335069452213892E-2</v>
      </c>
      <c r="H9" s="21" t="s">
        <v>7</v>
      </c>
      <c r="I9" s="22">
        <v>431540.88050314464</v>
      </c>
      <c r="J9" s="23">
        <f t="shared" si="2"/>
        <v>1.335069452213892E-2</v>
      </c>
      <c r="K9" s="21" t="s">
        <v>7</v>
      </c>
      <c r="L9" s="22">
        <v>431540.88050314464</v>
      </c>
      <c r="M9" s="23">
        <f t="shared" si="3"/>
        <v>1.335069452213892E-2</v>
      </c>
      <c r="N9" s="21" t="s">
        <v>7</v>
      </c>
      <c r="O9" s="22">
        <v>431540.88050314464</v>
      </c>
      <c r="P9" s="23">
        <f t="shared" si="4"/>
        <v>1.335069452213892E-2</v>
      </c>
    </row>
    <row r="10" spans="2:16" ht="18.600000000000001" x14ac:dyDescent="0.3">
      <c r="B10" s="5" t="s">
        <v>8</v>
      </c>
      <c r="C10" s="2">
        <v>1575522.0125786164</v>
      </c>
      <c r="D10" s="3">
        <f t="shared" si="0"/>
        <v>1.2840646294487874E-2</v>
      </c>
      <c r="E10" s="5" t="s">
        <v>8</v>
      </c>
      <c r="F10" s="2">
        <v>441270.44025157235</v>
      </c>
      <c r="G10" s="3">
        <f t="shared" si="1"/>
        <v>1.3651700489139561E-2</v>
      </c>
      <c r="H10" s="5" t="s">
        <v>8</v>
      </c>
      <c r="I10" s="2">
        <v>441270.44025157235</v>
      </c>
      <c r="J10" s="3">
        <f t="shared" si="2"/>
        <v>1.3651700489139561E-2</v>
      </c>
      <c r="K10" s="5" t="s">
        <v>8</v>
      </c>
      <c r="L10" s="2">
        <v>441270.44025157235</v>
      </c>
      <c r="M10" s="3">
        <f t="shared" si="3"/>
        <v>1.3651700489139561E-2</v>
      </c>
      <c r="N10" s="5" t="s">
        <v>8</v>
      </c>
      <c r="O10" s="2">
        <v>441270.44025157235</v>
      </c>
      <c r="P10" s="3">
        <f t="shared" si="4"/>
        <v>1.3651700489139561E-2</v>
      </c>
    </row>
    <row r="11" spans="2:16" ht="18.600000000000001" x14ac:dyDescent="0.3">
      <c r="B11" s="5" t="s">
        <v>9</v>
      </c>
      <c r="C11" s="2">
        <v>1179861.6352201258</v>
      </c>
      <c r="D11" s="3">
        <f t="shared" si="0"/>
        <v>9.6159785857271463E-3</v>
      </c>
      <c r="E11" s="5" t="s">
        <v>9</v>
      </c>
      <c r="F11" s="2">
        <v>329578.61635220126</v>
      </c>
      <c r="G11" s="3">
        <f t="shared" si="1"/>
        <v>1.0196260949408233E-2</v>
      </c>
      <c r="H11" s="5" t="s">
        <v>9</v>
      </c>
      <c r="I11" s="2">
        <v>329578.61635220126</v>
      </c>
      <c r="J11" s="3">
        <f t="shared" si="2"/>
        <v>1.0196260949408233E-2</v>
      </c>
      <c r="K11" s="5" t="s">
        <v>9</v>
      </c>
      <c r="L11" s="2">
        <v>329578.61635220126</v>
      </c>
      <c r="M11" s="3">
        <f t="shared" si="3"/>
        <v>1.0196260949408233E-2</v>
      </c>
      <c r="N11" s="5" t="s">
        <v>9</v>
      </c>
      <c r="O11" s="2">
        <v>329578.61635220126</v>
      </c>
      <c r="P11" s="3">
        <f t="shared" si="4"/>
        <v>1.0196260949408233E-2</v>
      </c>
    </row>
    <row r="12" spans="2:16" ht="18.600000000000001" x14ac:dyDescent="0.3">
      <c r="B12" s="5" t="s">
        <v>10</v>
      </c>
      <c r="C12" s="2">
        <v>1260528.3018867925</v>
      </c>
      <c r="D12" s="3">
        <f t="shared" si="0"/>
        <v>1.0273419183924017E-2</v>
      </c>
      <c r="E12" s="5" t="s">
        <v>10</v>
      </c>
      <c r="F12" s="2">
        <v>348987.42138364777</v>
      </c>
      <c r="G12" s="3">
        <f t="shared" si="1"/>
        <v>1.0796716291466392E-2</v>
      </c>
      <c r="H12" s="5" t="s">
        <v>10</v>
      </c>
      <c r="I12" s="2">
        <v>348987.42138364777</v>
      </c>
      <c r="J12" s="3">
        <f t="shared" si="2"/>
        <v>1.0796716291466392E-2</v>
      </c>
      <c r="K12" s="5" t="s">
        <v>10</v>
      </c>
      <c r="L12" s="2">
        <v>348987.42138364777</v>
      </c>
      <c r="M12" s="3">
        <f t="shared" si="3"/>
        <v>1.0796716291466392E-2</v>
      </c>
      <c r="N12" s="5" t="s">
        <v>10</v>
      </c>
      <c r="O12" s="2">
        <v>348987.42138364777</v>
      </c>
      <c r="P12" s="3">
        <f t="shared" si="4"/>
        <v>1.0796716291466392E-2</v>
      </c>
    </row>
    <row r="13" spans="2:16" ht="18.600000000000001" x14ac:dyDescent="0.3">
      <c r="B13" s="5" t="s">
        <v>16</v>
      </c>
      <c r="C13" s="2">
        <v>1181559.748427673</v>
      </c>
      <c r="D13" s="3">
        <f t="shared" si="0"/>
        <v>9.6298183613012286E-3</v>
      </c>
      <c r="E13" s="5" t="s">
        <v>16</v>
      </c>
      <c r="F13" s="2">
        <v>312987.42138364777</v>
      </c>
      <c r="G13" s="3">
        <f t="shared" si="1"/>
        <v>9.6829747561647354E-3</v>
      </c>
      <c r="H13" s="5" t="s">
        <v>16</v>
      </c>
      <c r="I13" s="2">
        <v>312987.42138364777</v>
      </c>
      <c r="J13" s="3">
        <f t="shared" si="2"/>
        <v>9.6829747561647354E-3</v>
      </c>
      <c r="K13" s="5" t="s">
        <v>16</v>
      </c>
      <c r="L13" s="2">
        <v>312987.42138364777</v>
      </c>
      <c r="M13" s="3">
        <f t="shared" si="3"/>
        <v>9.6829747561647354E-3</v>
      </c>
      <c r="N13" s="5" t="s">
        <v>16</v>
      </c>
      <c r="O13" s="2">
        <v>312987.42138364777</v>
      </c>
      <c r="P13" s="3">
        <f t="shared" si="4"/>
        <v>9.6829747561647354E-3</v>
      </c>
    </row>
    <row r="14" spans="2:16" ht="18.600000000000001" x14ac:dyDescent="0.3">
      <c r="B14" s="5" t="s">
        <v>11</v>
      </c>
      <c r="C14" s="2">
        <v>817157.23270440253</v>
      </c>
      <c r="D14" s="3">
        <f t="shared" si="0"/>
        <v>6.6599050399596838E-3</v>
      </c>
      <c r="E14" s="5" t="s">
        <v>11</v>
      </c>
      <c r="F14" s="2">
        <v>184666.66666666666</v>
      </c>
      <c r="G14" s="3">
        <f>F14/F$20</f>
        <v>5.7130815792325726E-3</v>
      </c>
      <c r="H14" s="5" t="s">
        <v>11</v>
      </c>
      <c r="I14" s="2">
        <v>184666.66666666666</v>
      </c>
      <c r="J14" s="3">
        <f>I14/I$20</f>
        <v>5.7130815792325726E-3</v>
      </c>
      <c r="K14" s="5" t="s">
        <v>11</v>
      </c>
      <c r="L14" s="2">
        <v>184666.66666666666</v>
      </c>
      <c r="M14" s="3">
        <f>L14/L$20</f>
        <v>5.7130815792325726E-3</v>
      </c>
      <c r="N14" s="5" t="s">
        <v>11</v>
      </c>
      <c r="O14" s="2">
        <v>184666.66666666666</v>
      </c>
      <c r="P14" s="3">
        <f>O14/O$20</f>
        <v>5.7130815792325726E-3</v>
      </c>
    </row>
    <row r="15" spans="2:16" ht="18.600000000000001" x14ac:dyDescent="0.3">
      <c r="B15" s="5" t="s">
        <v>12</v>
      </c>
      <c r="C15" s="2">
        <v>470138.36477987422</v>
      </c>
      <c r="D15" s="3">
        <f t="shared" si="0"/>
        <v>3.8316700137542813E-3</v>
      </c>
      <c r="E15" s="5" t="s">
        <v>12</v>
      </c>
      <c r="F15" s="2">
        <v>122584.90566037736</v>
      </c>
      <c r="G15" s="3">
        <f t="shared" si="1"/>
        <v>3.792441695416596E-3</v>
      </c>
      <c r="H15" s="5" t="s">
        <v>12</v>
      </c>
      <c r="I15" s="2">
        <v>122584.90566037736</v>
      </c>
      <c r="J15" s="3">
        <f t="shared" si="2"/>
        <v>3.792441695416596E-3</v>
      </c>
      <c r="K15" s="5" t="s">
        <v>12</v>
      </c>
      <c r="L15" s="2">
        <v>122584.90566037736</v>
      </c>
      <c r="M15" s="3">
        <f t="shared" si="3"/>
        <v>3.792441695416596E-3</v>
      </c>
      <c r="N15" s="5" t="s">
        <v>12</v>
      </c>
      <c r="O15" s="2">
        <v>122584.90566037736</v>
      </c>
      <c r="P15" s="3">
        <f t="shared" si="4"/>
        <v>3.792441695416596E-3</v>
      </c>
    </row>
    <row r="16" spans="2:16" ht="18.600000000000001" x14ac:dyDescent="0.3">
      <c r="B16" s="5" t="s">
        <v>17</v>
      </c>
      <c r="C16" s="2">
        <v>11362647</v>
      </c>
      <c r="D16" s="3">
        <f t="shared" si="0"/>
        <v>9.2606596373304151E-2</v>
      </c>
      <c r="E16" s="5" t="s">
        <v>17</v>
      </c>
      <c r="F16" s="2">
        <v>3020496.8553459118</v>
      </c>
      <c r="G16" s="3">
        <f t="shared" si="1"/>
        <v>9.3445911251299515E-2</v>
      </c>
      <c r="H16" s="5" t="s">
        <v>17</v>
      </c>
      <c r="I16" s="2">
        <v>3020496.8553459118</v>
      </c>
      <c r="J16" s="3">
        <f t="shared" si="2"/>
        <v>9.3445911251299515E-2</v>
      </c>
      <c r="K16" s="5" t="s">
        <v>17</v>
      </c>
      <c r="L16" s="2">
        <v>3020496.8553459118</v>
      </c>
      <c r="M16" s="3">
        <f t="shared" si="3"/>
        <v>9.3445911251299515E-2</v>
      </c>
      <c r="N16" s="5" t="s">
        <v>17</v>
      </c>
      <c r="O16" s="2">
        <v>3020496.8553459118</v>
      </c>
      <c r="P16" s="3">
        <f t="shared" si="4"/>
        <v>9.3445911251299515E-2</v>
      </c>
    </row>
    <row r="17" spans="2:16" ht="18.600000000000001" x14ac:dyDescent="0.3">
      <c r="B17" s="5" t="s">
        <v>13</v>
      </c>
      <c r="C17" s="2">
        <v>70352.201257861641</v>
      </c>
      <c r="D17" s="3">
        <f t="shared" si="0"/>
        <v>5.7337677619134471E-4</v>
      </c>
      <c r="E17" s="5" t="s">
        <v>13</v>
      </c>
      <c r="F17" s="2">
        <v>19861.635220125787</v>
      </c>
      <c r="G17" s="3">
        <f t="shared" si="1"/>
        <v>6.1446466954623205E-4</v>
      </c>
      <c r="H17" s="5" t="s">
        <v>13</v>
      </c>
      <c r="I17" s="2">
        <v>19861.635220125787</v>
      </c>
      <c r="J17" s="3">
        <f t="shared" si="2"/>
        <v>6.1446466954623205E-4</v>
      </c>
      <c r="K17" s="5" t="s">
        <v>13</v>
      </c>
      <c r="L17" s="2">
        <v>19861.635220125787</v>
      </c>
      <c r="M17" s="3">
        <f t="shared" si="3"/>
        <v>6.1446466954623205E-4</v>
      </c>
      <c r="N17" s="5" t="s">
        <v>13</v>
      </c>
      <c r="O17" s="2">
        <v>19861.635220125787</v>
      </c>
      <c r="P17" s="3">
        <f t="shared" si="4"/>
        <v>6.1446466954623205E-4</v>
      </c>
    </row>
    <row r="18" spans="2:16" ht="18.600000000000001" x14ac:dyDescent="0.3">
      <c r="B18" s="5" t="s">
        <v>14</v>
      </c>
      <c r="C18" s="2">
        <v>118352.20125786164</v>
      </c>
      <c r="D18" s="3">
        <f t="shared" si="0"/>
        <v>9.645810990853499E-4</v>
      </c>
      <c r="E18" s="5" t="s">
        <v>14</v>
      </c>
      <c r="F18" s="2">
        <v>40012.578616352199</v>
      </c>
      <c r="G18" s="3">
        <f t="shared" si="1"/>
        <v>1.2378797427653983E-3</v>
      </c>
      <c r="H18" s="5" t="s">
        <v>14</v>
      </c>
      <c r="I18" s="2">
        <v>40012.578616352199</v>
      </c>
      <c r="J18" s="3">
        <f t="shared" si="2"/>
        <v>1.2378797427653983E-3</v>
      </c>
      <c r="K18" s="5" t="s">
        <v>14</v>
      </c>
      <c r="L18" s="2">
        <v>40012.578616352199</v>
      </c>
      <c r="M18" s="3">
        <f t="shared" si="3"/>
        <v>1.2378797427653983E-3</v>
      </c>
      <c r="N18" s="5" t="s">
        <v>14</v>
      </c>
      <c r="O18" s="2">
        <v>40012.578616352199</v>
      </c>
      <c r="P18" s="3">
        <f t="shared" si="4"/>
        <v>1.2378797427653983E-3</v>
      </c>
    </row>
    <row r="19" spans="2:16" ht="18.600000000000001" x14ac:dyDescent="0.3">
      <c r="B19" s="5" t="s">
        <v>15</v>
      </c>
      <c r="C19" s="2">
        <v>44194.968553459119</v>
      </c>
      <c r="D19" s="3">
        <f t="shared" si="0"/>
        <v>3.6019297392245474E-4</v>
      </c>
      <c r="E19" s="5" t="s">
        <v>15</v>
      </c>
      <c r="F19" s="2">
        <v>13264.150943396226</v>
      </c>
      <c r="G19" s="3">
        <f t="shared" si="1"/>
        <v>4.103565510047509E-4</v>
      </c>
      <c r="H19" s="5" t="s">
        <v>15</v>
      </c>
      <c r="I19" s="2">
        <v>13264.150943396226</v>
      </c>
      <c r="J19" s="3">
        <f t="shared" si="2"/>
        <v>4.103565510047509E-4</v>
      </c>
      <c r="K19" s="5" t="s">
        <v>15</v>
      </c>
      <c r="L19" s="2">
        <v>13264.150943396226</v>
      </c>
      <c r="M19" s="3">
        <f t="shared" si="3"/>
        <v>4.103565510047509E-4</v>
      </c>
      <c r="N19" s="5" t="s">
        <v>15</v>
      </c>
      <c r="O19" s="2">
        <v>13264.150943396226</v>
      </c>
      <c r="P19" s="3">
        <f t="shared" si="4"/>
        <v>4.103565510047509E-4</v>
      </c>
    </row>
    <row r="20" spans="2:16" ht="19.2" thickBot="1" x14ac:dyDescent="0.35">
      <c r="B20" s="10" t="s">
        <v>22</v>
      </c>
      <c r="C20" s="11">
        <f>SUM(C3:C19)</f>
        <v>122698030.64779873</v>
      </c>
      <c r="D20" s="12">
        <f t="shared" ref="D20" si="5">C20/C$20</f>
        <v>1</v>
      </c>
      <c r="E20" s="10" t="s">
        <v>22</v>
      </c>
      <c r="F20" s="11">
        <f>SUM(F3:F19)</f>
        <v>32323477.987421382</v>
      </c>
      <c r="G20" s="12">
        <f t="shared" si="1"/>
        <v>1</v>
      </c>
      <c r="H20" s="10" t="s">
        <v>22</v>
      </c>
      <c r="I20" s="11">
        <f>SUM(I3:I19)</f>
        <v>32323477.987421382</v>
      </c>
      <c r="J20" s="12">
        <f t="shared" si="2"/>
        <v>1</v>
      </c>
      <c r="K20" s="10" t="s">
        <v>22</v>
      </c>
      <c r="L20" s="11">
        <f>SUM(L3:L19)</f>
        <v>32323477.987421382</v>
      </c>
      <c r="M20" s="12">
        <f t="shared" si="3"/>
        <v>1</v>
      </c>
      <c r="N20" s="10" t="s">
        <v>22</v>
      </c>
      <c r="O20" s="11">
        <f>SUM(O3:O19)</f>
        <v>32323477.987421382</v>
      </c>
      <c r="P20" s="12">
        <f t="shared" si="4"/>
        <v>1</v>
      </c>
    </row>
    <row r="21" spans="2:16" s="1" customFormat="1" x14ac:dyDescent="0.3"/>
  </sheetData>
  <mergeCells count="5">
    <mergeCell ref="H1:I1"/>
    <mergeCell ref="K1:L1"/>
    <mergeCell ref="N1:O1"/>
    <mergeCell ref="E1:F1"/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rightToLeft="1" workbookViewId="0">
      <selection activeCell="C27" sqref="C27"/>
    </sheetView>
  </sheetViews>
  <sheetFormatPr defaultRowHeight="14.4" x14ac:dyDescent="0.3"/>
  <cols>
    <col min="2" max="2" width="23.33203125" bestFit="1" customWidth="1"/>
    <col min="3" max="3" width="11.109375" bestFit="1" customWidth="1"/>
    <col min="5" max="5" width="23.33203125" bestFit="1" customWidth="1"/>
    <col min="6" max="6" width="11.109375" bestFit="1" customWidth="1"/>
    <col min="8" max="8" width="23.33203125" bestFit="1" customWidth="1"/>
    <col min="9" max="9" width="11.109375" bestFit="1" customWidth="1"/>
    <col min="11" max="11" width="23.33203125" bestFit="1" customWidth="1"/>
    <col min="12" max="13" width="11" bestFit="1" customWidth="1"/>
    <col min="14" max="14" width="23.33203125" bestFit="1" customWidth="1"/>
    <col min="15" max="15" width="11.109375" bestFit="1" customWidth="1"/>
  </cols>
  <sheetData>
    <row r="1" spans="2:16" ht="19.2" thickBot="1" x14ac:dyDescent="0.65">
      <c r="B1" s="183" t="s">
        <v>18</v>
      </c>
      <c r="C1" s="184"/>
      <c r="D1" s="54">
        <v>61229</v>
      </c>
      <c r="E1" s="183" t="s">
        <v>32</v>
      </c>
      <c r="F1" s="184"/>
      <c r="G1" s="54">
        <v>93226</v>
      </c>
      <c r="H1" s="183" t="s">
        <v>64</v>
      </c>
      <c r="I1" s="184"/>
      <c r="J1" s="54">
        <f>'مقدار فروش'!J1</f>
        <v>110000</v>
      </c>
      <c r="K1" s="183" t="s">
        <v>65</v>
      </c>
      <c r="L1" s="184"/>
      <c r="M1" s="54">
        <f>'مقدار فروش'!M1</f>
        <v>115000</v>
      </c>
      <c r="N1" s="183" t="s">
        <v>74</v>
      </c>
      <c r="O1" s="184"/>
      <c r="P1" s="54">
        <f>'مقدار فروش'!P1</f>
        <v>120000</v>
      </c>
    </row>
    <row r="2" spans="2:16" ht="20.399999999999999" x14ac:dyDescent="0.3">
      <c r="B2" s="56" t="s">
        <v>20</v>
      </c>
      <c r="C2" s="57" t="s">
        <v>18</v>
      </c>
      <c r="D2" s="58" t="s">
        <v>21</v>
      </c>
      <c r="E2" s="56" t="s">
        <v>20</v>
      </c>
      <c r="F2" s="57" t="s">
        <v>32</v>
      </c>
      <c r="G2" s="58" t="s">
        <v>21</v>
      </c>
      <c r="H2" s="56" t="s">
        <v>20</v>
      </c>
      <c r="I2" s="57" t="str">
        <f>H1</f>
        <v>تابستان 98</v>
      </c>
      <c r="J2" s="58" t="s">
        <v>21</v>
      </c>
      <c r="K2" s="56" t="s">
        <v>20</v>
      </c>
      <c r="L2" s="57" t="str">
        <f>K1</f>
        <v>پاییز 98</v>
      </c>
      <c r="M2" s="58" t="s">
        <v>21</v>
      </c>
      <c r="N2" s="56" t="s">
        <v>20</v>
      </c>
      <c r="O2" s="57" t="str">
        <f>N1</f>
        <v>زمستان98</v>
      </c>
      <c r="P2" s="58" t="s">
        <v>21</v>
      </c>
    </row>
    <row r="3" spans="2:16" ht="18.600000000000001" x14ac:dyDescent="0.3">
      <c r="B3" s="21" t="s">
        <v>0</v>
      </c>
      <c r="C3" s="22">
        <v>217630023</v>
      </c>
      <c r="D3" s="23">
        <f>C3/C$20</f>
        <v>0.44669839815691392</v>
      </c>
      <c r="E3" s="21" t="s">
        <v>0</v>
      </c>
      <c r="F3" s="22">
        <v>79931127</v>
      </c>
      <c r="G3" s="23">
        <f>F3/F$20</f>
        <v>0.4223128391812323</v>
      </c>
      <c r="H3" s="21" t="s">
        <v>0</v>
      </c>
      <c r="I3" s="22">
        <f>('مقدار فروش'!I3*نرخ!G3*نرخ!G$1)/1000000</f>
        <v>90113771.069182396</v>
      </c>
      <c r="J3" s="23">
        <f>I3/I$20</f>
        <v>0.44477823814003803</v>
      </c>
      <c r="K3" s="21" t="s">
        <v>0</v>
      </c>
      <c r="L3" s="22">
        <f>(نرخ!I3*'مقدار فروش'!L3*'مقدار فروش'!M$1)/1000000</f>
        <v>90338213.83647798</v>
      </c>
      <c r="M3" s="23">
        <f>L3/L$20</f>
        <v>0.44928439390436048</v>
      </c>
      <c r="N3" s="21" t="s">
        <v>0</v>
      </c>
      <c r="O3" s="22">
        <f>(P$1*نرخ!K3*'مقدار فروش'!O3)/1000000</f>
        <v>98305932.075471699</v>
      </c>
      <c r="P3" s="23">
        <f>O3/O$20</f>
        <v>0.4590406221998799</v>
      </c>
    </row>
    <row r="4" spans="2:16" ht="18.600000000000001" x14ac:dyDescent="0.3">
      <c r="B4" s="21" t="s">
        <v>2</v>
      </c>
      <c r="C4" s="22">
        <v>100658295</v>
      </c>
      <c r="D4" s="23">
        <f t="shared" ref="D4:D20" si="0">C4/C$20</f>
        <v>0.20660705962295514</v>
      </c>
      <c r="E4" s="21" t="s">
        <v>2</v>
      </c>
      <c r="F4" s="22">
        <v>41542465</v>
      </c>
      <c r="G4" s="23">
        <f t="shared" ref="G4:G20" si="1">F4/F$20</f>
        <v>0.21948791414810115</v>
      </c>
      <c r="H4" s="21" t="s">
        <v>2</v>
      </c>
      <c r="I4" s="22">
        <f>('مقدار فروش'!I4*نرخ!G4*نرخ!G$1)/1000000</f>
        <v>44053781.006289303</v>
      </c>
      <c r="J4" s="23">
        <f t="shared" ref="J4:J20" si="2">I4/I$20</f>
        <v>0.21743805488221707</v>
      </c>
      <c r="K4" s="21" t="s">
        <v>2</v>
      </c>
      <c r="L4" s="22">
        <f>(نرخ!I4*'مقدار فروش'!L4*'مقدار فروش'!M$1)/1000000</f>
        <v>42619193.836477987</v>
      </c>
      <c r="M4" s="23">
        <f t="shared" ref="M4:M20" si="3">L4/L$20</f>
        <v>0.21196056306996158</v>
      </c>
      <c r="N4" s="21" t="s">
        <v>2</v>
      </c>
      <c r="O4" s="22">
        <f>(P$1*نرخ!K4*'مقدار فروش'!O4)/1000000</f>
        <v>43754908.679245278</v>
      </c>
      <c r="P4" s="23">
        <f t="shared" ref="P4:P20" si="4">O4/O$20</f>
        <v>0.20431402337958354</v>
      </c>
    </row>
    <row r="5" spans="2:16" ht="18.600000000000001" x14ac:dyDescent="0.3">
      <c r="B5" s="21" t="s">
        <v>3</v>
      </c>
      <c r="C5" s="22">
        <v>72552474</v>
      </c>
      <c r="D5" s="23">
        <f t="shared" si="0"/>
        <v>0.14891821207095654</v>
      </c>
      <c r="E5" s="21" t="s">
        <v>3</v>
      </c>
      <c r="F5" s="22">
        <v>29027165</v>
      </c>
      <c r="G5" s="23">
        <f t="shared" si="1"/>
        <v>0.153363838652395</v>
      </c>
      <c r="H5" s="21" t="s">
        <v>3</v>
      </c>
      <c r="I5" s="22">
        <f>('مقدار فروش'!I5*نرخ!G5*نرخ!G$1)/1000000</f>
        <v>28095832.641509436</v>
      </c>
      <c r="J5" s="23">
        <f t="shared" si="2"/>
        <v>0.13867375422313816</v>
      </c>
      <c r="K5" s="21" t="s">
        <v>3</v>
      </c>
      <c r="L5" s="22">
        <f>(نرخ!I5*'مقدار فروش'!L5*'مقدار فروش'!M$1)/1000000</f>
        <v>27574574.150943398</v>
      </c>
      <c r="M5" s="23">
        <f t="shared" si="3"/>
        <v>0.13713826417912772</v>
      </c>
      <c r="N5" s="21" t="s">
        <v>3</v>
      </c>
      <c r="O5" s="22">
        <f>(P$1*نرخ!K5*'مقدار فروش'!O5)/1000000</f>
        <v>28773468.679245286</v>
      </c>
      <c r="P5" s="23">
        <f t="shared" si="4"/>
        <v>0.13435802587405696</v>
      </c>
    </row>
    <row r="6" spans="2:16" ht="18.600000000000001" x14ac:dyDescent="0.3">
      <c r="B6" s="21" t="s">
        <v>4</v>
      </c>
      <c r="C6" s="22">
        <v>26115944</v>
      </c>
      <c r="D6" s="23">
        <f t="shared" si="0"/>
        <v>5.3604508193962133E-2</v>
      </c>
      <c r="E6" s="21" t="s">
        <v>4</v>
      </c>
      <c r="F6" s="22">
        <v>11081446</v>
      </c>
      <c r="G6" s="23">
        <f t="shared" si="1"/>
        <v>5.8548366551787891E-2</v>
      </c>
      <c r="H6" s="21" t="s">
        <v>4</v>
      </c>
      <c r="I6" s="22">
        <f>('مقدار فروش'!I6*نرخ!G6*نرخ!G$1)/1000000</f>
        <v>10283947.791194968</v>
      </c>
      <c r="J6" s="23">
        <f t="shared" si="2"/>
        <v>5.0758903166755846E-2</v>
      </c>
      <c r="K6" s="21" t="s">
        <v>4</v>
      </c>
      <c r="L6" s="22">
        <f>(نرخ!I6*'مقدار فروش'!L6*'مقدار فروش'!M$1)/1000000</f>
        <v>10093150.986163521</v>
      </c>
      <c r="M6" s="23">
        <f t="shared" si="3"/>
        <v>5.0196866097131039E-2</v>
      </c>
      <c r="N6" s="21" t="s">
        <v>4</v>
      </c>
      <c r="O6" s="22">
        <f>(P$1*نرخ!K6*'مقدار فروش'!O6)/1000000</f>
        <v>10531983.637735847</v>
      </c>
      <c r="P6" s="23">
        <f t="shared" si="4"/>
        <v>4.9179212484894388E-2</v>
      </c>
    </row>
    <row r="7" spans="2:16" ht="18.600000000000001" x14ac:dyDescent="0.3">
      <c r="B7" s="21" t="s">
        <v>5</v>
      </c>
      <c r="C7" s="22">
        <v>15248795</v>
      </c>
      <c r="D7" s="23">
        <f t="shared" si="0"/>
        <v>3.1299046916533013E-2</v>
      </c>
      <c r="E7" s="21" t="s">
        <v>5</v>
      </c>
      <c r="F7" s="22">
        <v>6663784</v>
      </c>
      <c r="G7" s="23">
        <f t="shared" si="1"/>
        <v>3.5207830120179195E-2</v>
      </c>
      <c r="H7" s="21" t="s">
        <v>5</v>
      </c>
      <c r="I7" s="22">
        <f>('مقدار فروش'!I7*نرخ!G7*نرخ!G$1)/1000000</f>
        <v>6434557.9245283017</v>
      </c>
      <c r="J7" s="23">
        <f t="shared" si="2"/>
        <v>3.1759311622687865E-2</v>
      </c>
      <c r="K7" s="21" t="s">
        <v>5</v>
      </c>
      <c r="L7" s="22">
        <f>(نرخ!I7*'مقدار فروش'!L7*'مقدار فروش'!M$1)/1000000</f>
        <v>6727037.8301886795</v>
      </c>
      <c r="M7" s="23">
        <f t="shared" si="3"/>
        <v>3.3455976003453132E-2</v>
      </c>
      <c r="N7" s="21" t="s">
        <v>5</v>
      </c>
      <c r="O7" s="22">
        <f>(P$1*نرخ!K7*'مقدار فروش'!O7)/1000000</f>
        <v>7019517.7358490564</v>
      </c>
      <c r="P7" s="23">
        <f t="shared" si="4"/>
        <v>3.2777714640185224E-2</v>
      </c>
    </row>
    <row r="8" spans="2:16" ht="18.600000000000001" x14ac:dyDescent="0.3">
      <c r="B8" s="21" t="s">
        <v>6</v>
      </c>
      <c r="C8" s="22">
        <v>11239165</v>
      </c>
      <c r="D8" s="23">
        <f t="shared" si="0"/>
        <v>2.3069045956592357E-2</v>
      </c>
      <c r="E8" s="21" t="s">
        <v>6</v>
      </c>
      <c r="F8" s="22">
        <v>4053818</v>
      </c>
      <c r="G8" s="23">
        <f t="shared" si="1"/>
        <v>2.1418181544018321E-2</v>
      </c>
      <c r="H8" s="21" t="s">
        <v>6</v>
      </c>
      <c r="I8" s="22">
        <f>('مقدار فروش'!I8*نرخ!G8*نرخ!G$1)/1000000</f>
        <v>4899342.8899371075</v>
      </c>
      <c r="J8" s="23">
        <f t="shared" si="2"/>
        <v>2.4181887771150847E-2</v>
      </c>
      <c r="K8" s="21" t="s">
        <v>6</v>
      </c>
      <c r="L8" s="22">
        <f>(نرخ!I8*'مقدار فروش'!L8*'مقدار فروش'!M$1)/1000000</f>
        <v>4911545.4874213841</v>
      </c>
      <c r="M8" s="23">
        <f t="shared" si="3"/>
        <v>2.442688031716175E-2</v>
      </c>
      <c r="N8" s="21" t="s">
        <v>6</v>
      </c>
      <c r="O8" s="22">
        <f>(P$1*نرخ!K8*'مقدار فروش'!O8)/1000000</f>
        <v>5344737.6981132086</v>
      </c>
      <c r="P8" s="23">
        <f t="shared" si="4"/>
        <v>2.4957310984585045E-2</v>
      </c>
    </row>
    <row r="9" spans="2:16" ht="18.600000000000001" x14ac:dyDescent="0.3">
      <c r="B9" s="21" t="s">
        <v>7</v>
      </c>
      <c r="C9" s="22">
        <v>9731243</v>
      </c>
      <c r="D9" s="23">
        <f t="shared" si="0"/>
        <v>1.9973947529177451E-2</v>
      </c>
      <c r="E9" s="21" t="s">
        <v>7</v>
      </c>
      <c r="F9" s="22">
        <v>3166241</v>
      </c>
      <c r="G9" s="23">
        <f t="shared" si="1"/>
        <v>1.672870477907842E-2</v>
      </c>
      <c r="H9" s="21" t="s">
        <v>7</v>
      </c>
      <c r="I9" s="22">
        <f>('مقدار فروش'!I9*نرخ!G9*نرخ!G$1)/1000000</f>
        <v>3742495.1320754718</v>
      </c>
      <c r="J9" s="23">
        <f t="shared" si="2"/>
        <v>1.8471986815580727E-2</v>
      </c>
      <c r="K9" s="21" t="s">
        <v>7</v>
      </c>
      <c r="L9" s="22">
        <f>(نرخ!I9*'مقدار فروش'!L9*'مقدار فروش'!M$1)/1000000</f>
        <v>3751816.4150943398</v>
      </c>
      <c r="M9" s="23">
        <f t="shared" si="3"/>
        <v>1.8659130975815723E-2</v>
      </c>
      <c r="N9" s="21" t="s">
        <v>7</v>
      </c>
      <c r="O9" s="22">
        <f>(P$1*نرخ!K9*'مقدار فروش'!O9)/1000000</f>
        <v>4082721.9622641508</v>
      </c>
      <c r="P9" s="23">
        <f t="shared" si="4"/>
        <v>1.9064314739298073E-2</v>
      </c>
    </row>
    <row r="10" spans="2:16" ht="18.600000000000001" x14ac:dyDescent="0.3">
      <c r="B10" s="5" t="s">
        <v>8</v>
      </c>
      <c r="C10" s="2">
        <v>7924783</v>
      </c>
      <c r="D10" s="3">
        <f t="shared" si="0"/>
        <v>1.6266082331118179E-2</v>
      </c>
      <c r="E10" s="5" t="s">
        <v>8</v>
      </c>
      <c r="F10" s="2">
        <v>3195099</v>
      </c>
      <c r="G10" s="3">
        <f t="shared" si="1"/>
        <v>1.6881174841374576E-2</v>
      </c>
      <c r="H10" s="5" t="s">
        <v>8</v>
      </c>
      <c r="I10" s="2">
        <f>('مقدار فروش'!I10*نرخ!G10*نرخ!G$1)/1000000</f>
        <v>3614269.6679245289</v>
      </c>
      <c r="J10" s="3">
        <f t="shared" si="2"/>
        <v>1.7839099129791168E-2</v>
      </c>
      <c r="K10" s="5" t="s">
        <v>8</v>
      </c>
      <c r="L10" s="2">
        <f>(نرخ!I10*'مقدار فروش'!L10*'مقدار فروش'!M$1)/1000000</f>
        <v>3623271.5849056607</v>
      </c>
      <c r="M10" s="3">
        <f t="shared" si="3"/>
        <v>1.8019831352010907E-2</v>
      </c>
      <c r="N10" s="5" t="s">
        <v>8</v>
      </c>
      <c r="O10" s="2">
        <f>(P$1*نرخ!K10*'مقدار فروش'!O10)/1000000</f>
        <v>3942839.6377358502</v>
      </c>
      <c r="P10" s="3">
        <f t="shared" si="4"/>
        <v>1.8411132699002276E-2</v>
      </c>
    </row>
    <row r="11" spans="2:16" ht="18.600000000000001" x14ac:dyDescent="0.3">
      <c r="B11" s="5" t="s">
        <v>9</v>
      </c>
      <c r="C11" s="2">
        <v>6648145</v>
      </c>
      <c r="D11" s="64">
        <f t="shared" si="0"/>
        <v>1.3645707891208083E-2</v>
      </c>
      <c r="E11" s="5" t="s">
        <v>9</v>
      </c>
      <c r="F11" s="2">
        <v>2405090</v>
      </c>
      <c r="G11" s="3">
        <f t="shared" si="1"/>
        <v>1.2707194612511718E-2</v>
      </c>
      <c r="H11" s="5" t="s">
        <v>9</v>
      </c>
      <c r="I11" s="2">
        <f>('مقدار فروش'!I11*نرخ!G11*نرخ!G$1)/1000000</f>
        <v>2911167.9182389942</v>
      </c>
      <c r="J11" s="3">
        <f t="shared" si="2"/>
        <v>1.436877096853572E-2</v>
      </c>
      <c r="K11" s="5" t="s">
        <v>9</v>
      </c>
      <c r="L11" s="2">
        <f>(نرخ!I11*'مقدار فروش'!L11*'مقدار فروش'!M$1)/1000000</f>
        <v>2918418.6477987422</v>
      </c>
      <c r="M11" s="3">
        <f t="shared" si="3"/>
        <v>1.4514344457915185E-2</v>
      </c>
      <c r="N11" s="5" t="s">
        <v>9</v>
      </c>
      <c r="O11" s="2">
        <f>(P$1*نرخ!K11*'مقدار فروش'!O11)/1000000</f>
        <v>3175819.547169812</v>
      </c>
      <c r="P11" s="3">
        <f t="shared" si="4"/>
        <v>1.4829524019040499E-2</v>
      </c>
    </row>
    <row r="12" spans="2:16" ht="18.600000000000001" x14ac:dyDescent="0.3">
      <c r="B12" s="5" t="s">
        <v>10</v>
      </c>
      <c r="C12" s="2">
        <v>6206540</v>
      </c>
      <c r="D12" s="3">
        <f t="shared" si="0"/>
        <v>1.2739287704329345E-2</v>
      </c>
      <c r="E12" s="5" t="s">
        <v>10</v>
      </c>
      <c r="F12" s="2">
        <v>2743527</v>
      </c>
      <c r="G12" s="3">
        <f t="shared" si="1"/>
        <v>1.44953126551108E-2</v>
      </c>
      <c r="H12" s="5" t="s">
        <v>10</v>
      </c>
      <c r="I12" s="2">
        <f>('مقدار فروش'!I12*نرخ!G12*نرخ!G$1)/1000000</f>
        <v>2830392.6836477988</v>
      </c>
      <c r="J12" s="3">
        <f t="shared" si="2"/>
        <v>1.3970085328144108E-2</v>
      </c>
      <c r="K12" s="5" t="s">
        <v>10</v>
      </c>
      <c r="L12" s="2">
        <f>(نرخ!I12*'مقدار فروش'!L12*'مقدار فروش'!M$1)/1000000</f>
        <v>2837442.2295597484</v>
      </c>
      <c r="M12" s="3">
        <f t="shared" si="3"/>
        <v>1.4111619637000455E-2</v>
      </c>
      <c r="N12" s="5" t="s">
        <v>10</v>
      </c>
      <c r="O12" s="2">
        <f>(P$1*نرخ!K12*'مقدار فروش'!O12)/1000000</f>
        <v>3087701.109433962</v>
      </c>
      <c r="P12" s="3">
        <f t="shared" si="4"/>
        <v>1.4418054012790097E-2</v>
      </c>
    </row>
    <row r="13" spans="2:16" ht="18.600000000000001" x14ac:dyDescent="0.3">
      <c r="B13" s="5" t="s">
        <v>16</v>
      </c>
      <c r="C13" s="2">
        <v>5522090</v>
      </c>
      <c r="D13" s="3">
        <f t="shared" si="0"/>
        <v>1.1334413898758413E-2</v>
      </c>
      <c r="E13" s="5" t="s">
        <v>16</v>
      </c>
      <c r="F13" s="2">
        <v>2721178</v>
      </c>
      <c r="G13" s="3">
        <f t="shared" si="1"/>
        <v>1.4377232628003698E-2</v>
      </c>
      <c r="H13" s="5" t="s">
        <v>16</v>
      </c>
      <c r="I13" s="2">
        <f>('مقدار فروش'!I13*نرخ!G13*نرخ!G$1)/1000000</f>
        <v>2764617.8930817614</v>
      </c>
      <c r="J13" s="3">
        <f t="shared" si="2"/>
        <v>1.3645437994946474E-2</v>
      </c>
      <c r="K13" s="5" t="s">
        <v>16</v>
      </c>
      <c r="L13" s="2">
        <f>(نرخ!I13*'مقدار فروش'!L13*'مقدار فروش'!M$1)/1000000</f>
        <v>2771503.6163522005</v>
      </c>
      <c r="M13" s="3">
        <f t="shared" si="3"/>
        <v>1.3783683223253421E-2</v>
      </c>
      <c r="N13" s="5" t="s">
        <v>16</v>
      </c>
      <c r="O13" s="2">
        <f>(P$1*نرخ!K13*'مقدار فروش'!O13)/1000000</f>
        <v>3015946.7924528304</v>
      </c>
      <c r="P13" s="3">
        <f t="shared" si="4"/>
        <v>1.4082996446912396E-2</v>
      </c>
    </row>
    <row r="14" spans="2:16" ht="18.600000000000001" x14ac:dyDescent="0.3">
      <c r="B14" s="5" t="s">
        <v>11</v>
      </c>
      <c r="C14" s="2">
        <v>2733891</v>
      </c>
      <c r="D14" s="3">
        <f t="shared" si="0"/>
        <v>5.6114717703062674E-3</v>
      </c>
      <c r="E14" s="5" t="s">
        <v>11</v>
      </c>
      <c r="F14" s="2">
        <v>1059833</v>
      </c>
      <c r="G14" s="3">
        <f t="shared" si="1"/>
        <v>5.599584293212367E-3</v>
      </c>
      <c r="H14" s="5" t="s">
        <v>11</v>
      </c>
      <c r="I14" s="2">
        <f>('مقدار فروش'!I14*نرخ!G14*نرخ!G$1)/1000000</f>
        <v>893786.66666666663</v>
      </c>
      <c r="J14" s="3">
        <f t="shared" si="2"/>
        <v>4.4114995317181801E-3</v>
      </c>
      <c r="K14" s="5" t="s">
        <v>11</v>
      </c>
      <c r="L14" s="2">
        <f>(نرخ!I14*'مقدار فروش'!L14*'مقدار فروش'!M$1)/1000000</f>
        <v>934413.33333333326</v>
      </c>
      <c r="M14" s="3">
        <f t="shared" si="3"/>
        <v>4.6471732204350965E-3</v>
      </c>
      <c r="N14" s="5" t="s">
        <v>11</v>
      </c>
      <c r="O14" s="2">
        <f>(P$1*نرخ!K14*'مقدار فروش'!O14)/1000000</f>
        <v>975040</v>
      </c>
      <c r="P14" s="3">
        <f t="shared" si="4"/>
        <v>4.5529599162556257E-3</v>
      </c>
    </row>
    <row r="15" spans="2:16" ht="18.600000000000001" x14ac:dyDescent="0.3">
      <c r="B15" s="5" t="s">
        <v>12</v>
      </c>
      <c r="C15" s="2">
        <v>2565048</v>
      </c>
      <c r="D15" s="3">
        <f t="shared" si="0"/>
        <v>5.2649116008943115E-3</v>
      </c>
      <c r="E15" s="5" t="s">
        <v>12</v>
      </c>
      <c r="F15" s="2">
        <v>938131</v>
      </c>
      <c r="G15" s="3">
        <f t="shared" si="1"/>
        <v>4.9565767555601785E-3</v>
      </c>
      <c r="H15" s="5" t="s">
        <v>12</v>
      </c>
      <c r="I15" s="2">
        <f>('مقدار فروش'!I15*نرخ!G15*نرخ!G$1)/1000000</f>
        <v>1063105.3358490567</v>
      </c>
      <c r="J15" s="3">
        <f t="shared" si="2"/>
        <v>5.2472126360487356E-3</v>
      </c>
      <c r="K15" s="5" t="s">
        <v>12</v>
      </c>
      <c r="L15" s="2">
        <f>(نرخ!I15*'مقدار فروش'!L15*'مقدار فروش'!M$1)/1000000</f>
        <v>1065753.169811321</v>
      </c>
      <c r="M15" s="3">
        <f t="shared" si="3"/>
        <v>5.3003734146997638E-3</v>
      </c>
      <c r="N15" s="5" t="s">
        <v>12</v>
      </c>
      <c r="O15" s="2">
        <f>(P$1*نرخ!K15*'مقدار فروش'!O15)/1000000</f>
        <v>1159751.2754716983</v>
      </c>
      <c r="P15" s="3">
        <f t="shared" si="4"/>
        <v>5.415471231999691E-3</v>
      </c>
    </row>
    <row r="16" spans="2:16" ht="18.600000000000001" x14ac:dyDescent="0.3">
      <c r="B16" s="5" t="s">
        <v>17</v>
      </c>
      <c r="C16" s="2">
        <v>1806661</v>
      </c>
      <c r="D16" s="63">
        <f t="shared" si="0"/>
        <v>3.7082777623589566E-3</v>
      </c>
      <c r="E16" s="5" t="s">
        <v>17</v>
      </c>
      <c r="F16" s="2">
        <v>480259</v>
      </c>
      <c r="G16" s="3">
        <f t="shared" si="1"/>
        <v>2.5374287770562704E-3</v>
      </c>
      <c r="H16" s="5" t="s">
        <v>17</v>
      </c>
      <c r="I16" s="2">
        <f>('مقدار فروش'!I16*نرخ!G16*نرخ!G$1)/1000000</f>
        <v>606364.74371069181</v>
      </c>
      <c r="J16" s="3">
        <f t="shared" si="2"/>
        <v>2.992859350773635E-3</v>
      </c>
      <c r="K16" s="5" t="s">
        <v>17</v>
      </c>
      <c r="L16" s="2">
        <f>(نرخ!I16*'مقدار فروش'!L16*'مقدار فروش'!M$1)/1000000</f>
        <v>607874.9921383647</v>
      </c>
      <c r="M16" s="3">
        <f t="shared" si="3"/>
        <v>3.0231807317649614E-3</v>
      </c>
      <c r="N16" s="5" t="s">
        <v>17</v>
      </c>
      <c r="O16" s="2">
        <f>(P$1*نرخ!K16*'مقدار فروش'!O16)/1000000</f>
        <v>661488.81132075482</v>
      </c>
      <c r="P16" s="3">
        <f t="shared" si="4"/>
        <v>3.0888292203345271E-3</v>
      </c>
    </row>
    <row r="17" spans="2:16" ht="18.600000000000001" x14ac:dyDescent="0.3">
      <c r="B17" s="5" t="s">
        <v>13</v>
      </c>
      <c r="C17" s="2">
        <v>332693</v>
      </c>
      <c r="D17" s="63">
        <f t="shared" si="0"/>
        <v>6.8287191321033021E-4</v>
      </c>
      <c r="E17" s="5" t="s">
        <v>13</v>
      </c>
      <c r="F17" s="2">
        <v>145732</v>
      </c>
      <c r="G17" s="3">
        <f t="shared" si="1"/>
        <v>7.6996905948241347E-4</v>
      </c>
      <c r="H17" s="5" t="s">
        <v>13</v>
      </c>
      <c r="I17" s="2">
        <f>('مقدار فروش'!I17*نرخ!G17*نرخ!G$1)/1000000</f>
        <v>159488.93081761009</v>
      </c>
      <c r="J17" s="3">
        <f t="shared" si="2"/>
        <v>7.8719606127053453E-4</v>
      </c>
      <c r="K17" s="5" t="s">
        <v>13</v>
      </c>
      <c r="L17" s="2">
        <f>(نرخ!I17*'مقدار فروش'!L17*'مقدار فروش'!M$1)/1000000</f>
        <v>159886.16352201256</v>
      </c>
      <c r="M17" s="3">
        <f t="shared" si="3"/>
        <v>7.9517133471012497E-4</v>
      </c>
      <c r="N17" s="5" t="s">
        <v>13</v>
      </c>
      <c r="O17" s="2">
        <f>(P$1*نرخ!K17*'مقدار فروش'!O17)/1000000</f>
        <v>173987.92452830187</v>
      </c>
      <c r="P17" s="3">
        <f t="shared" si="4"/>
        <v>8.124385115378523E-4</v>
      </c>
    </row>
    <row r="18" spans="2:16" ht="18.600000000000001" x14ac:dyDescent="0.3">
      <c r="B18" s="5" t="s">
        <v>14</v>
      </c>
      <c r="C18" s="2">
        <v>212468</v>
      </c>
      <c r="D18" s="65">
        <f t="shared" si="0"/>
        <v>4.3610304291335388E-4</v>
      </c>
      <c r="E18" s="5" t="s">
        <v>14</v>
      </c>
      <c r="F18" s="2">
        <v>82189</v>
      </c>
      <c r="G18" s="3">
        <f t="shared" si="1"/>
        <v>4.3424221879751927E-4</v>
      </c>
      <c r="H18" s="5" t="s">
        <v>14</v>
      </c>
      <c r="I18" s="2">
        <f>('مقدار فروش'!I18*نرخ!G18*نرخ!G$1)/1000000</f>
        <v>102816.32201257862</v>
      </c>
      <c r="J18" s="3">
        <f t="shared" si="2"/>
        <v>5.0747474014471337E-4</v>
      </c>
      <c r="K18" s="5" t="s">
        <v>14</v>
      </c>
      <c r="L18" s="2">
        <f>(نرخ!I18*'مقدار فروش'!L18*'مقدار فروش'!M$1)/1000000</f>
        <v>103072.40251572328</v>
      </c>
      <c r="M18" s="3">
        <f t="shared" si="3"/>
        <v>5.1261608931483886E-4</v>
      </c>
      <c r="N18" s="5" t="s">
        <v>14</v>
      </c>
      <c r="O18" s="2">
        <f>(P$1*نرخ!K18*'مقدار فروش'!O18)/1000000</f>
        <v>112163.26037735849</v>
      </c>
      <c r="P18" s="3">
        <f t="shared" si="4"/>
        <v>5.2374756786865778E-4</v>
      </c>
    </row>
    <row r="19" spans="2:16" ht="18.600000000000001" x14ac:dyDescent="0.3">
      <c r="B19" s="5" t="s">
        <v>15</v>
      </c>
      <c r="C19" s="2">
        <v>68526</v>
      </c>
      <c r="D19" s="65">
        <f t="shared" si="0"/>
        <v>1.4065363781219048E-4</v>
      </c>
      <c r="E19" s="5" t="s">
        <v>15</v>
      </c>
      <c r="F19" s="2">
        <v>32859</v>
      </c>
      <c r="G19" s="3">
        <f t="shared" si="1"/>
        <v>1.7360918209818448E-4</v>
      </c>
      <c r="H19" s="5" t="s">
        <v>15</v>
      </c>
      <c r="I19" s="2">
        <f>('مقدار فروش'!I19*نرخ!G19*نرخ!G$1)/1000000</f>
        <v>34083.562264150947</v>
      </c>
      <c r="J19" s="3">
        <f t="shared" si="2"/>
        <v>1.6822763705834652E-4</v>
      </c>
      <c r="K19" s="5" t="s">
        <v>15</v>
      </c>
      <c r="L19" s="2">
        <f>(نرخ!I19*'مقدار فروش'!L19*'مقدار فروش'!M$1)/1000000</f>
        <v>34168.452830188682</v>
      </c>
      <c r="M19" s="3">
        <f t="shared" si="3"/>
        <v>1.6993199188384081E-4</v>
      </c>
      <c r="N19" s="5" t="s">
        <v>15</v>
      </c>
      <c r="O19" s="2">
        <f>(P$1*نرخ!K19*'مقدار فروش'!O19)/1000000</f>
        <v>37182.067924528295</v>
      </c>
      <c r="P19" s="3">
        <f t="shared" si="4"/>
        <v>1.7362207177538496E-4</v>
      </c>
    </row>
    <row r="20" spans="2:16" ht="19.2" thickBot="1" x14ac:dyDescent="0.35">
      <c r="B20" s="10" t="s">
        <v>22</v>
      </c>
      <c r="C20" s="11">
        <v>487196784</v>
      </c>
      <c r="D20" s="12">
        <f t="shared" si="0"/>
        <v>1</v>
      </c>
      <c r="E20" s="10" t="s">
        <v>22</v>
      </c>
      <c r="F20" s="11">
        <f>SUM(F3:F19)</f>
        <v>189269943</v>
      </c>
      <c r="G20" s="12">
        <f t="shared" si="1"/>
        <v>1</v>
      </c>
      <c r="H20" s="10" t="s">
        <v>22</v>
      </c>
      <c r="I20" s="11">
        <f>SUM(I3:I19)</f>
        <v>202603822.17893079</v>
      </c>
      <c r="J20" s="12">
        <f t="shared" si="2"/>
        <v>1</v>
      </c>
      <c r="K20" s="10" t="s">
        <v>22</v>
      </c>
      <c r="L20" s="11">
        <f>SUM(L3:L19)</f>
        <v>201071337.13553458</v>
      </c>
      <c r="M20" s="12">
        <f t="shared" si="3"/>
        <v>1</v>
      </c>
      <c r="N20" s="10" t="s">
        <v>22</v>
      </c>
      <c r="O20" s="11">
        <f>SUM(O3:O19)</f>
        <v>214155190.89433959</v>
      </c>
      <c r="P20" s="12">
        <f t="shared" si="4"/>
        <v>1</v>
      </c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rightToLeft="1" workbookViewId="0">
      <selection activeCell="C27" sqref="C27"/>
    </sheetView>
  </sheetViews>
  <sheetFormatPr defaultRowHeight="14.4" x14ac:dyDescent="0.3"/>
  <cols>
    <col min="2" max="2" width="23.109375" customWidth="1"/>
    <col min="3" max="3" width="9" bestFit="1" customWidth="1"/>
    <col min="4" max="4" width="23.33203125" bestFit="1" customWidth="1"/>
    <col min="5" max="5" width="9.88671875" bestFit="1" customWidth="1"/>
    <col min="6" max="6" width="23.33203125" bestFit="1" customWidth="1"/>
    <col min="8" max="8" width="23.33203125" bestFit="1" customWidth="1"/>
    <col min="10" max="10" width="23.33203125" bestFit="1" customWidth="1"/>
    <col min="11" max="11" width="10.5546875" customWidth="1"/>
  </cols>
  <sheetData>
    <row r="1" spans="2:11" ht="19.2" thickBot="1" x14ac:dyDescent="0.65">
      <c r="B1" s="53" t="s">
        <v>18</v>
      </c>
      <c r="C1" s="60">
        <v>61229</v>
      </c>
      <c r="D1" s="53" t="s">
        <v>32</v>
      </c>
      <c r="E1" s="60">
        <v>93226</v>
      </c>
      <c r="F1" s="53" t="s">
        <v>64</v>
      </c>
      <c r="G1" s="60">
        <f>'مقدار فروش'!J1</f>
        <v>110000</v>
      </c>
      <c r="H1" s="53" t="s">
        <v>65</v>
      </c>
      <c r="I1" s="60">
        <f>'مقدار فروش'!M1</f>
        <v>115000</v>
      </c>
      <c r="J1" s="53" t="s">
        <v>66</v>
      </c>
      <c r="K1" s="60">
        <f>'مقدار فروش'!P1</f>
        <v>120000</v>
      </c>
    </row>
    <row r="2" spans="2:11" ht="40.799999999999997" x14ac:dyDescent="0.3">
      <c r="B2" s="56" t="s">
        <v>24</v>
      </c>
      <c r="C2" s="59" t="s">
        <v>18</v>
      </c>
      <c r="D2" s="56" t="s">
        <v>24</v>
      </c>
      <c r="E2" s="59" t="s">
        <v>32</v>
      </c>
      <c r="F2" s="56" t="s">
        <v>24</v>
      </c>
      <c r="G2" s="59" t="str">
        <f>F1</f>
        <v>تابستان 98</v>
      </c>
      <c r="H2" s="56" t="s">
        <v>24</v>
      </c>
      <c r="I2" s="59" t="str">
        <f>H1</f>
        <v>پاییز 98</v>
      </c>
      <c r="J2" s="56" t="s">
        <v>24</v>
      </c>
      <c r="K2" s="59" t="str">
        <f>J1</f>
        <v>زمستان 98</v>
      </c>
    </row>
    <row r="3" spans="2:11" ht="18.600000000000001" x14ac:dyDescent="0.3">
      <c r="B3" s="21" t="s">
        <v>0</v>
      </c>
      <c r="C3" s="25">
        <v>79.538788531578177</v>
      </c>
      <c r="D3" s="21" t="s">
        <v>0</v>
      </c>
      <c r="E3" s="25">
        <v>76.401743048505779</v>
      </c>
      <c r="F3" s="21" t="s">
        <v>0</v>
      </c>
      <c r="G3" s="25">
        <v>73</v>
      </c>
      <c r="H3" s="21" t="s">
        <v>0</v>
      </c>
      <c r="I3" s="25">
        <v>70</v>
      </c>
      <c r="J3" s="21" t="s">
        <v>0</v>
      </c>
      <c r="K3" s="25">
        <v>73</v>
      </c>
    </row>
    <row r="4" spans="2:11" ht="18.600000000000001" x14ac:dyDescent="0.3">
      <c r="B4" s="21" t="s">
        <v>2</v>
      </c>
      <c r="C4" s="25">
        <v>73.668144147381156</v>
      </c>
      <c r="D4" s="21" t="s">
        <v>2</v>
      </c>
      <c r="E4" s="25">
        <v>74.548603335657432</v>
      </c>
      <c r="F4" s="21" t="s">
        <v>2</v>
      </c>
      <c r="G4" s="25">
        <v>67</v>
      </c>
      <c r="H4" s="21" t="s">
        <v>2</v>
      </c>
      <c r="I4" s="25">
        <v>62</v>
      </c>
      <c r="J4" s="21" t="s">
        <v>2</v>
      </c>
      <c r="K4" s="25">
        <v>61</v>
      </c>
    </row>
    <row r="5" spans="2:11" ht="18.600000000000001" x14ac:dyDescent="0.3">
      <c r="B5" s="21" t="s">
        <v>3</v>
      </c>
      <c r="C5" s="25">
        <v>61.955220320436396</v>
      </c>
      <c r="D5" s="21" t="s">
        <v>3</v>
      </c>
      <c r="E5" s="25">
        <v>59.73301401819235</v>
      </c>
      <c r="F5" s="21" t="s">
        <v>3</v>
      </c>
      <c r="G5" s="25">
        <v>49</v>
      </c>
      <c r="H5" s="21" t="s">
        <v>3</v>
      </c>
      <c r="I5" s="25">
        <v>46</v>
      </c>
      <c r="J5" s="21" t="s">
        <v>3</v>
      </c>
      <c r="K5" s="25">
        <v>46</v>
      </c>
    </row>
    <row r="6" spans="2:11" ht="18.600000000000001" x14ac:dyDescent="0.3">
      <c r="B6" s="21" t="s">
        <v>4</v>
      </c>
      <c r="C6" s="25">
        <v>47.142987130281405</v>
      </c>
      <c r="D6" s="21" t="s">
        <v>4</v>
      </c>
      <c r="E6" s="25">
        <v>47.348026076738257</v>
      </c>
      <c r="F6" s="21" t="s">
        <v>4</v>
      </c>
      <c r="G6" s="25">
        <f>G5*0.76</f>
        <v>37.24</v>
      </c>
      <c r="H6" s="21" t="s">
        <v>4</v>
      </c>
      <c r="I6" s="25">
        <f>I5*0.76</f>
        <v>34.96</v>
      </c>
      <c r="J6" s="21" t="s">
        <v>4</v>
      </c>
      <c r="K6" s="25">
        <f>K5*0.76</f>
        <v>34.96</v>
      </c>
    </row>
    <row r="7" spans="2:11" ht="18.600000000000001" x14ac:dyDescent="0.3">
      <c r="B7" s="21" t="s">
        <v>5</v>
      </c>
      <c r="C7" s="25">
        <v>66.747020529487656</v>
      </c>
      <c r="D7" s="21" t="s">
        <v>5</v>
      </c>
      <c r="E7" s="25">
        <v>69.651854943685237</v>
      </c>
      <c r="F7" s="21" t="s">
        <v>5</v>
      </c>
      <c r="G7" s="25">
        <v>57</v>
      </c>
      <c r="H7" s="21" t="s">
        <v>5</v>
      </c>
      <c r="I7" s="25">
        <v>57</v>
      </c>
      <c r="J7" s="21" t="s">
        <v>5</v>
      </c>
      <c r="K7" s="25">
        <v>57</v>
      </c>
    </row>
    <row r="8" spans="2:11" ht="18.600000000000001" x14ac:dyDescent="0.3">
      <c r="B8" s="21" t="s">
        <v>6</v>
      </c>
      <c r="C8" s="25">
        <v>45.669285207989674</v>
      </c>
      <c r="D8" s="21" t="s">
        <v>6</v>
      </c>
      <c r="E8" s="25">
        <v>39.198332763606714</v>
      </c>
      <c r="F8" s="21" t="s">
        <v>6</v>
      </c>
      <c r="G8" s="25">
        <f>G3*0.55</f>
        <v>40.150000000000006</v>
      </c>
      <c r="H8" s="21" t="s">
        <v>6</v>
      </c>
      <c r="I8" s="25">
        <f>I3*0.55</f>
        <v>38.5</v>
      </c>
      <c r="J8" s="21" t="s">
        <v>6</v>
      </c>
      <c r="K8" s="25">
        <f>K3*0.55</f>
        <v>40.150000000000006</v>
      </c>
    </row>
    <row r="9" spans="2:11" ht="18.600000000000001" x14ac:dyDescent="0.3">
      <c r="B9" s="21" t="s">
        <v>7</v>
      </c>
      <c r="C9" s="25">
        <v>93.986946544937851</v>
      </c>
      <c r="D9" s="21" t="s">
        <v>7</v>
      </c>
      <c r="E9" s="25">
        <v>78.667778452363081</v>
      </c>
      <c r="F9" s="21" t="s">
        <v>7</v>
      </c>
      <c r="G9" s="25">
        <f>G3*1.08</f>
        <v>78.84</v>
      </c>
      <c r="H9" s="21" t="s">
        <v>7</v>
      </c>
      <c r="I9" s="25">
        <f>I3*1.08</f>
        <v>75.600000000000009</v>
      </c>
      <c r="J9" s="21" t="s">
        <v>7</v>
      </c>
      <c r="K9" s="25">
        <f>K3*1.08</f>
        <v>78.84</v>
      </c>
    </row>
    <row r="10" spans="2:11" ht="18.600000000000001" x14ac:dyDescent="0.3">
      <c r="B10" s="5" t="s">
        <v>8</v>
      </c>
      <c r="C10" s="16">
        <v>82.149653758839762</v>
      </c>
      <c r="D10" s="5" t="s">
        <v>8</v>
      </c>
      <c r="E10" s="16">
        <v>77.668055591251374</v>
      </c>
      <c r="F10" s="5" t="s">
        <v>8</v>
      </c>
      <c r="G10" s="16">
        <f>G3*1.02</f>
        <v>74.460000000000008</v>
      </c>
      <c r="H10" s="5" t="s">
        <v>8</v>
      </c>
      <c r="I10" s="16">
        <f>I3*1.02</f>
        <v>71.400000000000006</v>
      </c>
      <c r="J10" s="5" t="s">
        <v>8</v>
      </c>
      <c r="K10" s="16">
        <f>K3*1.02</f>
        <v>74.460000000000008</v>
      </c>
    </row>
    <row r="11" spans="2:11" ht="18.600000000000001" x14ac:dyDescent="0.3">
      <c r="B11" s="5" t="s">
        <v>9</v>
      </c>
      <c r="C11" s="16">
        <v>92.026358571918522</v>
      </c>
      <c r="D11" s="5" t="s">
        <v>9</v>
      </c>
      <c r="E11" s="16">
        <v>78.27719522354279</v>
      </c>
      <c r="F11" s="5" t="s">
        <v>9</v>
      </c>
      <c r="G11" s="16">
        <f>G3*1.1</f>
        <v>80.300000000000011</v>
      </c>
      <c r="H11" s="5" t="s">
        <v>9</v>
      </c>
      <c r="I11" s="16">
        <f>I3*1.1</f>
        <v>77</v>
      </c>
      <c r="J11" s="5" t="s">
        <v>9</v>
      </c>
      <c r="K11" s="16">
        <f>K3*1.1</f>
        <v>80.300000000000011</v>
      </c>
    </row>
    <row r="12" spans="2:11" ht="18.600000000000001" x14ac:dyDescent="0.3">
      <c r="B12" s="5" t="s">
        <v>10</v>
      </c>
      <c r="C12" s="16">
        <v>80.415504907805129</v>
      </c>
      <c r="D12" s="5" t="s">
        <v>10</v>
      </c>
      <c r="E12" s="16">
        <v>84.326177487181695</v>
      </c>
      <c r="F12" s="5" t="s">
        <v>10</v>
      </c>
      <c r="G12" s="16">
        <f>G3*1.01</f>
        <v>73.73</v>
      </c>
      <c r="H12" s="5" t="s">
        <v>10</v>
      </c>
      <c r="I12" s="16">
        <f>I3*1.01</f>
        <v>70.7</v>
      </c>
      <c r="J12" s="5" t="s">
        <v>10</v>
      </c>
      <c r="K12" s="16">
        <f>K3*1.01</f>
        <v>73.73</v>
      </c>
    </row>
    <row r="13" spans="2:11" ht="18.600000000000001" x14ac:dyDescent="0.3">
      <c r="B13" s="5" t="s">
        <v>16</v>
      </c>
      <c r="C13" s="16">
        <v>76.329184912378111</v>
      </c>
      <c r="D13" s="5" t="s">
        <v>16</v>
      </c>
      <c r="E13" s="16">
        <v>93.259485789050274</v>
      </c>
      <c r="F13" s="5" t="s">
        <v>16</v>
      </c>
      <c r="G13" s="16">
        <f>G3*1.1</f>
        <v>80.300000000000011</v>
      </c>
      <c r="H13" s="5" t="s">
        <v>16</v>
      </c>
      <c r="I13" s="16">
        <f>I3*1.1</f>
        <v>77</v>
      </c>
      <c r="J13" s="5" t="s">
        <v>16</v>
      </c>
      <c r="K13" s="16">
        <f>K3*1.1</f>
        <v>80.300000000000011</v>
      </c>
    </row>
    <row r="14" spans="2:11" ht="18.600000000000001" x14ac:dyDescent="0.3">
      <c r="B14" s="5" t="s">
        <v>11</v>
      </c>
      <c r="C14" s="16">
        <v>54.640971026801019</v>
      </c>
      <c r="D14" s="5" t="s">
        <v>11</v>
      </c>
      <c r="E14" s="16">
        <v>61.561880486023206</v>
      </c>
      <c r="F14" s="5" t="s">
        <v>11</v>
      </c>
      <c r="G14" s="16">
        <v>44</v>
      </c>
      <c r="H14" s="5" t="s">
        <v>11</v>
      </c>
      <c r="I14" s="16">
        <v>44</v>
      </c>
      <c r="J14" s="5" t="s">
        <v>11</v>
      </c>
      <c r="K14" s="16">
        <v>44</v>
      </c>
    </row>
    <row r="15" spans="2:11" ht="18.600000000000001" x14ac:dyDescent="0.3">
      <c r="B15" s="5" t="s">
        <v>12</v>
      </c>
      <c r="C15" s="16">
        <v>89.107166457071003</v>
      </c>
      <c r="D15" s="5" t="s">
        <v>12</v>
      </c>
      <c r="E15" s="16">
        <v>82.089845727693998</v>
      </c>
      <c r="F15" s="5" t="s">
        <v>12</v>
      </c>
      <c r="G15" s="16">
        <f>G3*1.08</f>
        <v>78.84</v>
      </c>
      <c r="H15" s="5" t="s">
        <v>12</v>
      </c>
      <c r="I15" s="16">
        <f>I3*1.08</f>
        <v>75.600000000000009</v>
      </c>
      <c r="J15" s="5" t="s">
        <v>12</v>
      </c>
      <c r="K15" s="16">
        <f>K3*1.08</f>
        <v>78.84</v>
      </c>
    </row>
    <row r="16" spans="2:11" ht="18.600000000000001" x14ac:dyDescent="0.3">
      <c r="B16" s="5" t="s">
        <v>17</v>
      </c>
      <c r="C16" s="16">
        <v>2.5968087017589703</v>
      </c>
      <c r="D16" s="5" t="s">
        <v>17</v>
      </c>
      <c r="E16" s="16">
        <v>1.7055327912814022</v>
      </c>
      <c r="F16" s="5" t="s">
        <v>17</v>
      </c>
      <c r="G16" s="16">
        <f>G3*0.025</f>
        <v>1.8250000000000002</v>
      </c>
      <c r="H16" s="5" t="s">
        <v>17</v>
      </c>
      <c r="I16" s="16">
        <f>I3*0.025</f>
        <v>1.75</v>
      </c>
      <c r="J16" s="5" t="s">
        <v>17</v>
      </c>
      <c r="K16" s="16">
        <f>K3*0.025</f>
        <v>1.8250000000000002</v>
      </c>
    </row>
    <row r="17" spans="2:11" ht="18.600000000000001" x14ac:dyDescent="0.3">
      <c r="B17" s="5" t="s">
        <v>13</v>
      </c>
      <c r="C17" s="16">
        <v>77.234050694932151</v>
      </c>
      <c r="D17" s="5" t="s">
        <v>13</v>
      </c>
      <c r="E17" s="16">
        <v>77.668055591251374</v>
      </c>
      <c r="F17" s="5" t="s">
        <v>13</v>
      </c>
      <c r="G17" s="16">
        <f>G3</f>
        <v>73</v>
      </c>
      <c r="H17" s="5" t="s">
        <v>13</v>
      </c>
      <c r="I17" s="16">
        <f>I3</f>
        <v>70</v>
      </c>
      <c r="J17" s="5" t="s">
        <v>13</v>
      </c>
      <c r="K17" s="16">
        <f>K3</f>
        <v>73</v>
      </c>
    </row>
    <row r="18" spans="2:11" ht="18.600000000000001" x14ac:dyDescent="0.3">
      <c r="B18" s="5" t="s">
        <v>14</v>
      </c>
      <c r="C18" s="16">
        <v>29.319733475967272</v>
      </c>
      <c r="D18" s="5" t="s">
        <v>14</v>
      </c>
      <c r="E18" s="16">
        <v>22.033328296290733</v>
      </c>
      <c r="F18" s="5" t="s">
        <v>14</v>
      </c>
      <c r="G18" s="16">
        <f>G3*0.32</f>
        <v>23.36</v>
      </c>
      <c r="H18" s="5" t="s">
        <v>14</v>
      </c>
      <c r="I18" s="16">
        <f>I3*0.32</f>
        <v>22.400000000000002</v>
      </c>
      <c r="J18" s="5" t="s">
        <v>14</v>
      </c>
      <c r="K18" s="16">
        <f>K3*0.32</f>
        <v>23.36</v>
      </c>
    </row>
    <row r="19" spans="2:11" ht="19.2" thickBot="1" x14ac:dyDescent="0.35">
      <c r="B19" s="17" t="s">
        <v>15</v>
      </c>
      <c r="C19" s="18">
        <v>25.323595453134953</v>
      </c>
      <c r="D19" s="17" t="s">
        <v>15</v>
      </c>
      <c r="E19" s="18">
        <v>26.572831662411776</v>
      </c>
      <c r="F19" s="17" t="s">
        <v>15</v>
      </c>
      <c r="G19" s="18">
        <f>G3*0.32</f>
        <v>23.36</v>
      </c>
      <c r="H19" s="17" t="s">
        <v>15</v>
      </c>
      <c r="I19" s="18">
        <f>I3*0.32</f>
        <v>22.400000000000002</v>
      </c>
      <c r="J19" s="17" t="s">
        <v>15</v>
      </c>
      <c r="K19" s="18">
        <f>K3*0.32</f>
        <v>23.36</v>
      </c>
    </row>
    <row r="20" spans="2:11" ht="15" thickBot="1" x14ac:dyDescent="0.35"/>
    <row r="21" spans="2:11" ht="18.600000000000001" x14ac:dyDescent="0.3">
      <c r="B21" s="29" t="s">
        <v>25</v>
      </c>
      <c r="C21" s="30">
        <f>(C4/159)/660</f>
        <v>7.0200251712770304E-4</v>
      </c>
    </row>
    <row r="22" spans="2:11" ht="18.600000000000001" x14ac:dyDescent="0.3">
      <c r="B22" s="21" t="s">
        <v>26</v>
      </c>
      <c r="C22" s="28">
        <f>(C3/159)/617</f>
        <v>8.1076815725898471E-4</v>
      </c>
    </row>
    <row r="23" spans="2:11" ht="18.600000000000001" x14ac:dyDescent="0.3">
      <c r="B23" s="21" t="s">
        <v>27</v>
      </c>
      <c r="C23" s="28">
        <f>(C5/159)/393</f>
        <v>9.9148975499602156E-4</v>
      </c>
    </row>
    <row r="24" spans="2:11" ht="18.600000000000001" x14ac:dyDescent="0.3">
      <c r="B24" s="21" t="s">
        <v>28</v>
      </c>
      <c r="C24" s="28">
        <f>(C9/159)/641</f>
        <v>9.2217296622747321E-4</v>
      </c>
    </row>
    <row r="25" spans="2:11" ht="18.600000000000001" x14ac:dyDescent="0.3">
      <c r="B25" s="21" t="s">
        <v>29</v>
      </c>
      <c r="C25" s="28">
        <v>6.6699999999999995E-4</v>
      </c>
    </row>
    <row r="26" spans="2:11" ht="18.600000000000001" x14ac:dyDescent="0.3">
      <c r="B26" s="21" t="s">
        <v>30</v>
      </c>
      <c r="C26" s="28">
        <f>(C8/159)/519</f>
        <v>5.5342622130111934E-4</v>
      </c>
    </row>
    <row r="27" spans="2:11" ht="19.2" thickBot="1" x14ac:dyDescent="0.35">
      <c r="B27" s="31" t="s">
        <v>31</v>
      </c>
      <c r="C27" s="32">
        <f>(66/159)/478</f>
        <v>8.6839820004736717E-4</v>
      </c>
    </row>
    <row r="28" spans="2:11" ht="15" thickBot="1" x14ac:dyDescent="0.35"/>
    <row r="29" spans="2:11" ht="18.600000000000001" x14ac:dyDescent="0.3">
      <c r="B29" s="29" t="s">
        <v>55</v>
      </c>
      <c r="C29" s="16" t="s">
        <v>54</v>
      </c>
    </row>
    <row r="30" spans="2:11" ht="18.600000000000001" x14ac:dyDescent="0.3">
      <c r="B30" s="21" t="s">
        <v>51</v>
      </c>
      <c r="C30" s="16">
        <v>69</v>
      </c>
    </row>
    <row r="31" spans="2:11" ht="18.600000000000001" x14ac:dyDescent="0.3">
      <c r="B31" s="21" t="s">
        <v>52</v>
      </c>
      <c r="C31" s="16">
        <v>71</v>
      </c>
    </row>
    <row r="32" spans="2:11" ht="18.600000000000001" x14ac:dyDescent="0.3">
      <c r="B32" s="21" t="s">
        <v>53</v>
      </c>
      <c r="C32" s="16">
        <v>64</v>
      </c>
    </row>
    <row r="33" spans="2:5" s="1" customFormat="1" ht="18.600000000000001" x14ac:dyDescent="0.3">
      <c r="B33" s="21" t="s">
        <v>58</v>
      </c>
      <c r="C33" s="16">
        <v>64</v>
      </c>
    </row>
    <row r="34" spans="2:5" s="1" customFormat="1" ht="18.600000000000001" x14ac:dyDescent="0.3">
      <c r="B34" s="21" t="s">
        <v>59</v>
      </c>
      <c r="C34" s="16">
        <v>60</v>
      </c>
    </row>
    <row r="35" spans="2:5" s="1" customFormat="1" ht="18.600000000000001" x14ac:dyDescent="0.3">
      <c r="B35" s="21" t="s">
        <v>67</v>
      </c>
      <c r="C35" s="16">
        <v>58</v>
      </c>
    </row>
    <row r="36" spans="2:5" s="1" customFormat="1" ht="18.600000000000001" x14ac:dyDescent="0.3">
      <c r="B36" s="21" t="s">
        <v>68</v>
      </c>
      <c r="C36" s="16">
        <v>58</v>
      </c>
    </row>
    <row r="37" spans="2:5" s="1" customFormat="1" ht="18.600000000000001" x14ac:dyDescent="0.3">
      <c r="B37" s="21" t="s">
        <v>69</v>
      </c>
      <c r="C37" s="16">
        <v>58</v>
      </c>
    </row>
    <row r="38" spans="2:5" s="1" customFormat="1" ht="18.600000000000001" x14ac:dyDescent="0.3">
      <c r="B38" s="21" t="s">
        <v>70</v>
      </c>
      <c r="C38" s="16">
        <v>58</v>
      </c>
    </row>
    <row r="39" spans="2:5" s="1" customFormat="1" ht="18.600000000000001" x14ac:dyDescent="0.3">
      <c r="B39" s="21" t="s">
        <v>71</v>
      </c>
      <c r="C39" s="16">
        <v>59</v>
      </c>
    </row>
    <row r="40" spans="2:5" s="1" customFormat="1" ht="18.600000000000001" x14ac:dyDescent="0.3">
      <c r="B40" s="21" t="s">
        <v>72</v>
      </c>
      <c r="C40" s="16">
        <v>59</v>
      </c>
    </row>
    <row r="41" spans="2:5" s="1" customFormat="1" ht="18.600000000000001" x14ac:dyDescent="0.3">
      <c r="B41" s="21" t="s">
        <v>73</v>
      </c>
      <c r="C41" s="16">
        <v>59</v>
      </c>
    </row>
    <row r="43" spans="2:5" s="1" customFormat="1" ht="18.600000000000001" x14ac:dyDescent="0.3">
      <c r="B43" s="33" t="s">
        <v>56</v>
      </c>
      <c r="C43" s="16" t="s">
        <v>54</v>
      </c>
    </row>
    <row r="44" spans="2:5" ht="18.600000000000001" x14ac:dyDescent="0.3">
      <c r="B44" s="21" t="s">
        <v>51</v>
      </c>
      <c r="C44" s="16">
        <f t="shared" ref="C44:C55" si="0">C30-1.5</f>
        <v>67.5</v>
      </c>
    </row>
    <row r="45" spans="2:5" ht="18.600000000000001" x14ac:dyDescent="0.3">
      <c r="B45" s="21" t="s">
        <v>52</v>
      </c>
      <c r="C45" s="16">
        <f t="shared" si="0"/>
        <v>69.5</v>
      </c>
    </row>
    <row r="46" spans="2:5" ht="18.600000000000001" x14ac:dyDescent="0.3">
      <c r="B46" s="21" t="s">
        <v>53</v>
      </c>
      <c r="C46" s="16">
        <f t="shared" si="0"/>
        <v>62.5</v>
      </c>
      <c r="E46" s="1"/>
    </row>
    <row r="47" spans="2:5" s="1" customFormat="1" ht="18.600000000000001" x14ac:dyDescent="0.3">
      <c r="B47" s="21" t="s">
        <v>58</v>
      </c>
      <c r="C47" s="16">
        <f t="shared" si="0"/>
        <v>62.5</v>
      </c>
    </row>
    <row r="48" spans="2:5" s="1" customFormat="1" ht="18.600000000000001" x14ac:dyDescent="0.3">
      <c r="B48" s="21" t="s">
        <v>59</v>
      </c>
      <c r="C48" s="16">
        <f t="shared" si="0"/>
        <v>58.5</v>
      </c>
    </row>
    <row r="49" spans="2:4" s="1" customFormat="1" ht="18.600000000000001" x14ac:dyDescent="0.3">
      <c r="B49" s="21" t="s">
        <v>67</v>
      </c>
      <c r="C49" s="16">
        <f t="shared" si="0"/>
        <v>56.5</v>
      </c>
    </row>
    <row r="50" spans="2:4" s="1" customFormat="1" ht="18.600000000000001" x14ac:dyDescent="0.3">
      <c r="B50" s="21" t="s">
        <v>68</v>
      </c>
      <c r="C50" s="16">
        <f t="shared" si="0"/>
        <v>56.5</v>
      </c>
    </row>
    <row r="51" spans="2:4" s="1" customFormat="1" ht="18.600000000000001" x14ac:dyDescent="0.3">
      <c r="B51" s="21" t="s">
        <v>69</v>
      </c>
      <c r="C51" s="16">
        <f t="shared" si="0"/>
        <v>56.5</v>
      </c>
    </row>
    <row r="52" spans="2:4" s="1" customFormat="1" ht="18.600000000000001" x14ac:dyDescent="0.3">
      <c r="B52" s="21" t="s">
        <v>70</v>
      </c>
      <c r="C52" s="16">
        <f t="shared" si="0"/>
        <v>56.5</v>
      </c>
    </row>
    <row r="53" spans="2:4" s="1" customFormat="1" ht="18.600000000000001" x14ac:dyDescent="0.3">
      <c r="B53" s="21" t="s">
        <v>71</v>
      </c>
      <c r="C53" s="16">
        <f t="shared" si="0"/>
        <v>57.5</v>
      </c>
    </row>
    <row r="54" spans="2:4" s="1" customFormat="1" ht="18.600000000000001" x14ac:dyDescent="0.3">
      <c r="B54" s="21" t="s">
        <v>72</v>
      </c>
      <c r="C54" s="16">
        <f t="shared" si="0"/>
        <v>57.5</v>
      </c>
    </row>
    <row r="55" spans="2:4" s="1" customFormat="1" ht="18.600000000000001" x14ac:dyDescent="0.3">
      <c r="B55" s="21" t="s">
        <v>73</v>
      </c>
      <c r="C55" s="16">
        <f t="shared" si="0"/>
        <v>57.5</v>
      </c>
    </row>
    <row r="57" spans="2:4" ht="18.600000000000001" x14ac:dyDescent="0.3">
      <c r="B57" s="33" t="s">
        <v>57</v>
      </c>
      <c r="C57" s="16" t="s">
        <v>54</v>
      </c>
    </row>
    <row r="58" spans="2:4" ht="18.600000000000001" x14ac:dyDescent="0.3">
      <c r="B58" s="21" t="s">
        <v>51</v>
      </c>
      <c r="C58" s="16">
        <f t="shared" ref="C58:C63" si="1">C44*0.95</f>
        <v>64.125</v>
      </c>
    </row>
    <row r="59" spans="2:4" ht="18.600000000000001" x14ac:dyDescent="0.3">
      <c r="B59" s="21" t="s">
        <v>52</v>
      </c>
      <c r="C59" s="16">
        <f t="shared" si="1"/>
        <v>66.024999999999991</v>
      </c>
      <c r="D59" s="112" t="s">
        <v>94</v>
      </c>
    </row>
    <row r="60" spans="2:4" ht="18.600000000000001" x14ac:dyDescent="0.3">
      <c r="B60" s="21" t="s">
        <v>53</v>
      </c>
      <c r="C60" s="16">
        <f t="shared" si="1"/>
        <v>59.375</v>
      </c>
      <c r="D60" s="16">
        <v>63</v>
      </c>
    </row>
    <row r="61" spans="2:4" ht="18.600000000000001" x14ac:dyDescent="0.3">
      <c r="B61" s="21" t="s">
        <v>58</v>
      </c>
      <c r="C61" s="16">
        <f t="shared" si="1"/>
        <v>59.375</v>
      </c>
    </row>
    <row r="62" spans="2:4" ht="18.600000000000001" x14ac:dyDescent="0.3">
      <c r="B62" s="21" t="s">
        <v>59</v>
      </c>
      <c r="C62" s="16">
        <f t="shared" si="1"/>
        <v>55.574999999999996</v>
      </c>
    </row>
    <row r="63" spans="2:4" ht="18.600000000000001" x14ac:dyDescent="0.3">
      <c r="B63" s="21" t="s">
        <v>67</v>
      </c>
      <c r="C63" s="16">
        <f t="shared" si="1"/>
        <v>53.674999999999997</v>
      </c>
      <c r="D63" s="16">
        <f>AVERAGE(C61:C63)</f>
        <v>56.208333333333336</v>
      </c>
    </row>
    <row r="64" spans="2:4" ht="18.600000000000001" x14ac:dyDescent="0.3">
      <c r="B64" s="21" t="s">
        <v>68</v>
      </c>
      <c r="C64" s="16">
        <f t="shared" ref="C64:C69" si="2">C50*0.95</f>
        <v>53.674999999999997</v>
      </c>
    </row>
    <row r="65" spans="2:4" ht="18.600000000000001" x14ac:dyDescent="0.3">
      <c r="B65" s="21" t="s">
        <v>69</v>
      </c>
      <c r="C65" s="16">
        <f t="shared" si="2"/>
        <v>53.674999999999997</v>
      </c>
    </row>
    <row r="66" spans="2:4" ht="18.600000000000001" x14ac:dyDescent="0.3">
      <c r="B66" s="21" t="s">
        <v>70</v>
      </c>
      <c r="C66" s="16">
        <f t="shared" si="2"/>
        <v>53.674999999999997</v>
      </c>
      <c r="D66" s="16">
        <f>AVERAGE(C64:C66)</f>
        <v>53.67499999999999</v>
      </c>
    </row>
    <row r="67" spans="2:4" ht="18.600000000000001" x14ac:dyDescent="0.3">
      <c r="B67" s="21" t="s">
        <v>71</v>
      </c>
      <c r="C67" s="16">
        <f>C53*0.95</f>
        <v>54.625</v>
      </c>
    </row>
    <row r="68" spans="2:4" ht="18.600000000000001" x14ac:dyDescent="0.3">
      <c r="B68" s="21" t="s">
        <v>72</v>
      </c>
      <c r="C68" s="16">
        <f t="shared" si="2"/>
        <v>54.625</v>
      </c>
    </row>
    <row r="69" spans="2:4" ht="18.600000000000001" x14ac:dyDescent="0.3">
      <c r="B69" s="21" t="s">
        <v>73</v>
      </c>
      <c r="C69" s="16">
        <f t="shared" si="2"/>
        <v>54.625</v>
      </c>
      <c r="D69" s="16">
        <f>AVERAGE(C67:C69)</f>
        <v>54.625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1"/>
  <sheetViews>
    <sheetView rightToLeft="1" workbookViewId="0">
      <pane xSplit="2" ySplit="1" topLeftCell="C2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4.4" x14ac:dyDescent="0.3"/>
  <cols>
    <col min="2" max="2" width="23.33203125" bestFit="1" customWidth="1"/>
    <col min="3" max="3" width="17.6640625" customWidth="1"/>
    <col min="5" max="5" width="10" customWidth="1"/>
    <col min="6" max="6" width="11.88671875" customWidth="1"/>
    <col min="7" max="7" width="23.33203125" style="1" bestFit="1" customWidth="1"/>
    <col min="8" max="8" width="16" customWidth="1"/>
    <col min="11" max="11" width="11" bestFit="1" customWidth="1"/>
    <col min="12" max="12" width="23.33203125" bestFit="1" customWidth="1"/>
    <col min="13" max="13" width="15.6640625" bestFit="1" customWidth="1"/>
    <col min="16" max="16" width="11" bestFit="1" customWidth="1"/>
    <col min="17" max="17" width="23.33203125" bestFit="1" customWidth="1"/>
    <col min="18" max="18" width="15.6640625" bestFit="1" customWidth="1"/>
    <col min="21" max="21" width="11" bestFit="1" customWidth="1"/>
    <col min="22" max="22" width="23.33203125" bestFit="1" customWidth="1"/>
    <col min="23" max="23" width="15.6640625" bestFit="1" customWidth="1"/>
    <col min="26" max="26" width="11" bestFit="1" customWidth="1"/>
  </cols>
  <sheetData>
    <row r="1" spans="2:26" s="1" customFormat="1" ht="18.600000000000001" x14ac:dyDescent="0.6">
      <c r="B1" s="70"/>
      <c r="C1" s="185" t="s">
        <v>18</v>
      </c>
      <c r="D1" s="186"/>
      <c r="E1" s="186"/>
      <c r="F1" s="187"/>
      <c r="G1" s="73"/>
      <c r="H1" s="185" t="s">
        <v>32</v>
      </c>
      <c r="I1" s="186"/>
      <c r="J1" s="186"/>
      <c r="K1" s="187"/>
      <c r="L1" s="73"/>
      <c r="M1" s="185" t="s">
        <v>64</v>
      </c>
      <c r="N1" s="186"/>
      <c r="O1" s="186"/>
      <c r="P1" s="187"/>
      <c r="Q1" s="73"/>
      <c r="R1" s="185" t="s">
        <v>65</v>
      </c>
      <c r="S1" s="186"/>
      <c r="T1" s="186"/>
      <c r="U1" s="187"/>
      <c r="V1" s="73"/>
      <c r="W1" s="185" t="s">
        <v>66</v>
      </c>
      <c r="X1" s="186"/>
      <c r="Y1" s="186"/>
      <c r="Z1" s="187"/>
    </row>
    <row r="2" spans="2:26" ht="18.600000000000001" x14ac:dyDescent="0.3">
      <c r="B2" s="67"/>
      <c r="C2" s="68" t="s">
        <v>49</v>
      </c>
      <c r="D2" s="68" t="s">
        <v>44</v>
      </c>
      <c r="E2" s="68" t="s">
        <v>41</v>
      </c>
      <c r="F2" s="69" t="s">
        <v>45</v>
      </c>
      <c r="G2" s="67"/>
      <c r="H2" s="68" t="s">
        <v>49</v>
      </c>
      <c r="I2" s="68" t="s">
        <v>44</v>
      </c>
      <c r="J2" s="68" t="s">
        <v>41</v>
      </c>
      <c r="K2" s="69" t="s">
        <v>45</v>
      </c>
      <c r="L2" s="67"/>
      <c r="M2" s="68" t="s">
        <v>49</v>
      </c>
      <c r="N2" s="68" t="s">
        <v>44</v>
      </c>
      <c r="O2" s="68" t="s">
        <v>41</v>
      </c>
      <c r="P2" s="69" t="s">
        <v>45</v>
      </c>
      <c r="Q2" s="67"/>
      <c r="R2" s="68" t="s">
        <v>49</v>
      </c>
      <c r="S2" s="68" t="s">
        <v>44</v>
      </c>
      <c r="T2" s="68" t="s">
        <v>41</v>
      </c>
      <c r="U2" s="69" t="s">
        <v>45</v>
      </c>
      <c r="V2" s="67"/>
      <c r="W2" s="68" t="s">
        <v>49</v>
      </c>
      <c r="X2" s="68" t="s">
        <v>44</v>
      </c>
      <c r="Y2" s="68" t="s">
        <v>41</v>
      </c>
      <c r="Z2" s="69" t="s">
        <v>45</v>
      </c>
    </row>
    <row r="3" spans="2:26" ht="18.600000000000001" x14ac:dyDescent="0.3">
      <c r="B3" s="21" t="s">
        <v>0</v>
      </c>
      <c r="C3" s="36">
        <v>0.45</v>
      </c>
      <c r="D3" s="22">
        <v>79.538788531578177</v>
      </c>
      <c r="E3" s="22">
        <f t="shared" ref="E3:E19" si="0">D3-D$20</f>
        <v>14.538788531578177</v>
      </c>
      <c r="F3" s="34">
        <f>C3*E3</f>
        <v>6.5424548392101798</v>
      </c>
      <c r="G3" s="21" t="s">
        <v>0</v>
      </c>
      <c r="H3" s="36">
        <v>0.42231281909977975</v>
      </c>
      <c r="I3" s="22">
        <v>76.401743048505779</v>
      </c>
      <c r="J3" s="22">
        <f t="shared" ref="J3:J19" si="1">I3-I$20</f>
        <v>13.401743048505779</v>
      </c>
      <c r="K3" s="34">
        <f>H3*J3</f>
        <v>5.6597278876653521</v>
      </c>
      <c r="L3" s="21" t="s">
        <v>0</v>
      </c>
      <c r="M3" s="36">
        <f>'مبلغ فروش'!J3</f>
        <v>0.44477823814003803</v>
      </c>
      <c r="N3" s="22">
        <f>نرخ!G3</f>
        <v>73</v>
      </c>
      <c r="O3" s="22">
        <f t="shared" ref="O3:O19" si="2">N3-N$20</f>
        <v>16.791666666666664</v>
      </c>
      <c r="P3" s="34">
        <f>M3*O3</f>
        <v>7.4685679154348046</v>
      </c>
      <c r="Q3" s="21" t="s">
        <v>0</v>
      </c>
      <c r="R3" s="36">
        <f>'مبلغ فروش'!M3</f>
        <v>0.44928439390436048</v>
      </c>
      <c r="S3" s="22">
        <f>نرخ!I3</f>
        <v>70</v>
      </c>
      <c r="T3" s="22">
        <f t="shared" ref="T3:T19" si="3">S3-S$20</f>
        <v>16.32500000000001</v>
      </c>
      <c r="U3" s="34">
        <f>R3*T3</f>
        <v>7.3345677304886889</v>
      </c>
      <c r="V3" s="21" t="s">
        <v>0</v>
      </c>
      <c r="W3" s="36">
        <f>'مبلغ فروش'!P3</f>
        <v>0.4590406221998799</v>
      </c>
      <c r="X3" s="22">
        <f>نرخ!K3</f>
        <v>73</v>
      </c>
      <c r="Y3" s="22">
        <f t="shared" ref="Y3:Y19" si="4">X3-X$20</f>
        <v>18.375</v>
      </c>
      <c r="Z3" s="34">
        <f>W3*Y3</f>
        <v>8.4348714329227938</v>
      </c>
    </row>
    <row r="4" spans="2:26" ht="18.600000000000001" x14ac:dyDescent="0.3">
      <c r="B4" s="21" t="s">
        <v>2</v>
      </c>
      <c r="C4" s="36">
        <v>0.21</v>
      </c>
      <c r="D4" s="22">
        <v>73.668144147381156</v>
      </c>
      <c r="E4" s="22">
        <f t="shared" si="0"/>
        <v>8.668144147381156</v>
      </c>
      <c r="F4" s="34">
        <f t="shared" ref="F4:F19" si="5">C4*E4</f>
        <v>1.8203102709500427</v>
      </c>
      <c r="G4" s="21" t="s">
        <v>2</v>
      </c>
      <c r="H4" s="36">
        <v>0.21948790371120291</v>
      </c>
      <c r="I4" s="22">
        <v>74.548603335657432</v>
      </c>
      <c r="J4" s="22">
        <f t="shared" si="1"/>
        <v>11.548603335657432</v>
      </c>
      <c r="K4" s="34">
        <f t="shared" ref="K4:K19" si="6">H4*J4</f>
        <v>2.5347787369356554</v>
      </c>
      <c r="L4" s="21" t="s">
        <v>2</v>
      </c>
      <c r="M4" s="36">
        <f>'مبلغ فروش'!J4</f>
        <v>0.21743805488221707</v>
      </c>
      <c r="N4" s="22">
        <f>نرخ!G4</f>
        <v>67</v>
      </c>
      <c r="O4" s="22">
        <f t="shared" si="2"/>
        <v>10.791666666666664</v>
      </c>
      <c r="P4" s="34">
        <f t="shared" ref="P4:P19" si="7">M4*O4</f>
        <v>2.3465190089372587</v>
      </c>
      <c r="Q4" s="21" t="s">
        <v>2</v>
      </c>
      <c r="R4" s="36">
        <f>'مبلغ فروش'!M4</f>
        <v>0.21196056306996158</v>
      </c>
      <c r="S4" s="22">
        <f>نرخ!I4</f>
        <v>62</v>
      </c>
      <c r="T4" s="22">
        <f t="shared" si="3"/>
        <v>8.3250000000000099</v>
      </c>
      <c r="U4" s="34">
        <f t="shared" ref="U4:U19" si="8">R4*T4</f>
        <v>1.7645716875574322</v>
      </c>
      <c r="V4" s="21" t="s">
        <v>2</v>
      </c>
      <c r="W4" s="36">
        <f>'مبلغ فروش'!P4</f>
        <v>0.20431402337958354</v>
      </c>
      <c r="X4" s="22">
        <f>نرخ!K4</f>
        <v>61</v>
      </c>
      <c r="Y4" s="22">
        <f t="shared" si="4"/>
        <v>6.375</v>
      </c>
      <c r="Z4" s="34">
        <f t="shared" ref="Z4:Z19" si="9">W4*Y4</f>
        <v>1.3025018990448451</v>
      </c>
    </row>
    <row r="5" spans="2:26" ht="18.600000000000001" x14ac:dyDescent="0.3">
      <c r="B5" s="21" t="s">
        <v>3</v>
      </c>
      <c r="C5" s="36">
        <v>0.15</v>
      </c>
      <c r="D5" s="22">
        <v>61.955220320436396</v>
      </c>
      <c r="E5" s="22">
        <f t="shared" si="0"/>
        <v>-3.0447796795636037</v>
      </c>
      <c r="F5" s="34">
        <f t="shared" si="5"/>
        <v>-0.45671695193454054</v>
      </c>
      <c r="G5" s="21" t="s">
        <v>3</v>
      </c>
      <c r="H5" s="36">
        <v>0.15336383135977125</v>
      </c>
      <c r="I5" s="22">
        <v>59.73301401819235</v>
      </c>
      <c r="J5" s="22">
        <f t="shared" si="1"/>
        <v>-3.2669859818076503</v>
      </c>
      <c r="K5" s="34">
        <f t="shared" si="6"/>
        <v>-0.50103748716868513</v>
      </c>
      <c r="L5" s="21" t="s">
        <v>3</v>
      </c>
      <c r="M5" s="36">
        <f>'مبلغ فروش'!J5</f>
        <v>0.13867375422313816</v>
      </c>
      <c r="N5" s="22">
        <f>نرخ!G5</f>
        <v>49</v>
      </c>
      <c r="O5" s="22">
        <f t="shared" si="2"/>
        <v>-7.2083333333333357</v>
      </c>
      <c r="P5" s="34">
        <f t="shared" si="7"/>
        <v>-0.9996066450251212</v>
      </c>
      <c r="Q5" s="21" t="s">
        <v>3</v>
      </c>
      <c r="R5" s="36">
        <f>'مبلغ فروش'!M5</f>
        <v>0.13713826417912772</v>
      </c>
      <c r="S5" s="22">
        <f>نرخ!I5</f>
        <v>46</v>
      </c>
      <c r="T5" s="22">
        <f t="shared" si="3"/>
        <v>-7.6749999999999901</v>
      </c>
      <c r="U5" s="34">
        <f t="shared" si="8"/>
        <v>-1.0525361775748039</v>
      </c>
      <c r="V5" s="21" t="s">
        <v>3</v>
      </c>
      <c r="W5" s="36">
        <f>'مبلغ فروش'!P5</f>
        <v>0.13435802587405696</v>
      </c>
      <c r="X5" s="22">
        <f>نرخ!K5</f>
        <v>46</v>
      </c>
      <c r="Y5" s="22">
        <f t="shared" si="4"/>
        <v>-8.625</v>
      </c>
      <c r="Z5" s="34">
        <f t="shared" si="9"/>
        <v>-1.1588379731637413</v>
      </c>
    </row>
    <row r="6" spans="2:26" ht="18.600000000000001" x14ac:dyDescent="0.3">
      <c r="B6" s="21" t="s">
        <v>4</v>
      </c>
      <c r="C6" s="36">
        <v>0.05</v>
      </c>
      <c r="D6" s="22">
        <v>47.142987130281405</v>
      </c>
      <c r="E6" s="22">
        <f t="shared" si="0"/>
        <v>-17.857012869718595</v>
      </c>
      <c r="F6" s="34">
        <f t="shared" si="5"/>
        <v>-0.8928506434859298</v>
      </c>
      <c r="G6" s="21" t="s">
        <v>4</v>
      </c>
      <c r="H6" s="36">
        <v>5.8548363767746928E-2</v>
      </c>
      <c r="I6" s="22">
        <v>47.348026076738257</v>
      </c>
      <c r="J6" s="22">
        <f t="shared" si="1"/>
        <v>-15.651973923261743</v>
      </c>
      <c r="K6" s="34">
        <f t="shared" si="6"/>
        <v>-0.91639746294241753</v>
      </c>
      <c r="L6" s="21" t="s">
        <v>4</v>
      </c>
      <c r="M6" s="36">
        <f>'مبلغ فروش'!J6</f>
        <v>5.0758903166755846E-2</v>
      </c>
      <c r="N6" s="22">
        <f>نرخ!G6</f>
        <v>37.24</v>
      </c>
      <c r="O6" s="22">
        <f t="shared" si="2"/>
        <v>-18.968333333333334</v>
      </c>
      <c r="P6" s="34">
        <f t="shared" si="7"/>
        <v>-0.96281179490141378</v>
      </c>
      <c r="Q6" s="21" t="s">
        <v>4</v>
      </c>
      <c r="R6" s="36">
        <f>'مبلغ فروش'!M6</f>
        <v>5.0196866097131039E-2</v>
      </c>
      <c r="S6" s="22">
        <f>نرخ!I6</f>
        <v>34.96</v>
      </c>
      <c r="T6" s="22">
        <f t="shared" si="3"/>
        <v>-18.714999999999989</v>
      </c>
      <c r="U6" s="34">
        <f t="shared" si="8"/>
        <v>-0.93943434900780687</v>
      </c>
      <c r="V6" s="21" t="s">
        <v>4</v>
      </c>
      <c r="W6" s="36">
        <f>'مبلغ فروش'!P6</f>
        <v>4.9179212484894388E-2</v>
      </c>
      <c r="X6" s="22">
        <f>نرخ!K6</f>
        <v>34.96</v>
      </c>
      <c r="Y6" s="22">
        <f t="shared" si="4"/>
        <v>-19.664999999999999</v>
      </c>
      <c r="Z6" s="34">
        <f t="shared" si="9"/>
        <v>-0.9671092135154481</v>
      </c>
    </row>
    <row r="7" spans="2:26" ht="18.600000000000001" x14ac:dyDescent="0.3">
      <c r="B7" s="21" t="s">
        <v>5</v>
      </c>
      <c r="C7" s="36">
        <v>0.03</v>
      </c>
      <c r="D7" s="22">
        <v>66.747020529487656</v>
      </c>
      <c r="E7" s="22">
        <f t="shared" si="0"/>
        <v>1.7470205294876564</v>
      </c>
      <c r="F7" s="34">
        <f t="shared" si="5"/>
        <v>5.241061588462969E-2</v>
      </c>
      <c r="G7" s="21" t="s">
        <v>5</v>
      </c>
      <c r="H7" s="36">
        <v>3.520782844600711E-2</v>
      </c>
      <c r="I7" s="22">
        <v>69.651854943685237</v>
      </c>
      <c r="J7" s="22">
        <f t="shared" si="1"/>
        <v>6.6518549436852368</v>
      </c>
      <c r="K7" s="34">
        <f t="shared" si="6"/>
        <v>0.23419736770499411</v>
      </c>
      <c r="L7" s="21" t="s">
        <v>5</v>
      </c>
      <c r="M7" s="36">
        <f>'مبلغ فروش'!J7</f>
        <v>3.1759311622687865E-2</v>
      </c>
      <c r="N7" s="22">
        <f>نرخ!G7</f>
        <v>57</v>
      </c>
      <c r="O7" s="22">
        <f t="shared" si="2"/>
        <v>0.7916666666666643</v>
      </c>
      <c r="P7" s="34">
        <f t="shared" si="7"/>
        <v>2.514278836796115E-2</v>
      </c>
      <c r="Q7" s="21" t="s">
        <v>5</v>
      </c>
      <c r="R7" s="36">
        <f>'مبلغ فروش'!M7</f>
        <v>3.3455976003453132E-2</v>
      </c>
      <c r="S7" s="22">
        <f>نرخ!I7</f>
        <v>57</v>
      </c>
      <c r="T7" s="22">
        <f t="shared" si="3"/>
        <v>3.3250000000000099</v>
      </c>
      <c r="U7" s="34">
        <f t="shared" si="8"/>
        <v>0.111241120211482</v>
      </c>
      <c r="V7" s="21" t="s">
        <v>5</v>
      </c>
      <c r="W7" s="36">
        <f>'مبلغ فروش'!P7</f>
        <v>3.2777714640185224E-2</v>
      </c>
      <c r="X7" s="22">
        <f>نرخ!K7</f>
        <v>57</v>
      </c>
      <c r="Y7" s="22">
        <f t="shared" si="4"/>
        <v>2.375</v>
      </c>
      <c r="Z7" s="34">
        <f t="shared" si="9"/>
        <v>7.784707227043991E-2</v>
      </c>
    </row>
    <row r="8" spans="2:26" ht="18.600000000000001" x14ac:dyDescent="0.3">
      <c r="B8" s="21" t="s">
        <v>6</v>
      </c>
      <c r="C8" s="36">
        <v>0.03</v>
      </c>
      <c r="D8" s="22">
        <v>45.669285207989674</v>
      </c>
      <c r="E8" s="22">
        <f t="shared" si="0"/>
        <v>-19.330714792010326</v>
      </c>
      <c r="F8" s="34">
        <f t="shared" si="5"/>
        <v>-0.57992144376030974</v>
      </c>
      <c r="G8" s="21" t="s">
        <v>6</v>
      </c>
      <c r="H8" s="36">
        <v>2.1418180525559598E-2</v>
      </c>
      <c r="I8" s="22">
        <v>39.198332763606714</v>
      </c>
      <c r="J8" s="22">
        <f t="shared" si="1"/>
        <v>-23.801667236393286</v>
      </c>
      <c r="K8" s="34">
        <f t="shared" si="6"/>
        <v>-0.50978840567836858</v>
      </c>
      <c r="L8" s="21" t="s">
        <v>6</v>
      </c>
      <c r="M8" s="36">
        <f>'مبلغ فروش'!J8</f>
        <v>2.4181887771150847E-2</v>
      </c>
      <c r="N8" s="22">
        <f>نرخ!G8</f>
        <v>40.150000000000006</v>
      </c>
      <c r="O8" s="22">
        <f t="shared" si="2"/>
        <v>-16.05833333333333</v>
      </c>
      <c r="P8" s="34">
        <f t="shared" si="7"/>
        <v>-0.38832081445839728</v>
      </c>
      <c r="Q8" s="21" t="s">
        <v>6</v>
      </c>
      <c r="R8" s="36">
        <f>'مبلغ فروش'!M8</f>
        <v>2.442688031716175E-2</v>
      </c>
      <c r="S8" s="22">
        <f>نرخ!I8</f>
        <v>38.5</v>
      </c>
      <c r="T8" s="22">
        <f t="shared" si="3"/>
        <v>-15.17499999999999</v>
      </c>
      <c r="U8" s="34">
        <f t="shared" si="8"/>
        <v>-0.37067790881292934</v>
      </c>
      <c r="V8" s="21" t="s">
        <v>6</v>
      </c>
      <c r="W8" s="36">
        <f>'مبلغ فروش'!P8</f>
        <v>2.4957310984585045E-2</v>
      </c>
      <c r="X8" s="22">
        <f>نرخ!K8</f>
        <v>40.150000000000006</v>
      </c>
      <c r="Y8" s="22">
        <f t="shared" si="4"/>
        <v>-14.474999999999994</v>
      </c>
      <c r="Z8" s="34">
        <f t="shared" si="9"/>
        <v>-0.36125707650186839</v>
      </c>
    </row>
    <row r="9" spans="2:26" ht="18.600000000000001" x14ac:dyDescent="0.3">
      <c r="B9" s="21" t="s">
        <v>7</v>
      </c>
      <c r="C9" s="36">
        <v>0.02</v>
      </c>
      <c r="D9" s="22">
        <v>93.986946544937851</v>
      </c>
      <c r="E9" s="22">
        <f t="shared" si="0"/>
        <v>28.986946544937851</v>
      </c>
      <c r="F9" s="34">
        <f t="shared" si="5"/>
        <v>0.57973893089875705</v>
      </c>
      <c r="G9" s="21" t="s">
        <v>7</v>
      </c>
      <c r="H9" s="36">
        <v>1.6728703983609611E-2</v>
      </c>
      <c r="I9" s="22">
        <v>78.667778452363081</v>
      </c>
      <c r="J9" s="22">
        <f t="shared" si="1"/>
        <v>15.667778452363081</v>
      </c>
      <c r="K9" s="34">
        <f t="shared" si="6"/>
        <v>0.26210162781035912</v>
      </c>
      <c r="L9" s="21" t="s">
        <v>7</v>
      </c>
      <c r="M9" s="36">
        <f>'مبلغ فروش'!J9</f>
        <v>1.8471986815580727E-2</v>
      </c>
      <c r="N9" s="22">
        <f>نرخ!G9</f>
        <v>78.84</v>
      </c>
      <c r="O9" s="22">
        <f t="shared" si="2"/>
        <v>22.631666666666668</v>
      </c>
      <c r="P9" s="34">
        <f t="shared" si="7"/>
        <v>0.4180518482812845</v>
      </c>
      <c r="Q9" s="21" t="s">
        <v>7</v>
      </c>
      <c r="R9" s="36">
        <f>'مبلغ فروش'!M9</f>
        <v>1.8659130975815723E-2</v>
      </c>
      <c r="S9" s="22">
        <f>نرخ!I9</f>
        <v>75.600000000000009</v>
      </c>
      <c r="T9" s="22">
        <f t="shared" si="3"/>
        <v>21.925000000000018</v>
      </c>
      <c r="U9" s="34">
        <f t="shared" si="8"/>
        <v>0.40910144664476006</v>
      </c>
      <c r="V9" s="21" t="s">
        <v>7</v>
      </c>
      <c r="W9" s="36">
        <f>'مبلغ فروش'!P9</f>
        <v>1.9064314739298073E-2</v>
      </c>
      <c r="X9" s="22">
        <f>نرخ!K9</f>
        <v>78.84</v>
      </c>
      <c r="Y9" s="22">
        <f t="shared" si="4"/>
        <v>24.215000000000003</v>
      </c>
      <c r="Z9" s="34">
        <f t="shared" si="9"/>
        <v>0.4616423814121029</v>
      </c>
    </row>
    <row r="10" spans="2:26" ht="18.600000000000001" x14ac:dyDescent="0.3">
      <c r="B10" s="5" t="s">
        <v>8</v>
      </c>
      <c r="C10" s="37">
        <v>0.02</v>
      </c>
      <c r="D10" s="2">
        <v>82.149653758839762</v>
      </c>
      <c r="E10" s="2">
        <f t="shared" si="0"/>
        <v>17.149653758839762</v>
      </c>
      <c r="F10" s="71">
        <f t="shared" si="5"/>
        <v>0.34299307517679523</v>
      </c>
      <c r="G10" s="5" t="s">
        <v>8</v>
      </c>
      <c r="H10" s="37">
        <v>1.6881174038655643E-2</v>
      </c>
      <c r="I10" s="2">
        <v>77.668055591251374</v>
      </c>
      <c r="J10" s="2">
        <f t="shared" si="1"/>
        <v>14.668055591251374</v>
      </c>
      <c r="K10" s="71">
        <f t="shared" si="6"/>
        <v>0.24761399924459046</v>
      </c>
      <c r="L10" s="5" t="s">
        <v>8</v>
      </c>
      <c r="M10" s="37">
        <f>'مبلغ فروش'!J10</f>
        <v>1.7839099129791168E-2</v>
      </c>
      <c r="N10" s="2">
        <f>نرخ!G10</f>
        <v>74.460000000000008</v>
      </c>
      <c r="O10" s="2">
        <f t="shared" si="2"/>
        <v>18.251666666666672</v>
      </c>
      <c r="P10" s="71">
        <f t="shared" si="7"/>
        <v>0.32559329095057188</v>
      </c>
      <c r="Q10" s="5" t="s">
        <v>8</v>
      </c>
      <c r="R10" s="37">
        <f>'مبلغ فروش'!M10</f>
        <v>1.8019831352010907E-2</v>
      </c>
      <c r="S10" s="2">
        <f>نرخ!I10</f>
        <v>71.400000000000006</v>
      </c>
      <c r="T10" s="2">
        <f t="shared" si="3"/>
        <v>17.725000000000016</v>
      </c>
      <c r="U10" s="71">
        <f t="shared" si="8"/>
        <v>0.3194015107143936</v>
      </c>
      <c r="V10" s="5" t="s">
        <v>8</v>
      </c>
      <c r="W10" s="37">
        <f>'مبلغ فروش'!P10</f>
        <v>1.8411132699002276E-2</v>
      </c>
      <c r="X10" s="2">
        <f>نرخ!K10</f>
        <v>74.460000000000008</v>
      </c>
      <c r="Y10" s="2">
        <f t="shared" si="4"/>
        <v>19.835000000000008</v>
      </c>
      <c r="Z10" s="71">
        <f t="shared" si="9"/>
        <v>0.36518481708471029</v>
      </c>
    </row>
    <row r="11" spans="2:26" ht="18.600000000000001" x14ac:dyDescent="0.3">
      <c r="B11" s="5" t="s">
        <v>9</v>
      </c>
      <c r="C11" s="37">
        <v>0.01</v>
      </c>
      <c r="D11" s="2">
        <v>92.026358571918522</v>
      </c>
      <c r="E11" s="2">
        <f t="shared" si="0"/>
        <v>27.026358571918522</v>
      </c>
      <c r="F11" s="71">
        <f t="shared" si="5"/>
        <v>0.27026358571918524</v>
      </c>
      <c r="G11" s="5" t="s">
        <v>9</v>
      </c>
      <c r="H11" s="37">
        <v>1.2707194008270261E-2</v>
      </c>
      <c r="I11" s="2">
        <v>78.27719522354279</v>
      </c>
      <c r="J11" s="2">
        <f t="shared" si="1"/>
        <v>15.27719522354279</v>
      </c>
      <c r="K11" s="71">
        <f t="shared" si="6"/>
        <v>0.19413028360777801</v>
      </c>
      <c r="L11" s="5" t="s">
        <v>9</v>
      </c>
      <c r="M11" s="37">
        <f>'مبلغ فروش'!J11</f>
        <v>1.436877096853572E-2</v>
      </c>
      <c r="N11" s="2">
        <f>نرخ!G11</f>
        <v>80.300000000000011</v>
      </c>
      <c r="O11" s="2">
        <f t="shared" si="2"/>
        <v>24.091666666666676</v>
      </c>
      <c r="P11" s="71">
        <f t="shared" si="7"/>
        <v>0.34616764058363986</v>
      </c>
      <c r="Q11" s="5" t="s">
        <v>9</v>
      </c>
      <c r="R11" s="37">
        <f>'مبلغ فروش'!M11</f>
        <v>1.4514344457915185E-2</v>
      </c>
      <c r="S11" s="2">
        <f>نرخ!I11</f>
        <v>77</v>
      </c>
      <c r="T11" s="2">
        <f t="shared" si="3"/>
        <v>23.32500000000001</v>
      </c>
      <c r="U11" s="71">
        <f t="shared" si="8"/>
        <v>0.33854708448087184</v>
      </c>
      <c r="V11" s="5" t="s">
        <v>9</v>
      </c>
      <c r="W11" s="37">
        <f>'مبلغ فروش'!P11</f>
        <v>1.4829524019040499E-2</v>
      </c>
      <c r="X11" s="2">
        <f>نرخ!K11</f>
        <v>80.300000000000011</v>
      </c>
      <c r="Y11" s="2">
        <f t="shared" si="4"/>
        <v>25.675000000000011</v>
      </c>
      <c r="Z11" s="71">
        <f t="shared" si="9"/>
        <v>0.38074802918886497</v>
      </c>
    </row>
    <row r="12" spans="2:26" ht="18.600000000000001" x14ac:dyDescent="0.3">
      <c r="B12" s="5" t="s">
        <v>10</v>
      </c>
      <c r="C12" s="37">
        <v>0.01</v>
      </c>
      <c r="D12" s="2">
        <v>80.415504907805129</v>
      </c>
      <c r="E12" s="2">
        <f t="shared" si="0"/>
        <v>15.415504907805129</v>
      </c>
      <c r="F12" s="71">
        <f t="shared" si="5"/>
        <v>0.1541550490780513</v>
      </c>
      <c r="G12" s="5" t="s">
        <v>10</v>
      </c>
      <c r="H12" s="37">
        <v>1.4495311965842313E-2</v>
      </c>
      <c r="I12" s="2">
        <v>84.326177487181695</v>
      </c>
      <c r="J12" s="2">
        <f t="shared" si="1"/>
        <v>21.326177487181695</v>
      </c>
      <c r="K12" s="71">
        <f t="shared" si="6"/>
        <v>0.30912959571562176</v>
      </c>
      <c r="L12" s="5" t="s">
        <v>10</v>
      </c>
      <c r="M12" s="37">
        <f>'مبلغ فروش'!J12</f>
        <v>1.3970085328144108E-2</v>
      </c>
      <c r="N12" s="2">
        <f>نرخ!G12</f>
        <v>73.73</v>
      </c>
      <c r="O12" s="2">
        <f t="shared" si="2"/>
        <v>17.521666666666668</v>
      </c>
      <c r="P12" s="71">
        <f t="shared" si="7"/>
        <v>0.2447791784246317</v>
      </c>
      <c r="Q12" s="5" t="s">
        <v>10</v>
      </c>
      <c r="R12" s="37">
        <f>'مبلغ فروش'!M12</f>
        <v>1.4111619637000455E-2</v>
      </c>
      <c r="S12" s="2">
        <f>نرخ!I12</f>
        <v>70.7</v>
      </c>
      <c r="T12" s="2">
        <f t="shared" si="3"/>
        <v>17.025000000000013</v>
      </c>
      <c r="U12" s="71">
        <f t="shared" si="8"/>
        <v>0.24025032431993293</v>
      </c>
      <c r="V12" s="5" t="s">
        <v>10</v>
      </c>
      <c r="W12" s="37">
        <f>'مبلغ فروش'!P12</f>
        <v>1.4418054012790097E-2</v>
      </c>
      <c r="X12" s="2">
        <f>نرخ!K12</f>
        <v>73.73</v>
      </c>
      <c r="Y12" s="2">
        <f t="shared" si="4"/>
        <v>19.105000000000004</v>
      </c>
      <c r="Z12" s="71">
        <f t="shared" si="9"/>
        <v>0.27545692191435484</v>
      </c>
    </row>
    <row r="13" spans="2:26" ht="18.600000000000001" x14ac:dyDescent="0.3">
      <c r="B13" s="5" t="s">
        <v>16</v>
      </c>
      <c r="C13" s="37">
        <v>0.01</v>
      </c>
      <c r="D13" s="2">
        <v>76.329184912378111</v>
      </c>
      <c r="E13" s="2">
        <f t="shared" si="0"/>
        <v>11.329184912378111</v>
      </c>
      <c r="F13" s="71">
        <f t="shared" si="5"/>
        <v>0.11329184912378111</v>
      </c>
      <c r="G13" s="5" t="s">
        <v>16</v>
      </c>
      <c r="H13" s="37">
        <v>1.4377279495479556E-2</v>
      </c>
      <c r="I13" s="2">
        <v>93.259485789050274</v>
      </c>
      <c r="J13" s="2">
        <f t="shared" si="1"/>
        <v>30.259485789050274</v>
      </c>
      <c r="K13" s="71">
        <f t="shared" si="6"/>
        <v>0.43504908457866753</v>
      </c>
      <c r="L13" s="5" t="s">
        <v>16</v>
      </c>
      <c r="M13" s="37">
        <f>'مبلغ فروش'!J13</f>
        <v>1.3645437994946474E-2</v>
      </c>
      <c r="N13" s="2">
        <f>نرخ!G13</f>
        <v>80.300000000000011</v>
      </c>
      <c r="O13" s="2">
        <f t="shared" si="2"/>
        <v>24.091666666666676</v>
      </c>
      <c r="P13" s="71">
        <f t="shared" si="7"/>
        <v>0.32874134369491892</v>
      </c>
      <c r="Q13" s="5" t="s">
        <v>16</v>
      </c>
      <c r="R13" s="37">
        <f>'مبلغ فروش'!M13</f>
        <v>1.3783683223253421E-2</v>
      </c>
      <c r="S13" s="2">
        <f>نرخ!I13</f>
        <v>77</v>
      </c>
      <c r="T13" s="2">
        <f t="shared" si="3"/>
        <v>23.32500000000001</v>
      </c>
      <c r="U13" s="71">
        <f t="shared" si="8"/>
        <v>0.32150441118238615</v>
      </c>
      <c r="V13" s="5" t="s">
        <v>16</v>
      </c>
      <c r="W13" s="37">
        <f>'مبلغ فروش'!P13</f>
        <v>1.4082996446912396E-2</v>
      </c>
      <c r="X13" s="2">
        <f>نرخ!K13</f>
        <v>80.300000000000011</v>
      </c>
      <c r="Y13" s="2">
        <f t="shared" si="4"/>
        <v>25.675000000000011</v>
      </c>
      <c r="Z13" s="71">
        <f t="shared" si="9"/>
        <v>0.36158093377447592</v>
      </c>
    </row>
    <row r="14" spans="2:26" ht="18.600000000000001" x14ac:dyDescent="0.3">
      <c r="B14" s="5" t="s">
        <v>11</v>
      </c>
      <c r="C14" s="37">
        <v>0.01</v>
      </c>
      <c r="D14" s="2">
        <v>54.640971026801019</v>
      </c>
      <c r="E14" s="2">
        <f t="shared" si="0"/>
        <v>-10.359028973198981</v>
      </c>
      <c r="F14" s="71">
        <f t="shared" si="5"/>
        <v>-0.10359028973198982</v>
      </c>
      <c r="G14" s="5" t="s">
        <v>11</v>
      </c>
      <c r="H14" s="37">
        <v>5.5995840269458088E-3</v>
      </c>
      <c r="I14" s="2">
        <v>61.561880486023206</v>
      </c>
      <c r="J14" s="2">
        <f t="shared" si="1"/>
        <v>-1.4381195139767939</v>
      </c>
      <c r="K14" s="71">
        <f t="shared" si="6"/>
        <v>-8.0528710593035253E-3</v>
      </c>
      <c r="L14" s="5" t="s">
        <v>11</v>
      </c>
      <c r="M14" s="37">
        <f>'مبلغ فروش'!J14</f>
        <v>4.4114995317181801E-3</v>
      </c>
      <c r="N14" s="2">
        <f>نرخ!G14</f>
        <v>44</v>
      </c>
      <c r="O14" s="2">
        <f t="shared" si="2"/>
        <v>-12.208333333333336</v>
      </c>
      <c r="P14" s="71">
        <f t="shared" si="7"/>
        <v>-5.3857056783059458E-2</v>
      </c>
      <c r="Q14" s="5" t="s">
        <v>11</v>
      </c>
      <c r="R14" s="37">
        <f>'مبلغ فروش'!M14</f>
        <v>4.6471732204350965E-3</v>
      </c>
      <c r="S14" s="2">
        <f>نرخ!I14</f>
        <v>44</v>
      </c>
      <c r="T14" s="2">
        <f t="shared" si="3"/>
        <v>-9.6749999999999901</v>
      </c>
      <c r="U14" s="71">
        <f t="shared" si="8"/>
        <v>-4.496140090770951E-2</v>
      </c>
      <c r="V14" s="5" t="s">
        <v>11</v>
      </c>
      <c r="W14" s="37">
        <f>'مبلغ فروش'!P14</f>
        <v>4.5529599162556257E-3</v>
      </c>
      <c r="X14" s="2">
        <f>نرخ!K14</f>
        <v>44</v>
      </c>
      <c r="Y14" s="2">
        <f t="shared" si="4"/>
        <v>-10.625</v>
      </c>
      <c r="Z14" s="71">
        <f t="shared" si="9"/>
        <v>-4.8375199110216024E-2</v>
      </c>
    </row>
    <row r="15" spans="2:26" ht="18.600000000000001" x14ac:dyDescent="0.3">
      <c r="B15" s="5" t="s">
        <v>12</v>
      </c>
      <c r="C15" s="37">
        <v>0.01</v>
      </c>
      <c r="D15" s="2">
        <v>89.107166457071003</v>
      </c>
      <c r="E15" s="2">
        <f t="shared" si="0"/>
        <v>24.107166457071003</v>
      </c>
      <c r="F15" s="71">
        <f t="shared" si="5"/>
        <v>0.24107166457071003</v>
      </c>
      <c r="G15" s="5" t="s">
        <v>12</v>
      </c>
      <c r="H15" s="37">
        <v>4.9565765198693558E-3</v>
      </c>
      <c r="I15" s="2">
        <v>82.089845727693998</v>
      </c>
      <c r="J15" s="2">
        <f t="shared" si="1"/>
        <v>19.089845727693998</v>
      </c>
      <c r="K15" s="71">
        <f t="shared" si="6"/>
        <v>9.4620281101816403E-2</v>
      </c>
      <c r="L15" s="5" t="s">
        <v>12</v>
      </c>
      <c r="M15" s="37">
        <f>'مبلغ فروش'!J15</f>
        <v>5.2472126360487356E-3</v>
      </c>
      <c r="N15" s="2">
        <f>نرخ!G15</f>
        <v>78.84</v>
      </c>
      <c r="O15" s="2">
        <f t="shared" si="2"/>
        <v>22.631666666666668</v>
      </c>
      <c r="P15" s="71">
        <f t="shared" si="7"/>
        <v>0.11875316730817631</v>
      </c>
      <c r="Q15" s="5" t="s">
        <v>12</v>
      </c>
      <c r="R15" s="37">
        <f>'مبلغ فروش'!M15</f>
        <v>5.3003734146997638E-3</v>
      </c>
      <c r="S15" s="2">
        <f>نرخ!I15</f>
        <v>75.600000000000009</v>
      </c>
      <c r="T15" s="2">
        <f t="shared" si="3"/>
        <v>21.925000000000018</v>
      </c>
      <c r="U15" s="71">
        <f t="shared" si="8"/>
        <v>0.11621068711729242</v>
      </c>
      <c r="V15" s="5" t="s">
        <v>12</v>
      </c>
      <c r="W15" s="37">
        <f>'مبلغ فروش'!P15</f>
        <v>5.415471231999691E-3</v>
      </c>
      <c r="X15" s="2">
        <f>نرخ!K15</f>
        <v>78.84</v>
      </c>
      <c r="Y15" s="2">
        <f t="shared" si="4"/>
        <v>24.215000000000003</v>
      </c>
      <c r="Z15" s="71">
        <f t="shared" si="9"/>
        <v>0.13113563588287253</v>
      </c>
    </row>
    <row r="16" spans="2:26" ht="18.600000000000001" x14ac:dyDescent="0.3">
      <c r="B16" s="5" t="s">
        <v>17</v>
      </c>
      <c r="C16" s="66">
        <v>4.0000000000000001E-3</v>
      </c>
      <c r="D16" s="2">
        <v>2.5968087017589703</v>
      </c>
      <c r="E16" s="2">
        <f t="shared" si="0"/>
        <v>-62.403191298241026</v>
      </c>
      <c r="F16" s="71">
        <f t="shared" si="5"/>
        <v>-0.2496127651929641</v>
      </c>
      <c r="G16" s="5" t="s">
        <v>17</v>
      </c>
      <c r="H16" s="66">
        <v>2.5374286563986659E-3</v>
      </c>
      <c r="I16" s="2">
        <v>1.7055327912814022</v>
      </c>
      <c r="J16" s="2">
        <f t="shared" si="1"/>
        <v>-61.294467208718601</v>
      </c>
      <c r="K16" s="71">
        <f t="shared" si="6"/>
        <v>-0.15553033757409093</v>
      </c>
      <c r="L16" s="5" t="s">
        <v>17</v>
      </c>
      <c r="M16" s="66">
        <f>'مبلغ فروش'!J16</f>
        <v>2.992859350773635E-3</v>
      </c>
      <c r="N16" s="2">
        <f>نرخ!G16</f>
        <v>1.8250000000000002</v>
      </c>
      <c r="O16" s="2">
        <f t="shared" si="2"/>
        <v>-54.383333333333333</v>
      </c>
      <c r="P16" s="71">
        <f t="shared" si="7"/>
        <v>-0.16276166769290618</v>
      </c>
      <c r="Q16" s="5" t="s">
        <v>17</v>
      </c>
      <c r="R16" s="66">
        <f>'مبلغ فروش'!M16</f>
        <v>3.0231807317649614E-3</v>
      </c>
      <c r="S16" s="2">
        <f>نرخ!I16</f>
        <v>1.75</v>
      </c>
      <c r="T16" s="2">
        <f t="shared" si="3"/>
        <v>-51.92499999999999</v>
      </c>
      <c r="U16" s="71">
        <f t="shared" si="8"/>
        <v>-0.1569786594968956</v>
      </c>
      <c r="V16" s="5" t="s">
        <v>17</v>
      </c>
      <c r="W16" s="66">
        <f>'مبلغ فروش'!P16</f>
        <v>3.0888292203345271E-3</v>
      </c>
      <c r="X16" s="2">
        <f>نرخ!K16</f>
        <v>1.8250000000000002</v>
      </c>
      <c r="Y16" s="2">
        <f t="shared" si="4"/>
        <v>-52.8</v>
      </c>
      <c r="Z16" s="71">
        <f t="shared" si="9"/>
        <v>-0.16309018283366303</v>
      </c>
    </row>
    <row r="17" spans="2:26" ht="18.600000000000001" x14ac:dyDescent="0.3">
      <c r="B17" s="5" t="s">
        <v>13</v>
      </c>
      <c r="C17" s="37">
        <v>1E-3</v>
      </c>
      <c r="D17" s="2">
        <v>77.234050694932151</v>
      </c>
      <c r="E17" s="2">
        <f t="shared" si="0"/>
        <v>12.234050694932151</v>
      </c>
      <c r="F17" s="71">
        <f t="shared" si="5"/>
        <v>1.2234050694932152E-2</v>
      </c>
      <c r="G17" s="5" t="s">
        <v>13</v>
      </c>
      <c r="H17" s="37">
        <v>7.69969022869515E-4</v>
      </c>
      <c r="I17" s="2">
        <v>77.668055591251374</v>
      </c>
      <c r="J17" s="2">
        <f t="shared" si="1"/>
        <v>14.668055591251374</v>
      </c>
      <c r="K17" s="71">
        <f t="shared" si="6"/>
        <v>1.1293948430991546E-2</v>
      </c>
      <c r="L17" s="5" t="s">
        <v>13</v>
      </c>
      <c r="M17" s="37">
        <f>'مبلغ فروش'!J17</f>
        <v>7.8719606127053453E-4</v>
      </c>
      <c r="N17" s="2">
        <f>نرخ!G17</f>
        <v>73</v>
      </c>
      <c r="O17" s="2">
        <f t="shared" si="2"/>
        <v>16.791666666666664</v>
      </c>
      <c r="P17" s="71">
        <f t="shared" si="7"/>
        <v>1.3218333862167723E-2</v>
      </c>
      <c r="Q17" s="5" t="s">
        <v>13</v>
      </c>
      <c r="R17" s="37">
        <f>'مبلغ فروش'!M17</f>
        <v>7.9517133471012497E-4</v>
      </c>
      <c r="S17" s="2">
        <f>نرخ!I17</f>
        <v>70</v>
      </c>
      <c r="T17" s="2">
        <f t="shared" si="3"/>
        <v>16.32500000000001</v>
      </c>
      <c r="U17" s="71">
        <f t="shared" si="8"/>
        <v>1.2981172039142798E-2</v>
      </c>
      <c r="V17" s="5" t="s">
        <v>13</v>
      </c>
      <c r="W17" s="37">
        <f>'مبلغ فروش'!P17</f>
        <v>8.124385115378523E-4</v>
      </c>
      <c r="X17" s="2">
        <f>نرخ!K17</f>
        <v>73</v>
      </c>
      <c r="Y17" s="2">
        <f t="shared" si="4"/>
        <v>18.375</v>
      </c>
      <c r="Z17" s="71">
        <f t="shared" si="9"/>
        <v>1.4928557649508036E-2</v>
      </c>
    </row>
    <row r="18" spans="2:26" ht="18.600000000000001" x14ac:dyDescent="0.3">
      <c r="B18" s="5" t="s">
        <v>14</v>
      </c>
      <c r="C18" s="37">
        <v>4.0000000000000002E-4</v>
      </c>
      <c r="D18" s="2">
        <v>29.319733475967272</v>
      </c>
      <c r="E18" s="2">
        <f t="shared" si="0"/>
        <v>-35.680266524032731</v>
      </c>
      <c r="F18" s="71">
        <f t="shared" si="5"/>
        <v>-1.4272106609613094E-2</v>
      </c>
      <c r="G18" s="5" t="s">
        <v>14</v>
      </c>
      <c r="H18" s="37">
        <v>4.3424219814881126E-4</v>
      </c>
      <c r="I18" s="2">
        <v>22.033328296290733</v>
      </c>
      <c r="J18" s="2">
        <f t="shared" si="1"/>
        <v>-40.966671703709267</v>
      </c>
      <c r="K18" s="71">
        <f t="shared" si="6"/>
        <v>-1.778945757145942E-2</v>
      </c>
      <c r="L18" s="5" t="s">
        <v>14</v>
      </c>
      <c r="M18" s="37">
        <f>'مبلغ فروش'!J18</f>
        <v>5.0747474014471337E-4</v>
      </c>
      <c r="N18" s="2">
        <f>نرخ!G18</f>
        <v>23.36</v>
      </c>
      <c r="O18" s="2">
        <f t="shared" si="2"/>
        <v>-32.848333333333336</v>
      </c>
      <c r="P18" s="71">
        <f t="shared" si="7"/>
        <v>-1.6669699422520261E-2</v>
      </c>
      <c r="Q18" s="5" t="s">
        <v>14</v>
      </c>
      <c r="R18" s="37">
        <f>'مبلغ فروش'!M18</f>
        <v>5.1261608931483886E-4</v>
      </c>
      <c r="S18" s="2">
        <f>نرخ!I18</f>
        <v>22.400000000000002</v>
      </c>
      <c r="T18" s="2">
        <f t="shared" si="3"/>
        <v>-31.274999999999988</v>
      </c>
      <c r="U18" s="71">
        <f t="shared" si="8"/>
        <v>-1.6032068193321581E-2</v>
      </c>
      <c r="V18" s="5" t="s">
        <v>14</v>
      </c>
      <c r="W18" s="37">
        <f>'مبلغ فروش'!P18</f>
        <v>5.2374756786865778E-4</v>
      </c>
      <c r="X18" s="2">
        <f>نرخ!K18</f>
        <v>23.36</v>
      </c>
      <c r="Y18" s="2">
        <f t="shared" si="4"/>
        <v>-31.265000000000001</v>
      </c>
      <c r="Z18" s="71">
        <f t="shared" si="9"/>
        <v>-1.6374967709413584E-2</v>
      </c>
    </row>
    <row r="19" spans="2:26" ht="18.600000000000001" x14ac:dyDescent="0.3">
      <c r="B19" s="5" t="s">
        <v>15</v>
      </c>
      <c r="C19" s="37">
        <v>1E-4</v>
      </c>
      <c r="D19" s="2">
        <v>25.323595453134953</v>
      </c>
      <c r="E19" s="2">
        <f t="shared" si="0"/>
        <v>-39.676404546865044</v>
      </c>
      <c r="F19" s="71">
        <f t="shared" si="5"/>
        <v>-3.9676404546865043E-3</v>
      </c>
      <c r="G19" s="5" t="s">
        <v>15</v>
      </c>
      <c r="H19" s="37">
        <v>1.7360917384287179E-4</v>
      </c>
      <c r="I19" s="2">
        <v>26.572831662411776</v>
      </c>
      <c r="J19" s="2">
        <f t="shared" si="1"/>
        <v>-36.427168337588228</v>
      </c>
      <c r="K19" s="71">
        <f t="shared" si="6"/>
        <v>-6.3240906005239093E-3</v>
      </c>
      <c r="L19" s="5" t="s">
        <v>15</v>
      </c>
      <c r="M19" s="37">
        <f>'مبلغ فروش'!J19</f>
        <v>1.6822763705834652E-4</v>
      </c>
      <c r="N19" s="2">
        <f>نرخ!G19</f>
        <v>23.36</v>
      </c>
      <c r="O19" s="2">
        <f t="shared" si="2"/>
        <v>-32.848333333333336</v>
      </c>
      <c r="P19" s="71">
        <f t="shared" si="7"/>
        <v>-5.5259974979715862E-3</v>
      </c>
      <c r="Q19" s="5" t="s">
        <v>15</v>
      </c>
      <c r="R19" s="37">
        <f>'مبلغ فروش'!M19</f>
        <v>1.6993199188384081E-4</v>
      </c>
      <c r="S19" s="2">
        <f>نرخ!I19</f>
        <v>22.400000000000002</v>
      </c>
      <c r="T19" s="2">
        <f t="shared" si="3"/>
        <v>-31.274999999999988</v>
      </c>
      <c r="U19" s="71">
        <f t="shared" si="8"/>
        <v>-5.3146230461671188E-3</v>
      </c>
      <c r="V19" s="5" t="s">
        <v>15</v>
      </c>
      <c r="W19" s="37">
        <f>'مبلغ فروش'!P19</f>
        <v>1.7362207177538496E-4</v>
      </c>
      <c r="X19" s="2">
        <f>نرخ!K19</f>
        <v>23.36</v>
      </c>
      <c r="Y19" s="2">
        <f t="shared" si="4"/>
        <v>-31.265000000000001</v>
      </c>
      <c r="Z19" s="71">
        <f t="shared" si="9"/>
        <v>-5.4282940740574114E-3</v>
      </c>
    </row>
    <row r="20" spans="2:26" ht="19.2" thickBot="1" x14ac:dyDescent="0.7">
      <c r="B20" s="6" t="s">
        <v>43</v>
      </c>
      <c r="C20" s="35"/>
      <c r="D20" s="4">
        <v>65</v>
      </c>
      <c r="E20" s="38"/>
      <c r="F20" s="72">
        <f>SUM(F3:F19)</f>
        <v>7.8279920901370303</v>
      </c>
      <c r="G20" s="6" t="s">
        <v>43</v>
      </c>
      <c r="H20" s="35"/>
      <c r="I20" s="4">
        <v>63</v>
      </c>
      <c r="J20" s="38"/>
      <c r="K20" s="72">
        <f>SUM(K3:K19)</f>
        <v>7.8677227002009777</v>
      </c>
      <c r="L20" s="6" t="s">
        <v>43</v>
      </c>
      <c r="M20" s="35"/>
      <c r="N20" s="4">
        <f>نرخ!D63</f>
        <v>56.208333333333336</v>
      </c>
      <c r="O20" s="38"/>
      <c r="P20" s="72">
        <f>SUM(P3:P19)</f>
        <v>9.0459808400640274</v>
      </c>
      <c r="Q20" s="6" t="s">
        <v>43</v>
      </c>
      <c r="R20" s="35"/>
      <c r="S20" s="4">
        <f>نرخ!D66</f>
        <v>53.67499999999999</v>
      </c>
      <c r="T20" s="38"/>
      <c r="U20" s="72">
        <f>SUM(U3:U19)</f>
        <v>8.3824419877167475</v>
      </c>
      <c r="V20" s="6" t="s">
        <v>43</v>
      </c>
      <c r="W20" s="35"/>
      <c r="X20" s="4">
        <f>نرخ!D69</f>
        <v>54.625</v>
      </c>
      <c r="Y20" s="38"/>
      <c r="Z20" s="72">
        <f>SUM(Z3:Z19)</f>
        <v>9.0854247742365608</v>
      </c>
    </row>
    <row r="21" spans="2:26" ht="18.600000000000001" x14ac:dyDescent="0.3">
      <c r="B21" s="189" t="s">
        <v>50</v>
      </c>
      <c r="C21" s="189"/>
      <c r="D21" s="189"/>
      <c r="E21" s="190"/>
      <c r="F21" s="85">
        <f>F20/D20</f>
        <v>0.1204306475405697</v>
      </c>
      <c r="G21" s="188" t="s">
        <v>50</v>
      </c>
      <c r="H21" s="189"/>
      <c r="I21" s="189"/>
      <c r="J21" s="190"/>
      <c r="K21" s="85">
        <f>K20/I20</f>
        <v>0.12488448730477743</v>
      </c>
      <c r="L21" s="188" t="s">
        <v>50</v>
      </c>
      <c r="M21" s="189"/>
      <c r="N21" s="189"/>
      <c r="O21" s="190"/>
      <c r="P21" s="85">
        <f>P20/N20</f>
        <v>0.16093664948964911</v>
      </c>
      <c r="Q21" s="188" t="s">
        <v>50</v>
      </c>
      <c r="R21" s="189"/>
      <c r="S21" s="189"/>
      <c r="T21" s="190"/>
      <c r="U21" s="85">
        <f>U20/S20</f>
        <v>0.15617032114982299</v>
      </c>
      <c r="V21" s="188" t="s">
        <v>50</v>
      </c>
      <c r="W21" s="189"/>
      <c r="X21" s="189"/>
      <c r="Y21" s="190"/>
      <c r="Z21" s="85">
        <f>Z20/X20</f>
        <v>0.1663235656610812</v>
      </c>
    </row>
  </sheetData>
  <mergeCells count="10">
    <mergeCell ref="R1:U1"/>
    <mergeCell ref="Q21:T21"/>
    <mergeCell ref="W1:Z1"/>
    <mergeCell ref="V21:Y21"/>
    <mergeCell ref="C1:F1"/>
    <mergeCell ref="H1:K1"/>
    <mergeCell ref="B21:E21"/>
    <mergeCell ref="G21:J21"/>
    <mergeCell ref="M1:P1"/>
    <mergeCell ref="L21:O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5"/>
  <sheetViews>
    <sheetView rightToLeft="1" workbookViewId="0">
      <selection activeCell="H28" sqref="H28"/>
    </sheetView>
  </sheetViews>
  <sheetFormatPr defaultColWidth="9.109375" defaultRowHeight="14.4" x14ac:dyDescent="0.3"/>
  <cols>
    <col min="1" max="1" width="31.109375" style="1" customWidth="1"/>
    <col min="2" max="2" width="15.33203125" style="1" customWidth="1"/>
    <col min="3" max="3" width="15.44140625" style="1" bestFit="1" customWidth="1"/>
    <col min="4" max="4" width="9.33203125" style="1" bestFit="1" customWidth="1"/>
    <col min="5" max="5" width="14.44140625" style="1" customWidth="1"/>
    <col min="6" max="6" width="18.44140625" style="1" bestFit="1" customWidth="1"/>
    <col min="7" max="7" width="18" style="1" bestFit="1" customWidth="1"/>
    <col min="8" max="8" width="13.88671875" style="1" bestFit="1" customWidth="1"/>
    <col min="9" max="9" width="15.44140625" style="1" bestFit="1" customWidth="1"/>
    <col min="10" max="10" width="9.109375" style="1"/>
    <col min="11" max="11" width="13.88671875" style="1" bestFit="1" customWidth="1"/>
    <col min="12" max="12" width="15.44140625" style="1" bestFit="1" customWidth="1"/>
    <col min="13" max="13" width="9.109375" style="1"/>
    <col min="14" max="14" width="13.88671875" style="1" bestFit="1" customWidth="1"/>
    <col min="15" max="15" width="15.44140625" style="1" bestFit="1" customWidth="1"/>
    <col min="16" max="16384" width="9.109375" style="1"/>
  </cols>
  <sheetData>
    <row r="1" spans="1:16" ht="19.2" thickBot="1" x14ac:dyDescent="0.65">
      <c r="A1" s="49"/>
      <c r="B1" s="191" t="s">
        <v>18</v>
      </c>
      <c r="C1" s="191"/>
      <c r="D1" s="62">
        <f>'مبلغ فروش'!D1</f>
        <v>61229</v>
      </c>
      <c r="E1" s="191" t="s">
        <v>32</v>
      </c>
      <c r="F1" s="191"/>
      <c r="G1" s="61">
        <f>'مبلغ فروش'!G1</f>
        <v>93226</v>
      </c>
      <c r="H1" s="191" t="s">
        <v>64</v>
      </c>
      <c r="I1" s="191"/>
      <c r="J1" s="61">
        <f>'مقدار فروش'!J1</f>
        <v>110000</v>
      </c>
      <c r="K1" s="191" t="s">
        <v>75</v>
      </c>
      <c r="L1" s="191"/>
      <c r="M1" s="61">
        <f>'مبلغ فروش'!M1</f>
        <v>115000</v>
      </c>
      <c r="N1" s="191" t="s">
        <v>66</v>
      </c>
      <c r="O1" s="191"/>
      <c r="P1" s="61">
        <f>'مبلغ فروش'!P1</f>
        <v>120000</v>
      </c>
    </row>
    <row r="2" spans="1:16" ht="20.399999999999999" x14ac:dyDescent="0.65">
      <c r="A2" s="43"/>
      <c r="B2" s="44" t="s">
        <v>39</v>
      </c>
      <c r="C2" s="45" t="s">
        <v>40</v>
      </c>
      <c r="D2" s="46" t="s">
        <v>46</v>
      </c>
      <c r="E2" s="44" t="s">
        <v>39</v>
      </c>
      <c r="F2" s="45" t="s">
        <v>40</v>
      </c>
      <c r="G2" s="46" t="s">
        <v>46</v>
      </c>
      <c r="H2" s="44" t="s">
        <v>39</v>
      </c>
      <c r="I2" s="45" t="s">
        <v>40</v>
      </c>
      <c r="J2" s="46" t="s">
        <v>46</v>
      </c>
      <c r="K2" s="44" t="s">
        <v>39</v>
      </c>
      <c r="L2" s="45" t="s">
        <v>40</v>
      </c>
      <c r="M2" s="46" t="s">
        <v>46</v>
      </c>
      <c r="N2" s="44" t="s">
        <v>39</v>
      </c>
      <c r="O2" s="45" t="s">
        <v>40</v>
      </c>
      <c r="P2" s="46" t="s">
        <v>46</v>
      </c>
    </row>
    <row r="3" spans="1:16" ht="20.399999999999999" x14ac:dyDescent="0.65">
      <c r="A3" s="42" t="s">
        <v>34</v>
      </c>
      <c r="B3" s="74">
        <v>487196784</v>
      </c>
      <c r="C3" s="74">
        <f>(B3*1000000)/نرخ!C1</f>
        <v>7956961309.1835566</v>
      </c>
      <c r="D3" s="75">
        <f>C3/'مقدار فروش'!C20</f>
        <v>64.849951276103127</v>
      </c>
      <c r="E3" s="74">
        <v>189269943</v>
      </c>
      <c r="F3" s="74">
        <f>(E3*1000000)/G1</f>
        <v>2030227007.4871817</v>
      </c>
      <c r="G3" s="75">
        <f>F3/'مقدار فروش'!F20</f>
        <v>62.809670675823945</v>
      </c>
      <c r="H3" s="74">
        <f>'مبلغ فروش'!I20</f>
        <v>202603822.17893079</v>
      </c>
      <c r="I3" s="74">
        <f>(H3*1000000)/J1</f>
        <v>1841852928.8993707</v>
      </c>
      <c r="J3" s="75">
        <f>I3/'مقدار فروش'!I20</f>
        <v>56.981891912006624</v>
      </c>
      <c r="K3" s="74">
        <f>'مبلغ فروش'!L20</f>
        <v>201071337.13553458</v>
      </c>
      <c r="L3" s="74">
        <f>(K3*1000000)/M1</f>
        <v>1748446409.8742139</v>
      </c>
      <c r="M3" s="75">
        <f>L3/'مقدار فروش'!L20</f>
        <v>54.092149692388254</v>
      </c>
      <c r="N3" s="74">
        <f>'مبلغ فروش'!O20</f>
        <v>214155190.89433959</v>
      </c>
      <c r="O3" s="74">
        <f>(N3*1000000)/P1</f>
        <v>1784626590.7861633</v>
      </c>
      <c r="P3" s="75">
        <f>O3/'مقدار فروش'!O20</f>
        <v>55.211465532287313</v>
      </c>
    </row>
    <row r="4" spans="1:16" ht="20.399999999999999" x14ac:dyDescent="0.65">
      <c r="A4" s="42" t="s">
        <v>35</v>
      </c>
      <c r="B4" s="74">
        <v>-431688956</v>
      </c>
      <c r="C4" s="74">
        <f>(B4*1000000)/نرخ!C1</f>
        <v>-7050400235.1826744</v>
      </c>
      <c r="D4" s="75">
        <f>C4/'مقدار فروش'!C20</f>
        <v>-57.461396877841104</v>
      </c>
      <c r="E4" s="74">
        <v>-165849824</v>
      </c>
      <c r="F4" s="74">
        <f>(E4*1000000)/G1</f>
        <v>-1779008259.4984231</v>
      </c>
      <c r="G4" s="75">
        <f>F4/'مقدار فروش'!F20</f>
        <v>-55.037649729113951</v>
      </c>
      <c r="H4" s="74">
        <f>(I4*J1)/1000000</f>
        <v>-175219109.47421381</v>
      </c>
      <c r="I4" s="74">
        <f>J4*'مقدار فروش'!I20</f>
        <v>-1592900995.2201257</v>
      </c>
      <c r="J4" s="75">
        <f>-56*0.88</f>
        <v>-49.28</v>
      </c>
      <c r="K4" s="74">
        <f>(L4*M1)/1000000</f>
        <v>-175578223.31465405</v>
      </c>
      <c r="L4" s="74">
        <f>M4*'مقدار فروش'!L20</f>
        <v>-1526767159.2578614</v>
      </c>
      <c r="M4" s="75">
        <f>-0.88*نرخ!D66</f>
        <v>-47.233999999999995</v>
      </c>
      <c r="N4" s="74">
        <f>(O4*P1)/1000000</f>
        <v>-186454750.42264155</v>
      </c>
      <c r="O4" s="74">
        <f>P4*'مقدار فروش'!O20</f>
        <v>-1553789586.855346</v>
      </c>
      <c r="P4" s="75">
        <f>-0.88*نرخ!D69</f>
        <v>-48.07</v>
      </c>
    </row>
    <row r="5" spans="1:16" ht="20.399999999999999" x14ac:dyDescent="0.65">
      <c r="A5" s="42" t="s">
        <v>36</v>
      </c>
      <c r="B5" s="74">
        <v>55507828</v>
      </c>
      <c r="C5" s="74">
        <f>SUM(C3:C4)</f>
        <v>906561074.00088215</v>
      </c>
      <c r="D5" s="84">
        <f>D3+D4</f>
        <v>7.3885543982620234</v>
      </c>
      <c r="E5" s="74">
        <f>E3+E4</f>
        <v>23420119</v>
      </c>
      <c r="F5" s="74">
        <f>SUM(F3:F4)</f>
        <v>251218747.98875856</v>
      </c>
      <c r="G5" s="84">
        <f>G3+G4</f>
        <v>7.7720209467099934</v>
      </c>
      <c r="H5" s="74">
        <f>H3+H4</f>
        <v>27384712.70471698</v>
      </c>
      <c r="I5" s="74">
        <f>I3+I4</f>
        <v>248951933.679245</v>
      </c>
      <c r="J5" s="84">
        <f>J3+J4</f>
        <v>7.7018919120066229</v>
      </c>
      <c r="K5" s="74">
        <f>SUM(K3:K4)</f>
        <v>25493113.820880532</v>
      </c>
      <c r="L5" s="74">
        <f>SUM(L3:L4)</f>
        <v>221679250.61635256</v>
      </c>
      <c r="M5" s="84">
        <f>M3+M4</f>
        <v>6.8581496923882597</v>
      </c>
      <c r="N5" s="74">
        <f>SUM(N3:N4)</f>
        <v>27700440.471698046</v>
      </c>
      <c r="O5" s="74">
        <f>SUM(O3:O4)</f>
        <v>230837003.93081737</v>
      </c>
      <c r="P5" s="84">
        <f>P3+P4</f>
        <v>7.1414655322873131</v>
      </c>
    </row>
    <row r="6" spans="1:16" ht="21" x14ac:dyDescent="0.75">
      <c r="A6" s="39" t="s">
        <v>37</v>
      </c>
      <c r="B6" s="76">
        <v>59696449</v>
      </c>
      <c r="C6" s="76">
        <f>(B6*1000000)/D1</f>
        <v>974970177.53025532</v>
      </c>
      <c r="D6" s="77">
        <f>C6/'مقدار فروش'!C20</f>
        <v>7.9460947529702413</v>
      </c>
      <c r="E6" s="76">
        <v>21540202</v>
      </c>
      <c r="F6" s="76">
        <f>(E6*1000000)/G1</f>
        <v>231053590.20015875</v>
      </c>
      <c r="G6" s="77">
        <f>F6/'مقدار فروش'!F20</f>
        <v>7.1481661190690184</v>
      </c>
      <c r="H6" s="76">
        <f>H5-1900000</f>
        <v>25484712.70471698</v>
      </c>
      <c r="I6" s="76">
        <f>(H6*1000000)/J1</f>
        <v>231679206.40651801</v>
      </c>
      <c r="J6" s="77">
        <f>I6/'مقدار فروش'!I20</f>
        <v>7.1675209733518006</v>
      </c>
      <c r="K6" s="76">
        <f>K5-1900000</f>
        <v>23593113.820880532</v>
      </c>
      <c r="L6" s="76">
        <f>(K6*1000000)/M1</f>
        <v>205157511.48591766</v>
      </c>
      <c r="M6" s="77">
        <f>L6/'مقدار فروش'!L20</f>
        <v>6.3470122728053679</v>
      </c>
      <c r="N6" s="76">
        <f>N5-1900000</f>
        <v>25800440.471698046</v>
      </c>
      <c r="O6" s="76">
        <f>(N6*1000000)/P1</f>
        <v>215003670.59748372</v>
      </c>
      <c r="P6" s="77">
        <f>O6/'مقدار فروش'!O20</f>
        <v>6.6516255051870337</v>
      </c>
    </row>
    <row r="7" spans="1:16" ht="21" x14ac:dyDescent="0.75">
      <c r="A7" s="39" t="s">
        <v>33</v>
      </c>
      <c r="B7" s="76">
        <v>50774555</v>
      </c>
      <c r="C7" s="76">
        <f>(B7*1000000)/نرخ!C1</f>
        <v>829256643.09395874</v>
      </c>
      <c r="D7" s="77">
        <f>C7/'مقدار فروش'!C20</f>
        <v>6.7585163243109969</v>
      </c>
      <c r="E7" s="76">
        <v>17444011</v>
      </c>
      <c r="F7" s="76">
        <f>(E7*1000000)/G1</f>
        <v>187115300.45266342</v>
      </c>
      <c r="G7" s="77">
        <f>F7/'مقدار فروش'!F20</f>
        <v>5.7888356112383379</v>
      </c>
      <c r="H7" s="76">
        <f>H6*0.86</f>
        <v>21916852.926056601</v>
      </c>
      <c r="I7" s="76">
        <f>(H7*1000000)/J1</f>
        <v>199244117.50960547</v>
      </c>
      <c r="J7" s="77">
        <f>I7/'مقدار فروش'!I20</f>
        <v>6.164068037082548</v>
      </c>
      <c r="K7" s="76">
        <f>0.83*K6</f>
        <v>19582284.47133084</v>
      </c>
      <c r="L7" s="76">
        <f>(K7*1000000)/M1</f>
        <v>170280734.53331167</v>
      </c>
      <c r="M7" s="77">
        <f>L7/'مقدار فروش'!L20</f>
        <v>5.2680201864284557</v>
      </c>
      <c r="N7" s="76">
        <f>N6*0.85</f>
        <v>21930374.400943339</v>
      </c>
      <c r="O7" s="76">
        <f>(N7*1000000)/P1</f>
        <v>182753120.00786117</v>
      </c>
      <c r="P7" s="77">
        <f>O7/'مقدار فروش'!O20</f>
        <v>5.653881679408979</v>
      </c>
    </row>
    <row r="8" spans="1:16" ht="21" x14ac:dyDescent="0.75">
      <c r="A8" s="40" t="s">
        <v>48</v>
      </c>
      <c r="B8" s="197">
        <f>B7*1000/B9</f>
        <v>2.5387277500000001</v>
      </c>
      <c r="C8" s="78">
        <f>C7/20000000000</f>
        <v>4.146283215469794E-2</v>
      </c>
      <c r="D8" s="79" t="s">
        <v>1</v>
      </c>
      <c r="E8" s="76">
        <v>872</v>
      </c>
      <c r="F8" s="78">
        <f>F7/20000000000</f>
        <v>9.3557650226331716E-3</v>
      </c>
      <c r="G8" s="79" t="s">
        <v>1</v>
      </c>
      <c r="H8" s="76">
        <f>H7/20000</f>
        <v>1095.84264630283</v>
      </c>
      <c r="I8" s="78">
        <f>I7/20000000000</f>
        <v>9.9622058754802734E-3</v>
      </c>
      <c r="J8" s="79" t="s">
        <v>1</v>
      </c>
      <c r="K8" s="76">
        <f>K7/20000</f>
        <v>979.11422356654202</v>
      </c>
      <c r="L8" s="78">
        <f>L7/L9</f>
        <v>8.5140367266655827E-3</v>
      </c>
      <c r="M8" s="79" t="s">
        <v>1</v>
      </c>
      <c r="N8" s="76">
        <f>N7/20000</f>
        <v>1096.5187200471669</v>
      </c>
      <c r="O8" s="78">
        <f>O7/O9</f>
        <v>9.1376560003930581E-3</v>
      </c>
      <c r="P8" s="79" t="s">
        <v>1</v>
      </c>
    </row>
    <row r="9" spans="1:16" ht="21.6" thickBot="1" x14ac:dyDescent="0.8">
      <c r="A9" s="41" t="s">
        <v>38</v>
      </c>
      <c r="B9" s="80">
        <v>20000000000</v>
      </c>
      <c r="C9" s="80">
        <v>20000000000</v>
      </c>
      <c r="D9" s="81"/>
      <c r="E9" s="80">
        <v>20000000000</v>
      </c>
      <c r="F9" s="80">
        <v>20000000000</v>
      </c>
      <c r="G9" s="81"/>
      <c r="H9" s="80">
        <v>20000000000</v>
      </c>
      <c r="I9" s="80">
        <v>20000000000</v>
      </c>
      <c r="J9" s="81"/>
      <c r="K9" s="80">
        <v>20000000000</v>
      </c>
      <c r="L9" s="80">
        <v>20000000000</v>
      </c>
      <c r="M9" s="81"/>
      <c r="N9" s="80">
        <v>20000000000</v>
      </c>
      <c r="O9" s="80">
        <v>20000000000</v>
      </c>
      <c r="P9" s="81"/>
    </row>
    <row r="11" spans="1:16" ht="18.600000000000001" x14ac:dyDescent="0.6">
      <c r="A11" s="47" t="s">
        <v>42</v>
      </c>
      <c r="B11" s="82">
        <f>B5/B3</f>
        <v>0.11393307555166456</v>
      </c>
      <c r="C11" s="82">
        <f t="shared" ref="C11:F11" si="0">C5/C3</f>
        <v>0.1139330755516646</v>
      </c>
      <c r="D11" s="82">
        <f>D5/D3</f>
        <v>0.11393307555166457</v>
      </c>
      <c r="E11" s="82">
        <f t="shared" si="0"/>
        <v>0.12373924051955783</v>
      </c>
      <c r="F11" s="48">
        <f t="shared" si="0"/>
        <v>0.12373924051955786</v>
      </c>
      <c r="G11" s="82">
        <f>G5/G3</f>
        <v>0.12373924051955776</v>
      </c>
      <c r="H11" s="82">
        <f t="shared" ref="H11:P11" si="1">H5/H3</f>
        <v>0.13516385036671227</v>
      </c>
      <c r="I11" s="82">
        <f t="shared" si="1"/>
        <v>0.13516385036671211</v>
      </c>
      <c r="J11" s="82">
        <f t="shared" si="1"/>
        <v>0.13516385036671205</v>
      </c>
      <c r="K11" s="82">
        <f t="shared" si="1"/>
        <v>0.12678641413567857</v>
      </c>
      <c r="L11" s="82">
        <f t="shared" si="1"/>
        <v>0.12678641413567862</v>
      </c>
      <c r="M11" s="82">
        <f t="shared" si="1"/>
        <v>0.12678641413567865</v>
      </c>
      <c r="N11" s="82">
        <f t="shared" si="1"/>
        <v>0.12934750895375194</v>
      </c>
      <c r="O11" s="82">
        <f t="shared" si="1"/>
        <v>0.1293475089537521</v>
      </c>
      <c r="P11" s="82">
        <f t="shared" si="1"/>
        <v>0.12934750895375219</v>
      </c>
    </row>
    <row r="12" spans="1:16" ht="20.399999999999999" x14ac:dyDescent="0.3">
      <c r="P12" s="90">
        <f>N8+K8+H8+E8</f>
        <v>4043.4755899165389</v>
      </c>
    </row>
    <row r="13" spans="1:16" ht="20.399999999999999" x14ac:dyDescent="0.3">
      <c r="A13" s="74" t="s">
        <v>47</v>
      </c>
      <c r="B13" s="74">
        <v>446461090</v>
      </c>
      <c r="C13" s="74">
        <f>B13*1000000/D1</f>
        <v>7291660650.9987097</v>
      </c>
      <c r="D13" s="74">
        <f>C13/'مقدار فروش'!C20</f>
        <v>59.427690994725239</v>
      </c>
      <c r="E13" s="74">
        <v>184378345</v>
      </c>
      <c r="F13" s="74">
        <f>(E13*1000000)/G1</f>
        <v>1977756688.0483985</v>
      </c>
      <c r="G13" s="83">
        <f>F13/'مقدار فروش'!F20</f>
        <v>61.186382505559536</v>
      </c>
    </row>
    <row r="14" spans="1:16" ht="20.399999999999999" x14ac:dyDescent="0.3">
      <c r="A14" s="74" t="s">
        <v>60</v>
      </c>
      <c r="E14" s="74">
        <v>41136749</v>
      </c>
      <c r="F14" s="74">
        <f>(E14*1000000)/G1</f>
        <v>441258329.22146183</v>
      </c>
      <c r="G14" s="83">
        <f>F14/7620761</f>
        <v>57.902134605909019</v>
      </c>
    </row>
    <row r="16" spans="1:16" x14ac:dyDescent="0.3">
      <c r="G16" s="164" t="s">
        <v>166</v>
      </c>
      <c r="H16" s="164" t="s">
        <v>46</v>
      </c>
      <c r="I16" s="164">
        <v>115165006</v>
      </c>
    </row>
    <row r="17" spans="1:12" ht="18.600000000000001" x14ac:dyDescent="0.6">
      <c r="A17" s="87" t="s">
        <v>61</v>
      </c>
      <c r="B17" s="88"/>
      <c r="C17" s="88"/>
      <c r="D17" s="86"/>
      <c r="E17" s="86"/>
      <c r="G17" s="165" t="s">
        <v>167</v>
      </c>
      <c r="H17" s="165" t="s">
        <v>168</v>
      </c>
      <c r="I17" s="165">
        <v>50</v>
      </c>
    </row>
    <row r="18" spans="1:12" ht="18.600000000000001" x14ac:dyDescent="0.6">
      <c r="A18" s="89" t="s">
        <v>62</v>
      </c>
      <c r="B18" s="88"/>
      <c r="C18" s="88"/>
      <c r="D18" s="86"/>
      <c r="E18" s="86"/>
      <c r="G18" s="164" t="s">
        <v>169</v>
      </c>
      <c r="H18" s="164" t="s">
        <v>91</v>
      </c>
      <c r="I18" s="164">
        <v>115000</v>
      </c>
      <c r="L18" s="196" t="s">
        <v>180</v>
      </c>
    </row>
    <row r="19" spans="1:12" ht="18.600000000000001" x14ac:dyDescent="0.6">
      <c r="A19" s="89" t="s">
        <v>63</v>
      </c>
      <c r="B19" s="88"/>
      <c r="C19" s="88"/>
      <c r="D19" s="86"/>
      <c r="E19" s="86"/>
      <c r="G19" s="165" t="s">
        <v>170</v>
      </c>
      <c r="H19" s="165" t="s">
        <v>100</v>
      </c>
      <c r="I19" s="167">
        <v>-0.2</v>
      </c>
      <c r="K19" s="166">
        <f>$I$20/L19</f>
        <v>3785.7142857142858</v>
      </c>
      <c r="L19" s="1">
        <v>3.5</v>
      </c>
    </row>
    <row r="20" spans="1:12" x14ac:dyDescent="0.3">
      <c r="G20" s="164" t="s">
        <v>181</v>
      </c>
      <c r="H20" s="164" t="s">
        <v>91</v>
      </c>
      <c r="I20" s="164">
        <v>13250</v>
      </c>
      <c r="K20" s="166">
        <f t="shared" ref="K20:K21" si="2">$I$20/L20</f>
        <v>2650</v>
      </c>
      <c r="L20" s="1">
        <v>5</v>
      </c>
    </row>
    <row r="21" spans="1:12" ht="15" thickBot="1" x14ac:dyDescent="0.35">
      <c r="G21" s="172" t="s">
        <v>171</v>
      </c>
      <c r="H21" s="195" t="s">
        <v>91</v>
      </c>
      <c r="I21" s="198">
        <f>B8</f>
        <v>2.5387277500000001</v>
      </c>
      <c r="K21" s="166">
        <f t="shared" si="2"/>
        <v>1892.8571428571429</v>
      </c>
      <c r="L21" s="1">
        <v>7</v>
      </c>
    </row>
    <row r="22" spans="1:12" ht="15" thickBot="1" x14ac:dyDescent="0.35"/>
    <row r="23" spans="1:12" ht="18.600000000000001" x14ac:dyDescent="0.6">
      <c r="A23" s="70"/>
      <c r="B23" s="175" t="s">
        <v>179</v>
      </c>
      <c r="C23" s="176"/>
      <c r="D23" s="176"/>
      <c r="E23" s="176"/>
      <c r="F23" s="176"/>
      <c r="G23" s="177"/>
    </row>
    <row r="24" spans="1:12" ht="18.600000000000001" x14ac:dyDescent="0.3">
      <c r="A24" s="67"/>
      <c r="B24" s="68" t="s">
        <v>175</v>
      </c>
      <c r="C24" s="68" t="s">
        <v>177</v>
      </c>
      <c r="D24" s="68" t="s">
        <v>41</v>
      </c>
      <c r="E24" s="69" t="s">
        <v>45</v>
      </c>
      <c r="F24" s="69" t="s">
        <v>172</v>
      </c>
      <c r="G24" s="69" t="s">
        <v>45</v>
      </c>
    </row>
    <row r="25" spans="1:12" ht="18.600000000000001" x14ac:dyDescent="0.3">
      <c r="A25" s="67" t="s">
        <v>173</v>
      </c>
      <c r="B25" s="68" t="s">
        <v>176</v>
      </c>
      <c r="C25" s="68"/>
      <c r="D25" s="68"/>
      <c r="E25" s="69"/>
      <c r="F25" s="69"/>
      <c r="G25" s="69" t="s">
        <v>178</v>
      </c>
    </row>
    <row r="26" spans="1:12" ht="18.600000000000001" x14ac:dyDescent="0.3">
      <c r="A26" s="21" t="s">
        <v>0</v>
      </c>
      <c r="B26" s="36">
        <v>0.4</v>
      </c>
      <c r="C26" s="22">
        <v>76.401743048505779</v>
      </c>
      <c r="D26" s="22">
        <f t="shared" ref="D26:D32" si="3">C26-$C$44</f>
        <v>16.401743048505779</v>
      </c>
      <c r="E26" s="34">
        <f t="shared" ref="E26:E32" si="4">B26*D26</f>
        <v>6.5606972194023117</v>
      </c>
      <c r="F26" s="34">
        <f>(D26+ABS($I$19*$I$17)/52)</f>
        <v>16.594050740813472</v>
      </c>
      <c r="G26" s="173">
        <v>6.5424548392101798</v>
      </c>
    </row>
    <row r="27" spans="1:12" ht="18.600000000000001" x14ac:dyDescent="0.3">
      <c r="A27" s="21" t="s">
        <v>2</v>
      </c>
      <c r="B27" s="36">
        <v>0.19</v>
      </c>
      <c r="C27" s="22">
        <v>74.548603335657432</v>
      </c>
      <c r="D27" s="22">
        <f t="shared" si="3"/>
        <v>14.548603335657432</v>
      </c>
      <c r="E27" s="34">
        <f t="shared" si="4"/>
        <v>2.7642346337749122</v>
      </c>
      <c r="F27" s="34">
        <f>(D27+ABS($I$19*$I$17)/52)</f>
        <v>14.740911027965124</v>
      </c>
      <c r="G27" s="173">
        <v>1.8203102709500427</v>
      </c>
    </row>
    <row r="28" spans="1:12" ht="18.600000000000001" x14ac:dyDescent="0.3">
      <c r="A28" s="21" t="s">
        <v>3</v>
      </c>
      <c r="B28" s="36">
        <v>0.18</v>
      </c>
      <c r="C28" s="22">
        <v>59.73301401819235</v>
      </c>
      <c r="D28" s="22">
        <f t="shared" si="3"/>
        <v>-0.26698598180765032</v>
      </c>
      <c r="E28" s="34">
        <f t="shared" si="4"/>
        <v>-4.8057476725377059E-2</v>
      </c>
      <c r="F28" s="34">
        <f>(D28+ABS($I$19*$I$17)/52)</f>
        <v>-7.4678289499958E-2</v>
      </c>
      <c r="G28" s="173">
        <v>-0.45671695193454054</v>
      </c>
    </row>
    <row r="29" spans="1:12" ht="18.600000000000001" x14ac:dyDescent="0.3">
      <c r="A29" s="21" t="s">
        <v>4</v>
      </c>
      <c r="B29" s="36">
        <v>0.08</v>
      </c>
      <c r="C29" s="22">
        <v>47.348026076738257</v>
      </c>
      <c r="D29" s="22">
        <f t="shared" si="3"/>
        <v>-12.651973923261743</v>
      </c>
      <c r="E29" s="34">
        <f t="shared" si="4"/>
        <v>-1.0121579138609393</v>
      </c>
      <c r="F29" s="34">
        <f>(D29+ABS($I$19*$I$17)/52)</f>
        <v>-12.459666230954051</v>
      </c>
      <c r="G29" s="173">
        <v>-0.8928506434859298</v>
      </c>
    </row>
    <row r="30" spans="1:12" ht="18.600000000000001" x14ac:dyDescent="0.3">
      <c r="A30" s="21" t="s">
        <v>5</v>
      </c>
      <c r="B30" s="36">
        <v>0.03</v>
      </c>
      <c r="C30" s="22">
        <v>69.651854943685237</v>
      </c>
      <c r="D30" s="22">
        <f t="shared" si="3"/>
        <v>9.6518549436852368</v>
      </c>
      <c r="E30" s="34">
        <f t="shared" si="4"/>
        <v>0.28955564831055708</v>
      </c>
      <c r="F30" s="34">
        <f>(D30+ABS($I$19*$I$17)/52)</f>
        <v>9.8441626359929284</v>
      </c>
      <c r="G30" s="173">
        <v>5.241061588462969E-2</v>
      </c>
    </row>
    <row r="31" spans="1:12" ht="18.600000000000001" x14ac:dyDescent="0.3">
      <c r="A31" s="21" t="s">
        <v>6</v>
      </c>
      <c r="B31" s="36">
        <v>0.03</v>
      </c>
      <c r="C31" s="22">
        <v>39.198332763606714</v>
      </c>
      <c r="D31" s="22">
        <f t="shared" si="3"/>
        <v>-20.801667236393286</v>
      </c>
      <c r="E31" s="34">
        <f t="shared" si="4"/>
        <v>-0.62405001709179853</v>
      </c>
      <c r="F31" s="34">
        <f>(D31+ABS($I$19*$I$17)/52)</f>
        <v>-20.609359544085592</v>
      </c>
      <c r="G31" s="173">
        <v>-0.57992144376030974</v>
      </c>
    </row>
    <row r="32" spans="1:12" ht="18.600000000000001" x14ac:dyDescent="0.3">
      <c r="A32" s="21" t="s">
        <v>7</v>
      </c>
      <c r="B32" s="36">
        <v>0.02</v>
      </c>
      <c r="C32" s="22">
        <v>78.667778452363081</v>
      </c>
      <c r="D32" s="22">
        <f t="shared" si="3"/>
        <v>18.667778452363081</v>
      </c>
      <c r="E32" s="34">
        <f t="shared" si="4"/>
        <v>0.37335556904726164</v>
      </c>
      <c r="F32" s="34">
        <f>(D32+ABS($I$19*$I$17)/52)</f>
        <v>18.860086144670774</v>
      </c>
      <c r="G32" s="173">
        <v>0.57973893089875705</v>
      </c>
    </row>
    <row r="33" spans="1:7" ht="18.600000000000001" x14ac:dyDescent="0.3">
      <c r="A33" s="67" t="s">
        <v>174</v>
      </c>
      <c r="B33" s="68"/>
      <c r="C33" s="68"/>
      <c r="D33" s="68"/>
      <c r="E33" s="69"/>
      <c r="F33" s="69"/>
      <c r="G33" s="174"/>
    </row>
    <row r="34" spans="1:7" ht="18.600000000000001" x14ac:dyDescent="0.3">
      <c r="A34" s="5" t="s">
        <v>8</v>
      </c>
      <c r="B34" s="37">
        <v>0.01</v>
      </c>
      <c r="C34" s="2">
        <v>77.668055591251374</v>
      </c>
      <c r="D34" s="2">
        <f t="shared" ref="D34:D43" si="5">C34-$C$44</f>
        <v>17.668055591251374</v>
      </c>
      <c r="E34" s="71">
        <f t="shared" ref="E34:E43" si="6">B34*D34</f>
        <v>0.17668055591251375</v>
      </c>
      <c r="F34" s="71">
        <f>(D34+ABS($I$19*$I$17)/52)</f>
        <v>17.860363283559067</v>
      </c>
      <c r="G34" s="71">
        <v>0.34299307517679523</v>
      </c>
    </row>
    <row r="35" spans="1:7" ht="18.600000000000001" x14ac:dyDescent="0.3">
      <c r="A35" s="5" t="s">
        <v>9</v>
      </c>
      <c r="B35" s="37">
        <v>0.01</v>
      </c>
      <c r="C35" s="2">
        <v>78.27719522354279</v>
      </c>
      <c r="D35" s="2">
        <f t="shared" si="5"/>
        <v>18.27719522354279</v>
      </c>
      <c r="E35" s="71">
        <f t="shared" si="6"/>
        <v>0.18277195223542791</v>
      </c>
      <c r="F35" s="71">
        <f>(D35+ABS($I$19*$I$17)/52)</f>
        <v>18.469502915850484</v>
      </c>
      <c r="G35" s="71">
        <v>0.27026358571918524</v>
      </c>
    </row>
    <row r="36" spans="1:7" ht="18.600000000000001" x14ac:dyDescent="0.3">
      <c r="A36" s="5" t="s">
        <v>10</v>
      </c>
      <c r="B36" s="37">
        <v>0.01</v>
      </c>
      <c r="C36" s="2">
        <v>84.326177487181695</v>
      </c>
      <c r="D36" s="2">
        <f t="shared" si="5"/>
        <v>24.326177487181695</v>
      </c>
      <c r="E36" s="71">
        <f t="shared" si="6"/>
        <v>0.24326177487181697</v>
      </c>
      <c r="F36" s="71">
        <f>(D36+ABS($I$19*$I$17)/52)</f>
        <v>24.518485179489389</v>
      </c>
      <c r="G36" s="71">
        <v>0.1541550490780513</v>
      </c>
    </row>
    <row r="37" spans="1:7" ht="18.600000000000001" x14ac:dyDescent="0.3">
      <c r="A37" s="5" t="s">
        <v>16</v>
      </c>
      <c r="B37" s="37">
        <v>0.01</v>
      </c>
      <c r="C37" s="2">
        <v>93.259485789050274</v>
      </c>
      <c r="D37" s="2">
        <f t="shared" si="5"/>
        <v>33.259485789050274</v>
      </c>
      <c r="E37" s="71">
        <f t="shared" si="6"/>
        <v>0.33259485789050275</v>
      </c>
      <c r="F37" s="71">
        <f>(D37+ABS($I$19*$I$17)/52)</f>
        <v>33.451793481357967</v>
      </c>
      <c r="G37" s="71">
        <v>0.11329184912378111</v>
      </c>
    </row>
    <row r="38" spans="1:7" ht="18.600000000000001" x14ac:dyDescent="0.3">
      <c r="A38" s="5" t="s">
        <v>11</v>
      </c>
      <c r="B38" s="37">
        <v>0.01</v>
      </c>
      <c r="C38" s="2">
        <v>61.561880486023206</v>
      </c>
      <c r="D38" s="2">
        <f t="shared" si="5"/>
        <v>1.5618804860232061</v>
      </c>
      <c r="E38" s="71">
        <f t="shared" si="6"/>
        <v>1.5618804860232061E-2</v>
      </c>
      <c r="F38" s="71">
        <f>(D38+ABS($I$19*$I$17)/52)</f>
        <v>1.7541881783308984</v>
      </c>
      <c r="G38" s="71">
        <v>-0.10359028973198982</v>
      </c>
    </row>
    <row r="39" spans="1:7" ht="18.600000000000001" x14ac:dyDescent="0.3">
      <c r="A39" s="5" t="s">
        <v>12</v>
      </c>
      <c r="B39" s="37">
        <v>0.01</v>
      </c>
      <c r="C39" s="2">
        <v>82.089845727693998</v>
      </c>
      <c r="D39" s="2">
        <f t="shared" si="5"/>
        <v>22.089845727693998</v>
      </c>
      <c r="E39" s="71">
        <f t="shared" si="6"/>
        <v>0.22089845727693999</v>
      </c>
      <c r="F39" s="71">
        <f>(D39+ABS($I$19*$I$17)/52)</f>
        <v>22.282153420001691</v>
      </c>
      <c r="G39" s="71">
        <v>0.24107166457071003</v>
      </c>
    </row>
    <row r="40" spans="1:7" ht="18.600000000000001" x14ac:dyDescent="0.3">
      <c r="A40" s="5" t="s">
        <v>17</v>
      </c>
      <c r="B40" s="66">
        <v>4.0000000000000001E-3</v>
      </c>
      <c r="C40" s="2">
        <v>1.7055327912814022</v>
      </c>
      <c r="D40" s="2">
        <f t="shared" si="5"/>
        <v>-58.294467208718601</v>
      </c>
      <c r="E40" s="71">
        <f t="shared" si="6"/>
        <v>-0.2331778688348744</v>
      </c>
      <c r="F40" s="71">
        <f>(D40+ABS($I$19*$I$17)/52)</f>
        <v>-58.102159516410907</v>
      </c>
      <c r="G40" s="71">
        <v>-0.2496127651929641</v>
      </c>
    </row>
    <row r="41" spans="1:7" ht="18.600000000000001" x14ac:dyDescent="0.3">
      <c r="A41" s="5" t="s">
        <v>13</v>
      </c>
      <c r="B41" s="37">
        <v>1E-3</v>
      </c>
      <c r="C41" s="2">
        <v>77.668055591251374</v>
      </c>
      <c r="D41" s="2">
        <f t="shared" si="5"/>
        <v>17.668055591251374</v>
      </c>
      <c r="E41" s="71">
        <f t="shared" si="6"/>
        <v>1.7668055591251373E-2</v>
      </c>
      <c r="F41" s="71">
        <f>(D41+ABS($I$19*$I$17)/52)</f>
        <v>17.860363283559067</v>
      </c>
      <c r="G41" s="71">
        <v>1.2234050694932152E-2</v>
      </c>
    </row>
    <row r="42" spans="1:7" ht="18.600000000000001" x14ac:dyDescent="0.3">
      <c r="A42" s="5" t="s">
        <v>14</v>
      </c>
      <c r="B42" s="37">
        <v>4.0000000000000002E-4</v>
      </c>
      <c r="C42" s="2">
        <v>22.033328296290733</v>
      </c>
      <c r="D42" s="2">
        <f t="shared" si="5"/>
        <v>-37.966671703709267</v>
      </c>
      <c r="E42" s="71">
        <f t="shared" si="6"/>
        <v>-1.5186668681483707E-2</v>
      </c>
      <c r="F42" s="71">
        <f>(D42+ABS($I$19*$I$17)/52)</f>
        <v>-37.774364011401573</v>
      </c>
      <c r="G42" s="71">
        <v>-1.4272106609613094E-2</v>
      </c>
    </row>
    <row r="43" spans="1:7" ht="18.600000000000001" x14ac:dyDescent="0.3">
      <c r="A43" s="5" t="s">
        <v>15</v>
      </c>
      <c r="B43" s="37">
        <v>1E-4</v>
      </c>
      <c r="C43" s="2">
        <v>26.572831662411776</v>
      </c>
      <c r="D43" s="2">
        <f t="shared" si="5"/>
        <v>-33.427168337588228</v>
      </c>
      <c r="E43" s="71">
        <f t="shared" si="6"/>
        <v>-3.3427168337588227E-3</v>
      </c>
      <c r="F43" s="71">
        <f>(D43+ABS($I$19*$I$17)/52)</f>
        <v>-33.234860645280534</v>
      </c>
      <c r="G43" s="71">
        <v>-3.9676404546865043E-3</v>
      </c>
    </row>
    <row r="44" spans="1:7" ht="19.2" thickBot="1" x14ac:dyDescent="0.7">
      <c r="A44" s="6" t="s">
        <v>43</v>
      </c>
      <c r="B44" s="35"/>
      <c r="C44" s="171">
        <v>60</v>
      </c>
      <c r="D44" s="38"/>
      <c r="E44" s="72">
        <f>SUM(E26:E43)</f>
        <v>9.241364867145494</v>
      </c>
      <c r="F44" s="72"/>
      <c r="G44" s="72">
        <v>7.8279920901370303</v>
      </c>
    </row>
    <row r="45" spans="1:7" ht="18.600000000000001" x14ac:dyDescent="0.3">
      <c r="A45" s="168"/>
      <c r="B45" s="170">
        <f>SUM(B26:B44)</f>
        <v>0.99550000000000005</v>
      </c>
      <c r="C45" s="168"/>
      <c r="D45" s="169"/>
      <c r="E45" s="85">
        <f>E44/C44</f>
        <v>0.15402274778575822</v>
      </c>
      <c r="F45" s="85"/>
      <c r="G45" s="85">
        <f>G44/C44</f>
        <v>0.13046653483561718</v>
      </c>
    </row>
  </sheetData>
  <mergeCells count="5">
    <mergeCell ref="N1:O1"/>
    <mergeCell ref="E1:F1"/>
    <mergeCell ref="B1:C1"/>
    <mergeCell ref="H1:I1"/>
    <mergeCell ref="K1:L1"/>
  </mergeCells>
  <pageMargins left="0.7" right="0.7" top="0.75" bottom="0.75" header="0.3" footer="0.3"/>
  <pageSetup orientation="portrait" r:id="rId1"/>
  <ignoredErrors>
    <ignoredError sqref="C5:D5 F5:G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rightToLeft="1" workbookViewId="0">
      <selection activeCell="F9" sqref="F9"/>
    </sheetView>
  </sheetViews>
  <sheetFormatPr defaultRowHeight="14.4" x14ac:dyDescent="0.3"/>
  <cols>
    <col min="2" max="5" width="15.5546875" customWidth="1"/>
    <col min="6" max="6" width="15.5546875" style="1" customWidth="1"/>
  </cols>
  <sheetData>
    <row r="1" spans="2:6" ht="15" thickBot="1" x14ac:dyDescent="0.35"/>
    <row r="2" spans="2:6" ht="15" x14ac:dyDescent="0.3">
      <c r="B2" s="192" t="s">
        <v>77</v>
      </c>
      <c r="C2" s="141" t="s">
        <v>148</v>
      </c>
      <c r="D2" s="141" t="s">
        <v>148</v>
      </c>
      <c r="E2" s="141" t="s">
        <v>148</v>
      </c>
      <c r="F2" s="178"/>
    </row>
    <row r="3" spans="2:6" ht="30" x14ac:dyDescent="0.3">
      <c r="B3" s="193"/>
      <c r="C3" s="142" t="s">
        <v>149</v>
      </c>
      <c r="D3" s="142" t="s">
        <v>149</v>
      </c>
      <c r="E3" s="142" t="s">
        <v>152</v>
      </c>
      <c r="F3" s="179" t="s">
        <v>183</v>
      </c>
    </row>
    <row r="4" spans="2:6" ht="15" x14ac:dyDescent="0.3">
      <c r="B4" s="193"/>
      <c r="C4" s="142" t="s">
        <v>150</v>
      </c>
      <c r="D4" s="142" t="s">
        <v>151</v>
      </c>
      <c r="E4" s="142" t="s">
        <v>153</v>
      </c>
      <c r="F4" s="179">
        <v>98</v>
      </c>
    </row>
    <row r="5" spans="2:6" ht="10.199999999999999" customHeight="1" thickBot="1" x14ac:dyDescent="0.35">
      <c r="B5" s="194"/>
      <c r="C5" s="143"/>
      <c r="D5" s="143"/>
      <c r="E5" s="143"/>
      <c r="F5" s="180"/>
    </row>
    <row r="6" spans="2:6" x14ac:dyDescent="0.3">
      <c r="B6" s="151" t="s">
        <v>154</v>
      </c>
      <c r="C6" s="144" t="s">
        <v>150</v>
      </c>
      <c r="D6" s="144" t="s">
        <v>151</v>
      </c>
      <c r="E6" s="152" t="s">
        <v>153</v>
      </c>
      <c r="F6" s="152"/>
    </row>
    <row r="7" spans="2:6" x14ac:dyDescent="0.3">
      <c r="B7" s="153" t="s">
        <v>33</v>
      </c>
      <c r="C7" s="145"/>
      <c r="D7" s="145"/>
      <c r="E7" s="154"/>
      <c r="F7" s="154"/>
    </row>
    <row r="8" spans="2:6" x14ac:dyDescent="0.3">
      <c r="B8" s="155" t="s">
        <v>34</v>
      </c>
      <c r="C8" s="146">
        <v>189269943</v>
      </c>
      <c r="D8" s="146">
        <v>83133841</v>
      </c>
      <c r="E8" s="156">
        <v>487196784</v>
      </c>
      <c r="F8" s="156">
        <f>'مقایسه دلاری'!E3+'مقایسه دلاری'!H3+'مقایسه دلاری'!K3+'مقایسه دلاری'!N3</f>
        <v>807100293.20880485</v>
      </c>
    </row>
    <row r="9" spans="2:6" ht="20.399999999999999" x14ac:dyDescent="0.3">
      <c r="B9" s="155" t="s">
        <v>35</v>
      </c>
      <c r="C9" s="147">
        <v>-165849824</v>
      </c>
      <c r="D9" s="147">
        <v>-74853289</v>
      </c>
      <c r="E9" s="157">
        <v>-431688956</v>
      </c>
      <c r="F9" s="157">
        <f>'مقایسه دلاری'!E4+'مقایسه دلاری'!H4+'مقایسه دلاری'!K4+'مقایسه دلاری'!N4</f>
        <v>-703101907.21150947</v>
      </c>
    </row>
    <row r="10" spans="2:6" x14ac:dyDescent="0.3">
      <c r="B10" s="158" t="s">
        <v>36</v>
      </c>
      <c r="C10" s="148">
        <v>23420119</v>
      </c>
      <c r="D10" s="148">
        <v>8280552</v>
      </c>
      <c r="E10" s="159">
        <v>55507828</v>
      </c>
      <c r="F10" s="159">
        <f>SUM(F8:F9)</f>
        <v>103998385.99729538</v>
      </c>
    </row>
    <row r="11" spans="2:6" ht="20.399999999999999" x14ac:dyDescent="0.3">
      <c r="B11" s="155" t="s">
        <v>155</v>
      </c>
      <c r="C11" s="147">
        <v>-1879917</v>
      </c>
      <c r="D11" s="147">
        <v>-887794</v>
      </c>
      <c r="E11" s="157">
        <v>-5212276</v>
      </c>
      <c r="F11" s="157">
        <f>E11*F8/E8</f>
        <v>-8634764.4854018912</v>
      </c>
    </row>
    <row r="12" spans="2:6" ht="20.399999999999999" x14ac:dyDescent="0.3">
      <c r="B12" s="155" t="s">
        <v>156</v>
      </c>
      <c r="C12" s="149">
        <v>0</v>
      </c>
      <c r="D12" s="149">
        <v>0</v>
      </c>
      <c r="E12" s="156">
        <v>9400897</v>
      </c>
      <c r="F12" s="156">
        <f>E12*4</f>
        <v>37603588</v>
      </c>
    </row>
    <row r="13" spans="2:6" ht="20.399999999999999" x14ac:dyDescent="0.3">
      <c r="B13" s="155" t="s">
        <v>157</v>
      </c>
      <c r="C13" s="149">
        <v>0</v>
      </c>
      <c r="D13" s="149">
        <v>0</v>
      </c>
      <c r="E13" s="160">
        <v>0</v>
      </c>
      <c r="F13" s="160">
        <v>0</v>
      </c>
    </row>
    <row r="14" spans="2:6" x14ac:dyDescent="0.3">
      <c r="B14" s="158" t="s">
        <v>37</v>
      </c>
      <c r="C14" s="148">
        <v>21540202</v>
      </c>
      <c r="D14" s="148">
        <v>7392758</v>
      </c>
      <c r="E14" s="159">
        <v>59696449</v>
      </c>
      <c r="F14" s="159">
        <f>SUM(F10:F13)</f>
        <v>132967209.51189348</v>
      </c>
    </row>
    <row r="15" spans="2:6" x14ac:dyDescent="0.3">
      <c r="B15" s="155" t="s">
        <v>158</v>
      </c>
      <c r="C15" s="149">
        <v>0</v>
      </c>
      <c r="D15" s="149">
        <v>0</v>
      </c>
      <c r="E15" s="160">
        <v>0</v>
      </c>
      <c r="F15" s="160">
        <v>0</v>
      </c>
    </row>
    <row r="16" spans="2:6" ht="30.6" x14ac:dyDescent="0.3">
      <c r="B16" s="155" t="s">
        <v>159</v>
      </c>
      <c r="C16" s="146">
        <v>84413</v>
      </c>
      <c r="D16" s="146">
        <v>46929</v>
      </c>
      <c r="E16" s="156">
        <v>514401</v>
      </c>
      <c r="F16" s="156">
        <f>E16*4</f>
        <v>2057604</v>
      </c>
    </row>
    <row r="17" spans="2:6" ht="30.6" x14ac:dyDescent="0.3">
      <c r="B17" s="155" t="s">
        <v>160</v>
      </c>
      <c r="C17" s="146">
        <v>159296</v>
      </c>
      <c r="D17" s="146">
        <v>79776</v>
      </c>
      <c r="E17" s="156">
        <v>766928</v>
      </c>
      <c r="F17" s="156">
        <f>E17*4</f>
        <v>3067712</v>
      </c>
    </row>
    <row r="18" spans="2:6" ht="20.399999999999999" x14ac:dyDescent="0.3">
      <c r="B18" s="158" t="s">
        <v>161</v>
      </c>
      <c r="C18" s="148">
        <v>21783911</v>
      </c>
      <c r="D18" s="148">
        <v>7519463</v>
      </c>
      <c r="E18" s="159">
        <v>60977778</v>
      </c>
      <c r="F18" s="159">
        <f>SUM(F14:F17)</f>
        <v>138092525.51189348</v>
      </c>
    </row>
    <row r="19" spans="2:6" x14ac:dyDescent="0.3">
      <c r="B19" s="155" t="s">
        <v>162</v>
      </c>
      <c r="C19" s="147">
        <v>-4339900</v>
      </c>
      <c r="D19" s="147">
        <v>-1494507</v>
      </c>
      <c r="E19" s="157">
        <v>-10203223</v>
      </c>
      <c r="F19" s="157">
        <f>E19*F18/E18</f>
        <v>-23106595.199828997</v>
      </c>
    </row>
    <row r="20" spans="2:6" ht="20.399999999999999" x14ac:dyDescent="0.3">
      <c r="B20" s="158" t="s">
        <v>163</v>
      </c>
      <c r="C20" s="148">
        <v>17444011</v>
      </c>
      <c r="D20" s="148">
        <v>6024956</v>
      </c>
      <c r="E20" s="159">
        <v>50774555</v>
      </c>
      <c r="F20" s="159">
        <f>SUM(F18:F19)</f>
        <v>114985930.31206448</v>
      </c>
    </row>
    <row r="21" spans="2:6" ht="30.6" x14ac:dyDescent="0.3">
      <c r="B21" s="155" t="s">
        <v>164</v>
      </c>
      <c r="C21" s="149">
        <v>0</v>
      </c>
      <c r="D21" s="149">
        <v>0</v>
      </c>
      <c r="E21" s="160">
        <v>0</v>
      </c>
      <c r="F21" s="160"/>
    </row>
    <row r="22" spans="2:6" x14ac:dyDescent="0.3">
      <c r="B22" s="158" t="s">
        <v>33</v>
      </c>
      <c r="C22" s="148">
        <v>17444011</v>
      </c>
      <c r="D22" s="148">
        <v>6024956</v>
      </c>
      <c r="E22" s="159">
        <v>50774555</v>
      </c>
      <c r="F22" s="159">
        <f>SUM(F20:F21)</f>
        <v>114985930.31206448</v>
      </c>
    </row>
    <row r="23" spans="2:6" ht="20.399999999999999" x14ac:dyDescent="0.3">
      <c r="B23" s="158" t="s">
        <v>165</v>
      </c>
      <c r="C23" s="150">
        <v>872</v>
      </c>
      <c r="D23" s="150">
        <v>301</v>
      </c>
      <c r="E23" s="159">
        <v>2539</v>
      </c>
      <c r="F23" s="159">
        <f>F22*1000/F24</f>
        <v>5749.2965156032242</v>
      </c>
    </row>
    <row r="24" spans="2:6" ht="15" thickBot="1" x14ac:dyDescent="0.35">
      <c r="B24" s="161" t="s">
        <v>38</v>
      </c>
      <c r="C24" s="162">
        <v>20000000</v>
      </c>
      <c r="D24" s="162">
        <v>20000000</v>
      </c>
      <c r="E24" s="163">
        <v>20000000</v>
      </c>
      <c r="F24" s="163">
        <f>E24</f>
        <v>20000000</v>
      </c>
    </row>
  </sheetData>
  <mergeCells count="1">
    <mergeCell ref="B2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محصولات اصلی شپنا</vt:lpstr>
      <vt:lpstr>بهای تمام شده</vt:lpstr>
      <vt:lpstr>مقدار فروش</vt:lpstr>
      <vt:lpstr>مبلغ فروش</vt:lpstr>
      <vt:lpstr>نرخ</vt:lpstr>
      <vt:lpstr>کرک</vt:lpstr>
      <vt:lpstr>مقایسه دلاری</vt:lpstr>
      <vt:lpstr>صورت سود و زیان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ASUS</cp:lastModifiedBy>
  <dcterms:created xsi:type="dcterms:W3CDTF">2019-08-14T09:45:53Z</dcterms:created>
  <dcterms:modified xsi:type="dcterms:W3CDTF">2019-09-04T10:44:38Z</dcterms:modified>
</cp:coreProperties>
</file>