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akili\Desktop\"/>
    </mc:Choice>
  </mc:AlternateContent>
  <bookViews>
    <workbookView xWindow="0" yWindow="6000" windowWidth="24000" windowHeight="9720"/>
  </bookViews>
  <sheets>
    <sheet name="تولید و فروش" sheetId="1" r:id="rId1"/>
    <sheet name="ماهانه" sheetId="2" r:id="rId2"/>
    <sheet name="ترازنامه" sheetId="4" r:id="rId3"/>
    <sheet name="بهای تمام شده" sheetId="5" r:id="rId4"/>
    <sheet name="سایر درامدها" sheetId="6" r:id="rId5"/>
    <sheet name="سود و زیان" sheetId="3" r:id="rId6"/>
  </sheets>
  <calcPr calcId="152511"/>
</workbook>
</file>

<file path=xl/calcChain.xml><?xml version="1.0" encoding="utf-8"?>
<calcChain xmlns="http://schemas.openxmlformats.org/spreadsheetml/2006/main">
  <c r="F64" i="5" l="1"/>
  <c r="G57" i="5"/>
  <c r="G58" i="5"/>
  <c r="G59" i="5"/>
  <c r="G60" i="5"/>
  <c r="G61" i="5"/>
  <c r="G62" i="5"/>
  <c r="G63" i="5"/>
  <c r="G64" i="5"/>
  <c r="G56" i="5"/>
  <c r="F56" i="5"/>
  <c r="F57" i="5"/>
  <c r="F58" i="5"/>
  <c r="F59" i="5"/>
  <c r="F60" i="5"/>
  <c r="F61" i="5"/>
  <c r="K97" i="5"/>
  <c r="G97" i="5"/>
  <c r="F62" i="5"/>
  <c r="F63" i="5"/>
  <c r="K93" i="5"/>
  <c r="K94" i="5"/>
  <c r="K95" i="5"/>
  <c r="K92" i="5"/>
  <c r="G93" i="5"/>
  <c r="G94" i="5"/>
  <c r="G95" i="5"/>
  <c r="G92" i="5"/>
  <c r="K84" i="5"/>
  <c r="K85" i="5"/>
  <c r="K86" i="5"/>
  <c r="K87" i="5"/>
  <c r="K83" i="5"/>
  <c r="G84" i="5"/>
  <c r="G85" i="5"/>
  <c r="G86" i="5"/>
  <c r="G87" i="5"/>
  <c r="G83" i="5"/>
  <c r="N9" i="6" l="1"/>
  <c r="O9" i="6"/>
  <c r="O12" i="6" s="1"/>
  <c r="P9" i="6"/>
  <c r="P12" i="6" s="1"/>
  <c r="M9" i="6"/>
  <c r="M12" i="6"/>
  <c r="N11" i="6"/>
  <c r="N12" i="6" l="1"/>
  <c r="Q12" i="6"/>
  <c r="F5" i="6" s="1"/>
  <c r="E65" i="5" l="1"/>
  <c r="H8" i="5"/>
  <c r="G8" i="5" s="1"/>
  <c r="H5" i="5"/>
  <c r="G5" i="5" s="1"/>
  <c r="G73" i="5"/>
  <c r="G72" i="5"/>
  <c r="G71" i="5"/>
  <c r="G70" i="5"/>
  <c r="G69" i="5"/>
  <c r="F21" i="6"/>
  <c r="E77" i="5"/>
  <c r="D77" i="5"/>
  <c r="F77" i="5"/>
  <c r="G77" i="5" s="1"/>
  <c r="F24" i="6"/>
  <c r="F23" i="6"/>
  <c r="F22" i="6"/>
  <c r="F14" i="6"/>
  <c r="F13" i="6"/>
  <c r="F8" i="6"/>
  <c r="F6" i="6"/>
  <c r="F7" i="6"/>
  <c r="I10" i="3" l="1"/>
  <c r="I8" i="3"/>
  <c r="I7" i="3"/>
  <c r="I4" i="3"/>
  <c r="I35" i="1"/>
  <c r="C31" i="1"/>
  <c r="C27" i="1"/>
  <c r="H61" i="1"/>
  <c r="D65" i="5" l="1"/>
  <c r="E30" i="5"/>
  <c r="E31" i="5"/>
  <c r="E32" i="5"/>
  <c r="E33" i="5"/>
  <c r="E34" i="5"/>
  <c r="E35" i="5"/>
  <c r="E36" i="5"/>
  <c r="E37" i="5"/>
  <c r="E38" i="5"/>
  <c r="E29" i="5"/>
  <c r="D30" i="5"/>
  <c r="D31" i="5"/>
  <c r="D32" i="5"/>
  <c r="D33" i="5"/>
  <c r="D35" i="5"/>
  <c r="D36" i="5"/>
  <c r="D37" i="5"/>
  <c r="D38" i="5"/>
  <c r="D29" i="5"/>
  <c r="X48" i="2"/>
  <c r="X49" i="2"/>
  <c r="X50" i="2"/>
  <c r="X51" i="2"/>
  <c r="X52" i="2"/>
  <c r="X53" i="2"/>
  <c r="X54" i="2"/>
  <c r="X55" i="2"/>
  <c r="X47" i="2"/>
  <c r="Z20" i="2"/>
  <c r="Z21" i="2"/>
  <c r="Z22" i="2"/>
  <c r="Z23" i="2"/>
  <c r="Z24" i="2"/>
  <c r="Z25" i="2"/>
  <c r="Z26" i="2"/>
  <c r="Z27" i="2"/>
  <c r="Z28" i="2"/>
  <c r="Z19" i="2"/>
  <c r="X12" i="2"/>
  <c r="X26" i="2" s="1"/>
  <c r="X40" i="2" s="1"/>
  <c r="X5" i="2"/>
  <c r="H28" i="1"/>
  <c r="H29" i="1"/>
  <c r="H30" i="1"/>
  <c r="H31" i="1"/>
  <c r="H32" i="1"/>
  <c r="H33" i="1"/>
  <c r="H34" i="1"/>
  <c r="H35" i="1"/>
  <c r="H27" i="1"/>
  <c r="G28" i="1"/>
  <c r="G29" i="1"/>
  <c r="G30" i="1"/>
  <c r="G31" i="1"/>
  <c r="G32" i="1"/>
  <c r="G33" i="1"/>
  <c r="G34" i="1"/>
  <c r="G35" i="1"/>
  <c r="G27" i="1"/>
  <c r="F28" i="1"/>
  <c r="F29" i="1"/>
  <c r="F30" i="1"/>
  <c r="F31" i="1"/>
  <c r="F32" i="1"/>
  <c r="F33" i="1"/>
  <c r="F34" i="1"/>
  <c r="F35" i="1"/>
  <c r="F27" i="1"/>
  <c r="E28" i="1"/>
  <c r="E29" i="1"/>
  <c r="E30" i="1"/>
  <c r="E31" i="1"/>
  <c r="E32" i="1"/>
  <c r="E33" i="1"/>
  <c r="E34" i="1"/>
  <c r="E35" i="1"/>
  <c r="E27" i="1"/>
  <c r="D28" i="1"/>
  <c r="D29" i="1"/>
  <c r="D30" i="1"/>
  <c r="D31" i="1"/>
  <c r="D32" i="1"/>
  <c r="D33" i="1"/>
  <c r="D34" i="1"/>
  <c r="D35" i="1"/>
  <c r="D27" i="1"/>
  <c r="C28" i="1"/>
  <c r="I28" i="1" s="1"/>
  <c r="C29" i="1"/>
  <c r="C30" i="1"/>
  <c r="C32" i="1"/>
  <c r="C33" i="1"/>
  <c r="C34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H43" i="1"/>
  <c r="D44" i="1"/>
  <c r="E44" i="1"/>
  <c r="F44" i="1"/>
  <c r="G44" i="1"/>
  <c r="H44" i="1"/>
  <c r="D46" i="1"/>
  <c r="E46" i="1"/>
  <c r="F46" i="1"/>
  <c r="G46" i="1"/>
  <c r="H46" i="1"/>
  <c r="D47" i="1"/>
  <c r="E47" i="1"/>
  <c r="F47" i="1"/>
  <c r="G47" i="1"/>
  <c r="H47" i="1"/>
  <c r="C41" i="1"/>
  <c r="C42" i="1"/>
  <c r="C43" i="1"/>
  <c r="C44" i="1"/>
  <c r="C46" i="1"/>
  <c r="C47" i="1"/>
  <c r="I47" i="1" l="1"/>
  <c r="I42" i="1"/>
  <c r="I33" i="1"/>
  <c r="X11" i="2" s="1"/>
  <c r="I29" i="1"/>
  <c r="X8" i="2" s="1"/>
  <c r="X22" i="2" s="1"/>
  <c r="X36" i="2" s="1"/>
  <c r="I32" i="1"/>
  <c r="X6" i="2" s="1"/>
  <c r="X20" i="2" s="1"/>
  <c r="X34" i="2" s="1"/>
  <c r="I46" i="1"/>
  <c r="I34" i="1"/>
  <c r="X13" i="2" s="1"/>
  <c r="X27" i="2" s="1"/>
  <c r="X41" i="2" s="1"/>
  <c r="I30" i="1"/>
  <c r="X9" i="2" s="1"/>
  <c r="I27" i="1"/>
  <c r="X7" i="2" s="1"/>
  <c r="X21" i="2" s="1"/>
  <c r="X35" i="2" s="1"/>
  <c r="I44" i="1"/>
  <c r="I43" i="1"/>
  <c r="I41" i="1"/>
  <c r="X19" i="2" s="1"/>
  <c r="I31" i="1"/>
  <c r="X10" i="2" s="1"/>
  <c r="X24" i="2" s="1"/>
  <c r="X38" i="2" s="1"/>
  <c r="I16" i="3"/>
  <c r="H75" i="1"/>
  <c r="H81" i="1"/>
  <c r="H82" i="1"/>
  <c r="H83" i="1"/>
  <c r="H84" i="1"/>
  <c r="H85" i="1"/>
  <c r="H86" i="1"/>
  <c r="H87" i="1"/>
  <c r="H88" i="1"/>
  <c r="H80" i="1"/>
  <c r="H24" i="1"/>
  <c r="G26" i="5"/>
  <c r="F26" i="5"/>
  <c r="E26" i="5"/>
  <c r="D21" i="5"/>
  <c r="D26" i="5" l="1"/>
  <c r="D34" i="5"/>
  <c r="X25" i="2"/>
  <c r="X39" i="2" s="1"/>
  <c r="X23" i="2"/>
  <c r="X37" i="2" s="1"/>
  <c r="X28" i="2"/>
  <c r="X33" i="2"/>
  <c r="X42" i="2" s="1"/>
  <c r="X14" i="2"/>
  <c r="G30" i="5"/>
  <c r="G34" i="5"/>
  <c r="G38" i="5"/>
  <c r="G37" i="5"/>
  <c r="G31" i="5"/>
  <c r="G35" i="5"/>
  <c r="G29" i="5"/>
  <c r="G32" i="5"/>
  <c r="G36" i="5"/>
  <c r="G33" i="5"/>
  <c r="E25" i="6"/>
  <c r="F25" i="6"/>
  <c r="I11" i="3" s="1"/>
  <c r="D25" i="6" l="1"/>
  <c r="C25" i="6"/>
  <c r="D17" i="6"/>
  <c r="E17" i="6"/>
  <c r="F17" i="6"/>
  <c r="C17" i="6"/>
  <c r="C8" i="6"/>
  <c r="D8" i="6"/>
  <c r="E8" i="6"/>
  <c r="F74" i="5"/>
  <c r="G74" i="5"/>
  <c r="H6" i="5" s="1"/>
  <c r="G6" i="5" s="1"/>
  <c r="E74" i="5"/>
  <c r="D74" i="5"/>
  <c r="C11" i="1"/>
  <c r="E10" i="5"/>
  <c r="F10" i="5"/>
  <c r="G10" i="5" s="1"/>
  <c r="D10" i="5"/>
  <c r="Y34" i="2" l="1"/>
  <c r="Y35" i="2"/>
  <c r="I66" i="1" s="1"/>
  <c r="Y36" i="2"/>
  <c r="I68" i="1" s="1"/>
  <c r="Y37" i="2"/>
  <c r="I69" i="1" s="1"/>
  <c r="Y38" i="2"/>
  <c r="I70" i="1" s="1"/>
  <c r="Y39" i="2"/>
  <c r="I72" i="1" s="1"/>
  <c r="Y40" i="2"/>
  <c r="I74" i="1" s="1"/>
  <c r="Y41" i="2"/>
  <c r="I73" i="1" s="1"/>
  <c r="Y33" i="2"/>
  <c r="I67" i="1" s="1"/>
  <c r="Y42" i="2" l="1"/>
  <c r="I71" i="1"/>
  <c r="I75" i="1" s="1"/>
  <c r="Y20" i="2"/>
  <c r="Y21" i="2"/>
  <c r="Y22" i="2"/>
  <c r="Y23" i="2"/>
  <c r="Y24" i="2"/>
  <c r="Y25" i="2"/>
  <c r="Y26" i="2"/>
  <c r="Y27" i="2"/>
  <c r="Y19" i="2"/>
  <c r="Y6" i="2"/>
  <c r="I20" i="1" s="1"/>
  <c r="Y7" i="2"/>
  <c r="I15" i="1" s="1"/>
  <c r="Y8" i="2"/>
  <c r="I17" i="1" s="1"/>
  <c r="Y9" i="2"/>
  <c r="I18" i="1" s="1"/>
  <c r="Y10" i="2"/>
  <c r="I19" i="1" s="1"/>
  <c r="Y11" i="2"/>
  <c r="I21" i="1" s="1"/>
  <c r="Y12" i="2"/>
  <c r="I23" i="1" s="1"/>
  <c r="Y13" i="2"/>
  <c r="I22" i="1" s="1"/>
  <c r="Y5" i="2"/>
  <c r="I16" i="1" s="1"/>
  <c r="W50" i="2"/>
  <c r="W51" i="2"/>
  <c r="W52" i="2"/>
  <c r="W53" i="2"/>
  <c r="W54" i="2"/>
  <c r="W55" i="2"/>
  <c r="W47" i="2"/>
  <c r="V47" i="2"/>
  <c r="V48" i="2"/>
  <c r="W48" i="2" s="1"/>
  <c r="V49" i="2"/>
  <c r="W49" i="2" s="1"/>
  <c r="V50" i="2"/>
  <c r="V51" i="2"/>
  <c r="V52" i="2"/>
  <c r="V53" i="2"/>
  <c r="V54" i="2"/>
  <c r="V55" i="2"/>
  <c r="U48" i="2"/>
  <c r="U49" i="2"/>
  <c r="U50" i="2"/>
  <c r="U51" i="2"/>
  <c r="U52" i="2"/>
  <c r="U53" i="2"/>
  <c r="U54" i="2"/>
  <c r="U55" i="2"/>
  <c r="U47" i="2"/>
  <c r="W34" i="2"/>
  <c r="W35" i="2"/>
  <c r="W36" i="2"/>
  <c r="W37" i="2"/>
  <c r="W38" i="2"/>
  <c r="W39" i="2"/>
  <c r="W40" i="2"/>
  <c r="W41" i="2"/>
  <c r="W42" i="2"/>
  <c r="W33" i="2"/>
  <c r="V34" i="2"/>
  <c r="V35" i="2"/>
  <c r="V36" i="2"/>
  <c r="V37" i="2"/>
  <c r="V38" i="2"/>
  <c r="V39" i="2"/>
  <c r="V40" i="2"/>
  <c r="V41" i="2"/>
  <c r="V33" i="2"/>
  <c r="U42" i="2"/>
  <c r="U34" i="2"/>
  <c r="U35" i="2"/>
  <c r="U36" i="2"/>
  <c r="U37" i="2"/>
  <c r="U38" i="2"/>
  <c r="U39" i="2"/>
  <c r="U40" i="2"/>
  <c r="U41" i="2"/>
  <c r="U33" i="2"/>
  <c r="W20" i="2"/>
  <c r="W21" i="2"/>
  <c r="W22" i="2"/>
  <c r="W23" i="2"/>
  <c r="W24" i="2"/>
  <c r="W25" i="2"/>
  <c r="W26" i="2"/>
  <c r="W27" i="2"/>
  <c r="W19" i="2"/>
  <c r="V22" i="2"/>
  <c r="V23" i="2"/>
  <c r="V28" i="2" s="1"/>
  <c r="W28" i="2" s="1"/>
  <c r="V24" i="2"/>
  <c r="V25" i="2"/>
  <c r="V26" i="2"/>
  <c r="V27" i="2"/>
  <c r="V19" i="2"/>
  <c r="U28" i="2"/>
  <c r="U20" i="2"/>
  <c r="U21" i="2"/>
  <c r="U22" i="2"/>
  <c r="U23" i="2"/>
  <c r="U24" i="2"/>
  <c r="U25" i="2"/>
  <c r="U26" i="2"/>
  <c r="U27" i="2"/>
  <c r="U19" i="2"/>
  <c r="W14" i="2"/>
  <c r="W6" i="2"/>
  <c r="W7" i="2"/>
  <c r="W8" i="2"/>
  <c r="W9" i="2"/>
  <c r="W10" i="2"/>
  <c r="W11" i="2"/>
  <c r="W12" i="2"/>
  <c r="W13" i="2"/>
  <c r="W5" i="2"/>
  <c r="V14" i="2"/>
  <c r="U14" i="2"/>
  <c r="V13" i="2"/>
  <c r="V6" i="2"/>
  <c r="V7" i="2"/>
  <c r="V8" i="2"/>
  <c r="V9" i="2"/>
  <c r="V10" i="2"/>
  <c r="V11" i="2"/>
  <c r="V12" i="2"/>
  <c r="V5" i="2"/>
  <c r="U6" i="2"/>
  <c r="U7" i="2"/>
  <c r="U8" i="2"/>
  <c r="U9" i="2"/>
  <c r="U10" i="2"/>
  <c r="U11" i="2"/>
  <c r="U12" i="2"/>
  <c r="U13" i="2"/>
  <c r="U5" i="2"/>
  <c r="I59" i="1" l="1"/>
  <c r="I87" i="1" s="1"/>
  <c r="Y55" i="2"/>
  <c r="I60" i="1"/>
  <c r="I88" i="1" s="1"/>
  <c r="Y54" i="2"/>
  <c r="Y53" i="2"/>
  <c r="I58" i="1"/>
  <c r="I86" i="1" s="1"/>
  <c r="Y52" i="2"/>
  <c r="I56" i="1"/>
  <c r="I84" i="1" s="1"/>
  <c r="I55" i="1"/>
  <c r="I83" i="1" s="1"/>
  <c r="Y51" i="2"/>
  <c r="Y50" i="2"/>
  <c r="I54" i="1"/>
  <c r="I82" i="1" s="1"/>
  <c r="I53" i="1"/>
  <c r="I81" i="1" s="1"/>
  <c r="Y47" i="2"/>
  <c r="Y28" i="2"/>
  <c r="I24" i="1"/>
  <c r="Y14" i="2"/>
  <c r="I57" i="1"/>
  <c r="I85" i="1" s="1"/>
  <c r="Y48" i="2"/>
  <c r="I52" i="1"/>
  <c r="Y49" i="2"/>
  <c r="V42" i="2"/>
  <c r="H17" i="3"/>
  <c r="H18" i="3"/>
  <c r="H19" i="3"/>
  <c r="D19" i="3"/>
  <c r="E19" i="3"/>
  <c r="F19" i="3"/>
  <c r="G19" i="3"/>
  <c r="C19" i="3"/>
  <c r="D18" i="3"/>
  <c r="E18" i="3"/>
  <c r="F18" i="3"/>
  <c r="G18" i="3"/>
  <c r="C18" i="3"/>
  <c r="D17" i="3"/>
  <c r="E17" i="3"/>
  <c r="F17" i="3"/>
  <c r="G17" i="3"/>
  <c r="C17" i="3"/>
  <c r="G75" i="1"/>
  <c r="F75" i="1"/>
  <c r="G61" i="1"/>
  <c r="F61" i="1"/>
  <c r="G24" i="1"/>
  <c r="F24" i="1"/>
  <c r="F32" i="5" l="1"/>
  <c r="H32" i="5" s="1"/>
  <c r="H19" i="5" s="1"/>
  <c r="F36" i="5"/>
  <c r="H36" i="5" s="1"/>
  <c r="H23" i="5" s="1"/>
  <c r="F31" i="5"/>
  <c r="H31" i="5" s="1"/>
  <c r="H18" i="5" s="1"/>
  <c r="F29" i="5"/>
  <c r="H29" i="5" s="1"/>
  <c r="H16" i="5" s="1"/>
  <c r="F41" i="5" s="1"/>
  <c r="F33" i="5"/>
  <c r="H33" i="5" s="1"/>
  <c r="H20" i="5" s="1"/>
  <c r="F37" i="5"/>
  <c r="H37" i="5" s="1"/>
  <c r="H24" i="5" s="1"/>
  <c r="F30" i="5"/>
  <c r="H30" i="5" s="1"/>
  <c r="H17" i="5" s="1"/>
  <c r="F34" i="5"/>
  <c r="H34" i="5" s="1"/>
  <c r="H21" i="5" s="1"/>
  <c r="F38" i="5"/>
  <c r="H38" i="5" s="1"/>
  <c r="H25" i="5" s="1"/>
  <c r="F35" i="5"/>
  <c r="H35" i="5" s="1"/>
  <c r="H22" i="5" s="1"/>
  <c r="I61" i="1"/>
  <c r="I80" i="1"/>
  <c r="I21" i="5" l="1"/>
  <c r="F46" i="5"/>
  <c r="G46" i="5" s="1"/>
  <c r="G41" i="5"/>
  <c r="I17" i="5"/>
  <c r="F42" i="5"/>
  <c r="G42" i="5" s="1"/>
  <c r="I18" i="5"/>
  <c r="F43" i="5"/>
  <c r="G43" i="5" s="1"/>
  <c r="I22" i="5"/>
  <c r="F47" i="5"/>
  <c r="G47" i="5" s="1"/>
  <c r="I24" i="5"/>
  <c r="F49" i="5"/>
  <c r="G49" i="5" s="1"/>
  <c r="I23" i="5"/>
  <c r="F48" i="5"/>
  <c r="G48" i="5" s="1"/>
  <c r="I25" i="5"/>
  <c r="F50" i="5"/>
  <c r="G50" i="5" s="1"/>
  <c r="I20" i="5"/>
  <c r="F45" i="5"/>
  <c r="G45" i="5" s="1"/>
  <c r="I19" i="5"/>
  <c r="F44" i="5"/>
  <c r="G44" i="5" s="1"/>
  <c r="H26" i="5"/>
  <c r="I16" i="5"/>
  <c r="G51" i="5" l="1"/>
  <c r="H4" i="5" s="1"/>
  <c r="F51" i="5"/>
  <c r="I26" i="5"/>
  <c r="G4" i="5" l="1"/>
  <c r="H7" i="5"/>
  <c r="G7" i="5" l="1"/>
  <c r="H9" i="5"/>
  <c r="G9" i="5" l="1"/>
  <c r="H11" i="5"/>
  <c r="G11" i="5" l="1"/>
  <c r="I5" i="3"/>
  <c r="I6" i="3" s="1"/>
  <c r="I9" i="3" l="1"/>
  <c r="I17" i="3"/>
  <c r="I12" i="3" l="1"/>
  <c r="I14" i="3" s="1"/>
  <c r="I18" i="3"/>
  <c r="I15" i="3" l="1"/>
  <c r="I19" i="3"/>
</calcChain>
</file>

<file path=xl/comments1.xml><?xml version="1.0" encoding="utf-8"?>
<comments xmlns="http://schemas.openxmlformats.org/spreadsheetml/2006/main">
  <authors>
    <author>Vakili</author>
  </authors>
  <commentList>
    <comment ref="L6" authorId="0" shapeId="0">
      <text>
        <r>
          <rPr>
            <b/>
            <sz val="9"/>
            <color indexed="81"/>
            <rFont val="Tahoma"/>
            <family val="2"/>
          </rPr>
          <t>توضیحات عکس پایین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توضیحات عکس پایین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سود ناشی از عرضه اولیه پلی پروپیلن جم</t>
        </r>
      </text>
    </comment>
  </commentList>
</comments>
</file>

<file path=xl/sharedStrings.xml><?xml version="1.0" encoding="utf-8"?>
<sst xmlns="http://schemas.openxmlformats.org/spreadsheetml/2006/main" count="462" uniqueCount="183">
  <si>
    <t>مقدار تولید</t>
  </si>
  <si>
    <t>پلی اتیلن سنگین</t>
  </si>
  <si>
    <t>-</t>
  </si>
  <si>
    <t>اتیلن</t>
  </si>
  <si>
    <t>پروپیلن</t>
  </si>
  <si>
    <t>بنزین پیرولیز</t>
  </si>
  <si>
    <t>بوتادین</t>
  </si>
  <si>
    <t>پلی اتیلن سبک</t>
  </si>
  <si>
    <t>بوتن 1</t>
  </si>
  <si>
    <t>نفت کوره</t>
  </si>
  <si>
    <t>سایر</t>
  </si>
  <si>
    <t>مقدار فروش</t>
  </si>
  <si>
    <t>مبلغ فروش</t>
  </si>
  <si>
    <t>نرخ فروش</t>
  </si>
  <si>
    <t>جمع</t>
  </si>
  <si>
    <t>نام محصول</t>
  </si>
  <si>
    <t>کارشناسی 98</t>
  </si>
  <si>
    <t>ماه 1 منتهی به 1397/01</t>
  </si>
  <si>
    <t>ماه 2 منتهی به 1397/02</t>
  </si>
  <si>
    <t>ماه 3 منتهی به 1397/03</t>
  </si>
  <si>
    <t>ماه 4 منتهی به 1397/04</t>
  </si>
  <si>
    <t>ماه 5 منتهی به 1397/05</t>
  </si>
  <si>
    <t>ماه 6 منتهی به 1397/06</t>
  </si>
  <si>
    <t>ماه 7 منتهی به 1397/07</t>
  </si>
  <si>
    <t>ماه 8 منتهی به 1397/08</t>
  </si>
  <si>
    <t>ماه 9 منتهی به 1397/09</t>
  </si>
  <si>
    <t>ماه 10 منتهی به 1397/10</t>
  </si>
  <si>
    <t>ماه 11 منتهی به 1397/11</t>
  </si>
  <si>
    <t>ماه 12 منتهی به 1397/12</t>
  </si>
  <si>
    <t>ماه 1 منتهی به 1398/01</t>
  </si>
  <si>
    <t>ماه 2 منتهی به 1398/02</t>
  </si>
  <si>
    <t>ماه 3 منتهی به 1398/03</t>
  </si>
  <si>
    <t>ماه 4 منتهی به 1398/04</t>
  </si>
  <si>
    <t>ماه 5 منتهی به 1398/05</t>
  </si>
  <si>
    <t>دوره مالی</t>
  </si>
  <si>
    <t>فروش</t>
  </si>
  <si>
    <t>بهای تمام شده کالای فروش رفته</t>
  </si>
  <si>
    <t>سود (زیان) ناخالص</t>
  </si>
  <si>
    <t>هزینه های عمومی, اداری و تشکیلاتی</t>
  </si>
  <si>
    <t>سود (زیان) عملیاتی</t>
  </si>
  <si>
    <t>هزینه های مالی</t>
  </si>
  <si>
    <t>سود (زیان) خالص عملیات در حال تداوم قبل از مالیات</t>
  </si>
  <si>
    <t>مالیات</t>
  </si>
  <si>
    <t>سود (زیان) خالص</t>
  </si>
  <si>
    <t>سود هر سهم پس از کسر مالیات</t>
  </si>
  <si>
    <t>سرمایه</t>
  </si>
  <si>
    <t>حاشیه سود ناخالص</t>
  </si>
  <si>
    <t>حاشیه سود عملیاتی</t>
  </si>
  <si>
    <t>حاشیه سود خالص</t>
  </si>
  <si>
    <t>سه ماهه 98</t>
  </si>
  <si>
    <t>فصل اول منتهی به 1397/03</t>
  </si>
  <si>
    <t>فصل دوم منتهی به 1397/06</t>
  </si>
  <si>
    <t>فصل سوم منتهی به 1397/09</t>
  </si>
  <si>
    <t>فصل چهارم منتهی به 1397/12</t>
  </si>
  <si>
    <t>فصل اول منتهی به 1398/03</t>
  </si>
  <si>
    <t>دارایی</t>
  </si>
  <si>
    <t>موجودی نقد</t>
  </si>
  <si>
    <t>سرمایه گذاری کوتاه مدت</t>
  </si>
  <si>
    <t>حسابها و اسناد دریافتنی تجاری</t>
  </si>
  <si>
    <t>سایر حسابها و اسناد دریافتنی</t>
  </si>
  <si>
    <t>موجودی مواد و کالا</t>
  </si>
  <si>
    <t>پیش پرداخت ها</t>
  </si>
  <si>
    <t>دارایی های نگهداری شده برای فروش</t>
  </si>
  <si>
    <t>جمع داراییهای جاری</t>
  </si>
  <si>
    <t>حسابها و اسناد دریافتنی تجاری بلند مدت</t>
  </si>
  <si>
    <t>سرمایه گذاریهای بلند مدت</t>
  </si>
  <si>
    <t>سرمایه گذاری در املاک</t>
  </si>
  <si>
    <t>داراییهای ثابت مشهود</t>
  </si>
  <si>
    <t>داراییهای نامشهود</t>
  </si>
  <si>
    <t>پیش پرداخت های سرمایه ای</t>
  </si>
  <si>
    <t>سایر دارایی ها</t>
  </si>
  <si>
    <t>جمع داراییهای غیرجاری</t>
  </si>
  <si>
    <t>جمع داراییها</t>
  </si>
  <si>
    <t>بدهی</t>
  </si>
  <si>
    <t>حسابها و اسناد پرداختنی تجاری</t>
  </si>
  <si>
    <t>بدهی به شرکتهای گروه و وابسته</t>
  </si>
  <si>
    <t>سایر حسابها و اسناد پرداختنی</t>
  </si>
  <si>
    <t>پیش دریافتها</t>
  </si>
  <si>
    <t>ذخیره مالیات بر درامد</t>
  </si>
  <si>
    <t>سود سهام پیشنهادی و پرداختنی</t>
  </si>
  <si>
    <t>حصه جاری تسهیلات مالی دریافتی</t>
  </si>
  <si>
    <t>ذخایر</t>
  </si>
  <si>
    <t>بدهی های مرتبط با دارایی های غیر جاری نگهداری شده برای فروش</t>
  </si>
  <si>
    <t>جمع بدهیهای جاری</t>
  </si>
  <si>
    <t>حسابها و اسناد پرداختنی بلند مدت</t>
  </si>
  <si>
    <t>پیش دریافتهای غیرجاری</t>
  </si>
  <si>
    <t>تسهیلات مالی دریافتی بلند مدت</t>
  </si>
  <si>
    <t>ذخیره مزایای پایان خدمت</t>
  </si>
  <si>
    <t>جمع بدهیهای غیر جاری</t>
  </si>
  <si>
    <t>جمع بدهیهای جاری و غیر جاری</t>
  </si>
  <si>
    <t>بدهیها و حقوق صاحبان سهام</t>
  </si>
  <si>
    <t>صرف سهام</t>
  </si>
  <si>
    <t>وجوه دریافتی بابت افزایش سرمایه</t>
  </si>
  <si>
    <t>سهام خزانه</t>
  </si>
  <si>
    <t>اندوخته قانونی</t>
  </si>
  <si>
    <t>اندوخته طرح و توسعه</t>
  </si>
  <si>
    <t>مازاد تجدید ارزیابی دارایی های غیر جاری نگه داری شده برای فروش</t>
  </si>
  <si>
    <t>مازاد تجدید ارزیابی داراییها</t>
  </si>
  <si>
    <t>تفاوت تسعیر ناشی از تبدیل واحد پول گزارشگری</t>
  </si>
  <si>
    <t>اندوخته تسعیر ارز داراییها و بدهیهای شرکت های دولتی</t>
  </si>
  <si>
    <t>سود (زیان) انباشته</t>
  </si>
  <si>
    <t>جمع حقوق صاحبان سهام</t>
  </si>
  <si>
    <t>جمع بدهیها و حقوق صاحبان سهام</t>
  </si>
  <si>
    <t>ماه 6 منتهی به 1398/06</t>
  </si>
  <si>
    <t>6ماهه 97</t>
  </si>
  <si>
    <t>6ماهه 98</t>
  </si>
  <si>
    <t>تغییرات</t>
  </si>
  <si>
    <t>کارشناسی 6 ماه دوم</t>
  </si>
  <si>
    <t>بهای تمام شده</t>
  </si>
  <si>
    <t>مواد مستقیم مصرفی</t>
  </si>
  <si>
    <t>دستمزد مستقیم تولید</t>
  </si>
  <si>
    <t>سربار تولید</t>
  </si>
  <si>
    <t>هزینه جذب نشده در تولید</t>
  </si>
  <si>
    <t>بهای تمام شده کالای تولید شده</t>
  </si>
  <si>
    <t>c3+</t>
  </si>
  <si>
    <t>پروپان</t>
  </si>
  <si>
    <t>بوتان</t>
  </si>
  <si>
    <t>گاز مایع</t>
  </si>
  <si>
    <t>رافینیت</t>
  </si>
  <si>
    <t>برش پنتان</t>
  </si>
  <si>
    <t>آروماتیک سنگین</t>
  </si>
  <si>
    <t>برش سبک</t>
  </si>
  <si>
    <t>اتان</t>
  </si>
  <si>
    <t>مقدار مصرف طی دوره</t>
  </si>
  <si>
    <t>هزینه سربار</t>
  </si>
  <si>
    <t>هزینه حقوق و دستمزد</t>
  </si>
  <si>
    <t>هزینه استهلاک</t>
  </si>
  <si>
    <t>هزینه انرژی (آب، برق، گاز و سوخت)</t>
  </si>
  <si>
    <t>هزینه مواد مصرفی</t>
  </si>
  <si>
    <t>سایر هزینه ها</t>
  </si>
  <si>
    <t>مبلغ مصرف طی دوره</t>
  </si>
  <si>
    <t>نرخ مصرف طی دوره</t>
  </si>
  <si>
    <t>کارشناسی 9 ماه آتی</t>
  </si>
  <si>
    <t>تغییر در موجودی کالا</t>
  </si>
  <si>
    <t>ظرفیت اسمی</t>
  </si>
  <si>
    <t>سود ناشی از تسعیر دارائیها و بدهیهای ارزی عملیاتی</t>
  </si>
  <si>
    <t>هزینه های جذب نشده در تولید</t>
  </si>
  <si>
    <t>درآمد حاصل از بالاسری ارائه خدمات</t>
  </si>
  <si>
    <t>سه ماهه اول 98</t>
  </si>
  <si>
    <t>سایر درآمدها (هزینه ها) عملیاتی</t>
  </si>
  <si>
    <t>زیان ناشی از تسعیر ارز عملیاتی</t>
  </si>
  <si>
    <t xml:space="preserve">سود (زیان) ناشی از تسعیر دارائی ها و بدهی های ارزی غیر مرتبط با عملیات </t>
  </si>
  <si>
    <t>سود سپرده گذاری</t>
  </si>
  <si>
    <t>سود (زیان) ناشی از فروش دارائی ها</t>
  </si>
  <si>
    <t xml:space="preserve">سایر درآمدها و هزینه‌های غیرعملیاتی </t>
  </si>
  <si>
    <t>سود سرمایه گذاری ها</t>
  </si>
  <si>
    <t>پروپیلن جم</t>
  </si>
  <si>
    <t>پتروشیمیران</t>
  </si>
  <si>
    <t>توسعه انرژی پادکیش</t>
  </si>
  <si>
    <t>جم صنعتکاران</t>
  </si>
  <si>
    <t>خالص سایر درآمدها و هزینه های غیرعملیاتی</t>
  </si>
  <si>
    <t>خالص سایر درآمدها (هزینه ها) ی عملیاتی</t>
  </si>
  <si>
    <t>ضریب مصرف</t>
  </si>
  <si>
    <t>هزینه مالی</t>
  </si>
  <si>
    <t>3ماهه 98</t>
  </si>
  <si>
    <t>میلیون ریال</t>
  </si>
  <si>
    <t>درصد مالکیت</t>
  </si>
  <si>
    <t>درصد تقسیم سود</t>
  </si>
  <si>
    <t>نسبت فروش به تولید</t>
  </si>
  <si>
    <t xml:space="preserve"> اتیلن</t>
  </si>
  <si>
    <t xml:space="preserve">نسبت به </t>
  </si>
  <si>
    <t>میانگین</t>
  </si>
  <si>
    <t>نسبت محصولات به اتیلن</t>
  </si>
  <si>
    <t>نرخ دلاری اتان</t>
  </si>
  <si>
    <t>دلار</t>
  </si>
  <si>
    <t>یورو</t>
  </si>
  <si>
    <t xml:space="preserve">درهم </t>
  </si>
  <si>
    <t>ین</t>
  </si>
  <si>
    <t>خالص دارائی ها (بدهی) های ارزی در انتهای سال 97</t>
  </si>
  <si>
    <t>نرخ  ارز انتهای 97</t>
  </si>
  <si>
    <t>نرخ ارز انتهای 98</t>
  </si>
  <si>
    <t>سود تسعیر ارز</t>
  </si>
  <si>
    <t>مبلغ اختلاف حساب با پتروشیمی مهر که به دلیل اختلاف حساب حقوقی تسعیر نمیشود</t>
  </si>
  <si>
    <r>
      <t>خالص دارائی ها (بدهی) های ارزی</t>
    </r>
    <r>
      <rPr>
        <b/>
        <sz val="11"/>
        <color rgb="FFFF0000"/>
        <rFont val="B MITRA"/>
      </rPr>
      <t xml:space="preserve"> قابل تسعیر</t>
    </r>
    <r>
      <rPr>
        <sz val="11"/>
        <color rgb="FF333333"/>
        <rFont val="B MITRA"/>
      </rPr>
      <t xml:space="preserve"> در انتهای سال 97</t>
    </r>
  </si>
  <si>
    <t>ذخیره مطالبات مشکوک الوصول بابت فروش محصول به شرکت Unicorn</t>
  </si>
  <si>
    <t>مبلغ مطالبات از شرکت گشترش تجارت پارس با که به دلیل پیگیری های حقوقی این مبلغ تسعیر نشده است</t>
  </si>
  <si>
    <t>شرح</t>
  </si>
  <si>
    <t>برش c5</t>
  </si>
  <si>
    <t>نوری</t>
  </si>
  <si>
    <t>پنتان</t>
  </si>
  <si>
    <t>پارس</t>
  </si>
  <si>
    <t>میانگین سه ماهه اول</t>
  </si>
  <si>
    <t>میانگین سه ماهه دوم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</si>
</sst>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rgb="FF333333"/>
      <name val="Calibri"/>
    </font>
    <font>
      <sz val="11"/>
      <color rgb="FF333333"/>
      <name val="B MITRA"/>
    </font>
    <font>
      <sz val="12"/>
      <color rgb="FF333333"/>
      <name val="B MITRA"/>
    </font>
    <font>
      <sz val="12"/>
      <name val="B MITRA"/>
    </font>
    <font>
      <sz val="11"/>
      <color rgb="FF333333"/>
      <name val="Calibri"/>
      <family val="2"/>
    </font>
    <font>
      <b/>
      <sz val="12"/>
      <color rgb="FF333333"/>
      <name val="B MITRA"/>
    </font>
    <font>
      <b/>
      <sz val="11"/>
      <color rgb="FF333333"/>
      <name val="B MITRA"/>
    </font>
    <font>
      <b/>
      <sz val="14"/>
      <color rgb="FF333333"/>
      <name val="B MITRA"/>
    </font>
    <font>
      <sz val="11"/>
      <color rgb="FF00A9E8"/>
      <name val="B MITRA"/>
    </font>
    <font>
      <b/>
      <sz val="13"/>
      <color rgb="FF333333"/>
      <name val="B MITRA"/>
    </font>
    <font>
      <sz val="13"/>
      <color rgb="FF333333"/>
      <name val="B MITRA"/>
    </font>
    <font>
      <b/>
      <sz val="9"/>
      <color indexed="81"/>
      <name val="Tahoma"/>
      <family val="2"/>
    </font>
    <font>
      <b/>
      <sz val="16"/>
      <color rgb="FF333333"/>
      <name val="B MITRA"/>
    </font>
    <font>
      <b/>
      <sz val="11"/>
      <color rgb="FFFF0000"/>
      <name val="B MITRA"/>
    </font>
    <font>
      <sz val="9"/>
      <color indexed="81"/>
      <name val="Tahoma"/>
      <family val="2"/>
    </font>
    <font>
      <sz val="12.5"/>
      <color rgb="FF333333"/>
      <name val="B MITRA"/>
    </font>
    <font>
      <b/>
      <sz val="12.5"/>
      <color rgb="FF333333"/>
      <name val="B MITRA"/>
    </font>
  </fonts>
  <fills count="13">
    <fill>
      <patternFill patternType="none"/>
    </fill>
    <fill>
      <patternFill patternType="gray125"/>
    </fill>
    <fill>
      <patternFill patternType="solid">
        <fgColor rgb="FFECECEC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9EFF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rgb="FF333333"/>
      </bottom>
      <diagonal/>
    </border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74">
    <xf numFmtId="0" fontId="0" fillId="0" borderId="0" xfId="0"/>
    <xf numFmtId="3" fontId="1" fillId="2" borderId="0" xfId="0" applyNumberFormat="1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3" fontId="1" fillId="3" borderId="2" xfId="0" applyNumberFormat="1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/>
    </xf>
    <xf numFmtId="3" fontId="5" fillId="6" borderId="4" xfId="0" applyNumberFormat="1" applyFont="1" applyFill="1" applyBorder="1" applyAlignment="1">
      <alignment horizontal="center" vertical="center"/>
    </xf>
    <xf numFmtId="3" fontId="5" fillId="6" borderId="5" xfId="0" applyNumberFormat="1" applyFont="1" applyFill="1" applyBorder="1" applyAlignment="1">
      <alignment horizontal="center" vertical="center"/>
    </xf>
    <xf numFmtId="3" fontId="5" fillId="7" borderId="4" xfId="0" applyNumberFormat="1" applyFont="1" applyFill="1" applyBorder="1" applyAlignment="1">
      <alignment horizontal="center" vertical="center"/>
    </xf>
    <xf numFmtId="3" fontId="6" fillId="5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3" fontId="1" fillId="3" borderId="3" xfId="0" applyNumberFormat="1" applyFont="1" applyFill="1" applyBorder="1" applyAlignment="1">
      <alignment horizontal="center" vertical="center"/>
    </xf>
    <xf numFmtId="3" fontId="5" fillId="4" borderId="4" xfId="0" applyNumberFormat="1" applyFont="1" applyFill="1" applyBorder="1" applyAlignment="1">
      <alignment horizontal="center" vertical="center"/>
    </xf>
    <xf numFmtId="9" fontId="2" fillId="0" borderId="4" xfId="1" applyFont="1" applyBorder="1" applyAlignment="1">
      <alignment horizontal="center" vertical="center"/>
    </xf>
    <xf numFmtId="3" fontId="8" fillId="8" borderId="2" xfId="0" applyNumberFormat="1" applyFont="1" applyFill="1" applyBorder="1" applyAlignment="1">
      <alignment horizontal="center" vertical="center"/>
    </xf>
    <xf numFmtId="9" fontId="1" fillId="0" borderId="0" xfId="1" applyFont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5" fillId="9" borderId="4" xfId="0" applyNumberFormat="1" applyFont="1" applyFill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3" fontId="9" fillId="10" borderId="4" xfId="0" applyNumberFormat="1" applyFont="1" applyFill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3" fontId="6" fillId="11" borderId="4" xfId="0" applyNumberFormat="1" applyFont="1" applyFill="1" applyBorder="1" applyAlignment="1">
      <alignment horizontal="center" vertical="center" wrapText="1"/>
    </xf>
    <xf numFmtId="3" fontId="6" fillId="11" borderId="4" xfId="0" applyNumberFormat="1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/>
    </xf>
    <xf numFmtId="3" fontId="5" fillId="11" borderId="4" xfId="0" applyNumberFormat="1" applyFont="1" applyFill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9" fillId="10" borderId="6" xfId="0" applyNumberFormat="1" applyFont="1" applyFill="1" applyBorder="1" applyAlignment="1">
      <alignment horizontal="center" vertical="center"/>
    </xf>
    <xf numFmtId="3" fontId="5" fillId="9" borderId="7" xfId="0" applyNumberFormat="1" applyFont="1" applyFill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9" fontId="2" fillId="0" borderId="7" xfId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9" fontId="1" fillId="0" borderId="4" xfId="1" applyFont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 wrapText="1"/>
    </xf>
    <xf numFmtId="3" fontId="1" fillId="4" borderId="2" xfId="0" applyNumberFormat="1" applyFont="1" applyFill="1" applyBorder="1" applyAlignment="1">
      <alignment horizontal="center" vertical="center"/>
    </xf>
    <xf numFmtId="3" fontId="1" fillId="4" borderId="3" xfId="0" applyNumberFormat="1" applyFont="1" applyFill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6" fillId="5" borderId="6" xfId="0" applyNumberFormat="1" applyFont="1" applyFill="1" applyBorder="1" applyAlignment="1">
      <alignment horizontal="center" vertical="center"/>
    </xf>
    <xf numFmtId="9" fontId="5" fillId="0" borderId="2" xfId="1" applyFont="1" applyBorder="1" applyAlignment="1">
      <alignment horizontal="center" vertical="center"/>
    </xf>
    <xf numFmtId="3" fontId="5" fillId="4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right" vertical="center" readingOrder="1"/>
    </xf>
    <xf numFmtId="3" fontId="6" fillId="5" borderId="5" xfId="0" applyNumberFormat="1" applyFont="1" applyFill="1" applyBorder="1" applyAlignment="1">
      <alignment horizontal="center" vertical="center"/>
    </xf>
    <xf numFmtId="3" fontId="10" fillId="12" borderId="4" xfId="0" applyNumberFormat="1" applyFont="1" applyFill="1" applyBorder="1" applyAlignment="1">
      <alignment horizontal="center" vertical="center"/>
    </xf>
    <xf numFmtId="3" fontId="2" fillId="12" borderId="4" xfId="0" applyNumberFormat="1" applyFont="1" applyFill="1" applyBorder="1" applyAlignment="1">
      <alignment horizontal="center" vertical="center"/>
    </xf>
    <xf numFmtId="3" fontId="1" fillId="4" borderId="4" xfId="0" applyNumberFormat="1" applyFont="1" applyFill="1" applyBorder="1" applyAlignment="1">
      <alignment horizontal="center" vertical="center" wrapText="1"/>
    </xf>
    <xf numFmtId="3" fontId="1" fillId="4" borderId="4" xfId="0" applyNumberFormat="1" applyFont="1" applyFill="1" applyBorder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4" borderId="6" xfId="0" applyNumberFormat="1" applyFont="1" applyFill="1" applyBorder="1" applyAlignment="1">
      <alignment horizontal="center" vertical="center"/>
    </xf>
    <xf numFmtId="3" fontId="7" fillId="4" borderId="8" xfId="0" applyNumberFormat="1" applyFont="1" applyFill="1" applyBorder="1" applyAlignment="1">
      <alignment horizontal="center" vertical="center"/>
    </xf>
    <xf numFmtId="3" fontId="7" fillId="4" borderId="7" xfId="0" applyNumberFormat="1" applyFont="1" applyFill="1" applyBorder="1" applyAlignment="1">
      <alignment horizontal="center" vertical="center"/>
    </xf>
    <xf numFmtId="3" fontId="7" fillId="4" borderId="4" xfId="0" applyNumberFormat="1" applyFont="1" applyFill="1" applyBorder="1" applyAlignment="1">
      <alignment horizontal="center" vertical="center"/>
    </xf>
    <xf numFmtId="3" fontId="12" fillId="4" borderId="4" xfId="0" applyNumberFormat="1" applyFont="1" applyFill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/>
    </xf>
    <xf numFmtId="3" fontId="15" fillId="0" borderId="4" xfId="0" applyNumberFormat="1" applyFont="1" applyBorder="1" applyAlignment="1">
      <alignment horizontal="center" vertical="center" wrapText="1"/>
    </xf>
    <xf numFmtId="3" fontId="15" fillId="12" borderId="4" xfId="0" applyNumberFormat="1" applyFont="1" applyFill="1" applyBorder="1" applyAlignment="1">
      <alignment horizontal="center" vertical="center" wrapText="1"/>
    </xf>
    <xf numFmtId="3" fontId="15" fillId="12" borderId="4" xfId="0" applyNumberFormat="1" applyFont="1" applyFill="1" applyBorder="1" applyAlignment="1">
      <alignment horizontal="center" vertical="center"/>
    </xf>
    <xf numFmtId="3" fontId="16" fillId="0" borderId="4" xfId="0" applyNumberFormat="1" applyFont="1" applyBorder="1" applyAlignment="1">
      <alignment horizontal="center" vertical="center"/>
    </xf>
    <xf numFmtId="9" fontId="4" fillId="0" borderId="0" xfId="1" applyFont="1" applyAlignment="1">
      <alignment horizontal="right" vertical="center" readingOrder="1"/>
    </xf>
    <xf numFmtId="9" fontId="2" fillId="0" borderId="0" xfId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99CCFF"/>
      <color rgb="FF3399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147</xdr:row>
      <xdr:rowOff>28575</xdr:rowOff>
    </xdr:from>
    <xdr:to>
      <xdr:col>9</xdr:col>
      <xdr:colOff>377412</xdr:colOff>
      <xdr:row>170</xdr:row>
      <xdr:rowOff>133351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335" b="4322"/>
        <a:stretch/>
      </xdr:blipFill>
      <xdr:spPr>
        <a:xfrm>
          <a:off x="9981365388" y="29251275"/>
          <a:ext cx="10311987" cy="4486276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126</xdr:row>
      <xdr:rowOff>85725</xdr:rowOff>
    </xdr:from>
    <xdr:to>
      <xdr:col>8</xdr:col>
      <xdr:colOff>554833</xdr:colOff>
      <xdr:row>144</xdr:row>
      <xdr:rowOff>38101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052" t="45894" r="30066" b="14656"/>
        <a:stretch/>
      </xdr:blipFill>
      <xdr:spPr>
        <a:xfrm>
          <a:off x="9982466699" y="25307925"/>
          <a:ext cx="8210551" cy="3381376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511969</xdr:colOff>
      <xdr:row>91</xdr:row>
      <xdr:rowOff>88447</xdr:rowOff>
    </xdr:from>
    <xdr:to>
      <xdr:col>8</xdr:col>
      <xdr:colOff>950120</xdr:colOff>
      <xdr:row>122</xdr:row>
      <xdr:rowOff>143271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7678" t="34003" r="30378" b="15879"/>
        <a:stretch/>
      </xdr:blipFill>
      <xdr:spPr>
        <a:xfrm>
          <a:off x="9943661849" y="24996322"/>
          <a:ext cx="10975182" cy="5960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1199020</xdr:colOff>
      <xdr:row>51</xdr:row>
      <xdr:rowOff>137584</xdr:rowOff>
    </xdr:from>
    <xdr:to>
      <xdr:col>16</xdr:col>
      <xdr:colOff>61385</xdr:colOff>
      <xdr:row>72</xdr:row>
      <xdr:rowOff>122768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680" t="21559" r="13939" b="22212"/>
        <a:stretch/>
      </xdr:blipFill>
      <xdr:spPr>
        <a:xfrm>
          <a:off x="10047162615" y="12583584"/>
          <a:ext cx="8260365" cy="5393267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2190751</xdr:colOff>
      <xdr:row>99</xdr:row>
      <xdr:rowOff>201081</xdr:rowOff>
    </xdr:from>
    <xdr:to>
      <xdr:col>8</xdr:col>
      <xdr:colOff>857249</xdr:colOff>
      <xdr:row>129</xdr:row>
      <xdr:rowOff>10582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70" t="23582" r="32990" b="4557"/>
        <a:stretch/>
      </xdr:blipFill>
      <xdr:spPr>
        <a:xfrm>
          <a:off x="10054357168" y="25177748"/>
          <a:ext cx="8868831" cy="6159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338667</xdr:colOff>
      <xdr:row>13</xdr:row>
      <xdr:rowOff>232834</xdr:rowOff>
    </xdr:from>
    <xdr:to>
      <xdr:col>17</xdr:col>
      <xdr:colOff>603252</xdr:colOff>
      <xdr:row>39</xdr:row>
      <xdr:rowOff>23122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864" t="19225" r="31317" b="20879"/>
        <a:stretch/>
      </xdr:blipFill>
      <xdr:spPr>
        <a:xfrm>
          <a:off x="10046006915" y="5884334"/>
          <a:ext cx="9091085" cy="5537038"/>
        </a:xfrm>
        <a:prstGeom prst="rect">
          <a:avLst/>
        </a:prstGeom>
      </xdr:spPr>
    </xdr:pic>
    <xdr:clientData/>
  </xdr:twoCellAnchor>
  <xdr:twoCellAnchor editAs="oneCell">
    <xdr:from>
      <xdr:col>9</xdr:col>
      <xdr:colOff>105832</xdr:colOff>
      <xdr:row>59</xdr:row>
      <xdr:rowOff>42337</xdr:rowOff>
    </xdr:from>
    <xdr:to>
      <xdr:col>16</xdr:col>
      <xdr:colOff>1164165</xdr:colOff>
      <xdr:row>81</xdr:row>
      <xdr:rowOff>88297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572" t="47413" r="31532" b="13940"/>
        <a:stretch/>
      </xdr:blipFill>
      <xdr:spPr>
        <a:xfrm>
          <a:off x="10046631335" y="15038920"/>
          <a:ext cx="9927166" cy="4004127"/>
        </a:xfrm>
        <a:prstGeom prst="rect">
          <a:avLst/>
        </a:prstGeom>
      </xdr:spPr>
    </xdr:pic>
    <xdr:clientData/>
  </xdr:twoCellAnchor>
  <xdr:twoCellAnchor editAs="oneCell">
    <xdr:from>
      <xdr:col>6</xdr:col>
      <xdr:colOff>941917</xdr:colOff>
      <xdr:row>41</xdr:row>
      <xdr:rowOff>21165</xdr:rowOff>
    </xdr:from>
    <xdr:to>
      <xdr:col>20</xdr:col>
      <xdr:colOff>407904</xdr:colOff>
      <xdr:row>56</xdr:row>
      <xdr:rowOff>63499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34" t="60254" r="31879" b="20854"/>
        <a:stretch/>
      </xdr:blipFill>
      <xdr:spPr>
        <a:xfrm>
          <a:off x="10044360763" y="11779248"/>
          <a:ext cx="13848737" cy="2741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88"/>
  <sheetViews>
    <sheetView rightToLeft="1" tabSelected="1" zoomScale="90" zoomScaleNormal="90" workbookViewId="0">
      <selection activeCell="G4" sqref="G4"/>
    </sheetView>
  </sheetViews>
  <sheetFormatPr defaultRowHeight="15"/>
  <cols>
    <col min="1" max="1" width="16.28515625" style="8" customWidth="1"/>
    <col min="2" max="2" width="22.85546875" style="8" customWidth="1"/>
    <col min="3" max="7" width="20" style="8" customWidth="1"/>
    <col min="8" max="8" width="19" style="8" customWidth="1"/>
    <col min="9" max="9" width="19.140625" style="8" customWidth="1"/>
    <col min="10" max="10" width="11" style="8" bestFit="1" customWidth="1"/>
    <col min="12" max="16384" width="9.140625" style="8"/>
  </cols>
  <sheetData>
    <row r="2" spans="2:9" ht="19.5" customHeight="1">
      <c r="B2" s="14" t="s">
        <v>15</v>
      </c>
      <c r="C2" s="18" t="s">
        <v>134</v>
      </c>
    </row>
    <row r="3" spans="2:9" ht="20.25" customHeight="1">
      <c r="B3" s="14" t="s">
        <v>1</v>
      </c>
      <c r="C3" s="9">
        <v>300000</v>
      </c>
    </row>
    <row r="4" spans="2:9" ht="20.25" customHeight="1">
      <c r="B4" s="14" t="s">
        <v>3</v>
      </c>
      <c r="C4" s="9">
        <v>1320000</v>
      </c>
    </row>
    <row r="5" spans="2:9" ht="20.25" customHeight="1">
      <c r="B5" s="14" t="s">
        <v>4</v>
      </c>
      <c r="C5" s="9">
        <v>305000</v>
      </c>
    </row>
    <row r="6" spans="2:9" ht="20.25" customHeight="1">
      <c r="B6" s="14" t="s">
        <v>5</v>
      </c>
      <c r="C6" s="9">
        <v>216000</v>
      </c>
    </row>
    <row r="7" spans="2:9" ht="20.25" customHeight="1">
      <c r="B7" s="14" t="s">
        <v>6</v>
      </c>
      <c r="C7" s="9">
        <v>115000</v>
      </c>
    </row>
    <row r="8" spans="2:9" ht="20.25" customHeight="1">
      <c r="B8" s="14" t="s">
        <v>7</v>
      </c>
      <c r="C8" s="9">
        <v>300000</v>
      </c>
    </row>
    <row r="9" spans="2:9" ht="20.25" customHeight="1">
      <c r="B9" s="14" t="s">
        <v>8</v>
      </c>
      <c r="C9" s="9">
        <v>100000</v>
      </c>
    </row>
    <row r="10" spans="2:9" ht="20.25" customHeight="1">
      <c r="B10" s="14" t="s">
        <v>9</v>
      </c>
      <c r="C10" s="9">
        <v>40000</v>
      </c>
    </row>
    <row r="11" spans="2:9" ht="20.25" customHeight="1">
      <c r="B11" s="14" t="s">
        <v>14</v>
      </c>
      <c r="C11" s="10">
        <f>SUM(C3:C10)</f>
        <v>2696000</v>
      </c>
    </row>
    <row r="13" spans="2:9" ht="35.25" customHeight="1">
      <c r="B13" s="65" t="s">
        <v>0</v>
      </c>
      <c r="C13" s="65"/>
      <c r="D13" s="65"/>
      <c r="E13" s="65"/>
      <c r="F13" s="65"/>
      <c r="G13" s="65"/>
      <c r="H13" s="65"/>
      <c r="I13" s="65"/>
    </row>
    <row r="14" spans="2:9" ht="29.25" customHeight="1">
      <c r="B14" s="54" t="s">
        <v>15</v>
      </c>
      <c r="C14" s="12">
        <v>93</v>
      </c>
      <c r="D14" s="12">
        <v>94</v>
      </c>
      <c r="E14" s="12">
        <v>95</v>
      </c>
      <c r="F14" s="12">
        <v>96</v>
      </c>
      <c r="G14" s="12">
        <v>97</v>
      </c>
      <c r="H14" s="12" t="s">
        <v>49</v>
      </c>
      <c r="I14" s="12" t="s">
        <v>16</v>
      </c>
    </row>
    <row r="15" spans="2:9" ht="21.75" customHeight="1">
      <c r="B15" s="14" t="s">
        <v>1</v>
      </c>
      <c r="C15" s="9">
        <v>270932</v>
      </c>
      <c r="D15" s="9">
        <v>275186</v>
      </c>
      <c r="E15" s="9">
        <v>275667</v>
      </c>
      <c r="F15" s="9">
        <v>282944</v>
      </c>
      <c r="G15" s="9">
        <v>287952</v>
      </c>
      <c r="H15" s="9">
        <v>72212</v>
      </c>
      <c r="I15" s="9">
        <f>ماهانه!Y7</f>
        <v>296549.52675219061</v>
      </c>
    </row>
    <row r="16" spans="2:9" ht="21.75" customHeight="1">
      <c r="B16" s="14" t="s">
        <v>3</v>
      </c>
      <c r="C16" s="9">
        <v>912553</v>
      </c>
      <c r="D16" s="9">
        <v>1071998</v>
      </c>
      <c r="E16" s="9">
        <v>1123752</v>
      </c>
      <c r="F16" s="9">
        <v>1144587</v>
      </c>
      <c r="G16" s="9">
        <v>1031465</v>
      </c>
      <c r="H16" s="9">
        <v>296996</v>
      </c>
      <c r="I16" s="9">
        <f>ماهانه!Y5</f>
        <v>1168628</v>
      </c>
    </row>
    <row r="17" spans="1:9" ht="21.75" customHeight="1">
      <c r="B17" s="14" t="s">
        <v>4</v>
      </c>
      <c r="C17" s="9">
        <v>220956</v>
      </c>
      <c r="D17" s="9">
        <v>244108</v>
      </c>
      <c r="E17" s="9">
        <v>272642</v>
      </c>
      <c r="F17" s="9">
        <v>274127</v>
      </c>
      <c r="G17" s="9">
        <v>235983</v>
      </c>
      <c r="H17" s="9">
        <v>66535</v>
      </c>
      <c r="I17" s="9">
        <f>ماهانه!Y8</f>
        <v>271959.43374041689</v>
      </c>
    </row>
    <row r="18" spans="1:9" ht="21.75" customHeight="1">
      <c r="B18" s="14" t="s">
        <v>5</v>
      </c>
      <c r="C18" s="9">
        <v>231607</v>
      </c>
      <c r="D18" s="9">
        <v>252685</v>
      </c>
      <c r="E18" s="9">
        <v>294417</v>
      </c>
      <c r="F18" s="9">
        <v>297118</v>
      </c>
      <c r="G18" s="9">
        <v>227812</v>
      </c>
      <c r="H18" s="9">
        <v>66431</v>
      </c>
      <c r="I18" s="9">
        <f>ماهانه!Y9</f>
        <v>276099.90265607589</v>
      </c>
    </row>
    <row r="19" spans="1:9" ht="21.75" customHeight="1">
      <c r="B19" s="14" t="s">
        <v>6</v>
      </c>
      <c r="C19" s="9">
        <v>81407</v>
      </c>
      <c r="D19" s="9">
        <v>81209</v>
      </c>
      <c r="E19" s="9">
        <v>87962</v>
      </c>
      <c r="F19" s="9">
        <v>82166</v>
      </c>
      <c r="G19" s="9">
        <v>67636</v>
      </c>
      <c r="H19" s="9">
        <v>22509</v>
      </c>
      <c r="I19" s="9">
        <f>ماهانه!Y10</f>
        <v>86051.483836929008</v>
      </c>
    </row>
    <row r="20" spans="1:9" ht="21.75" customHeight="1">
      <c r="B20" s="14" t="s">
        <v>7</v>
      </c>
      <c r="C20" s="9">
        <v>271932</v>
      </c>
      <c r="D20" s="9">
        <v>320108</v>
      </c>
      <c r="E20" s="9">
        <v>306864</v>
      </c>
      <c r="F20" s="9">
        <v>315372</v>
      </c>
      <c r="G20" s="9">
        <v>284638</v>
      </c>
      <c r="H20" s="9">
        <v>80939</v>
      </c>
      <c r="I20" s="9">
        <f>ماهانه!Y6</f>
        <v>329081.55824344646</v>
      </c>
    </row>
    <row r="21" spans="1:9" ht="21.75" customHeight="1">
      <c r="B21" s="14" t="s">
        <v>8</v>
      </c>
      <c r="C21" s="9">
        <v>27066</v>
      </c>
      <c r="D21" s="9">
        <v>18968</v>
      </c>
      <c r="E21" s="9">
        <v>23771</v>
      </c>
      <c r="F21" s="9">
        <v>18793</v>
      </c>
      <c r="G21" s="9">
        <v>15752</v>
      </c>
      <c r="H21" s="9">
        <v>4404</v>
      </c>
      <c r="I21" s="9">
        <f>ماهانه!Y11</f>
        <v>19853.878035212903</v>
      </c>
    </row>
    <row r="22" spans="1:9" ht="21.75" customHeight="1">
      <c r="B22" s="14" t="s">
        <v>9</v>
      </c>
      <c r="C22" s="9">
        <v>15617</v>
      </c>
      <c r="D22" s="9">
        <v>16930</v>
      </c>
      <c r="E22" s="9">
        <v>19095</v>
      </c>
      <c r="F22" s="9">
        <v>19778</v>
      </c>
      <c r="G22" s="9">
        <v>17677</v>
      </c>
      <c r="H22" s="9">
        <v>4332</v>
      </c>
      <c r="I22" s="9">
        <f>ماهانه!Y13</f>
        <v>18908.643083983596</v>
      </c>
    </row>
    <row r="23" spans="1:9" ht="21.75" customHeight="1">
      <c r="B23" s="14" t="s">
        <v>10</v>
      </c>
      <c r="C23" s="9" t="s">
        <v>2</v>
      </c>
      <c r="D23" s="9">
        <v>0</v>
      </c>
      <c r="E23" s="9">
        <v>0</v>
      </c>
      <c r="F23" s="9">
        <v>758</v>
      </c>
      <c r="G23" s="9">
        <v>281</v>
      </c>
      <c r="H23" s="9">
        <v>43</v>
      </c>
      <c r="I23" s="9">
        <f>ماهانه!Y12</f>
        <v>278</v>
      </c>
    </row>
    <row r="24" spans="1:9" s="15" customFormat="1" ht="21.75" customHeight="1">
      <c r="B24" s="14" t="s">
        <v>14</v>
      </c>
      <c r="C24" s="10">
        <v>2032070</v>
      </c>
      <c r="D24" s="10">
        <v>2281192</v>
      </c>
      <c r="E24" s="10">
        <v>2404170</v>
      </c>
      <c r="F24" s="10">
        <f>SUM(F15:F23)</f>
        <v>2435643</v>
      </c>
      <c r="G24" s="10">
        <f>SUM(G15:G23)</f>
        <v>2169196</v>
      </c>
      <c r="H24" s="10">
        <f>SUM(H15:H23)</f>
        <v>614401</v>
      </c>
      <c r="I24" s="10">
        <f>SUM(I15:I23)</f>
        <v>2467410.4263482555</v>
      </c>
    </row>
    <row r="25" spans="1:9" s="49" customFormat="1" ht="21.75" customHeight="1"/>
    <row r="26" spans="1:9" s="49" customFormat="1" ht="21.75" customHeight="1">
      <c r="A26" s="49" t="s">
        <v>160</v>
      </c>
      <c r="B26" s="52" t="s">
        <v>162</v>
      </c>
      <c r="I26" s="49" t="s">
        <v>161</v>
      </c>
    </row>
    <row r="27" spans="1:9" s="49" customFormat="1" ht="21.75" customHeight="1">
      <c r="A27" s="49" t="s">
        <v>159</v>
      </c>
      <c r="B27" s="14" t="s">
        <v>1</v>
      </c>
      <c r="C27" s="51">
        <f>C15/$C$16</f>
        <v>0.29689453653650799</v>
      </c>
      <c r="D27" s="51">
        <f>D15/$D$16</f>
        <v>0.2567038371340245</v>
      </c>
      <c r="E27" s="51">
        <f>E15/$E$16</f>
        <v>0.24530946329795186</v>
      </c>
      <c r="F27" s="51">
        <f>F15/$F$16</f>
        <v>0.247201829131381</v>
      </c>
      <c r="G27" s="51">
        <f>G15/$G$16</f>
        <v>0.27916797952426886</v>
      </c>
      <c r="H27" s="51">
        <f t="shared" ref="H27:H35" si="0">H15/$H$16</f>
        <v>0.24314132176864334</v>
      </c>
      <c r="I27" s="51">
        <f t="shared" ref="I27:I34" si="1">AVERAGE(C27:H27)</f>
        <v>0.26140316123212964</v>
      </c>
    </row>
    <row r="28" spans="1:9" s="49" customFormat="1" ht="21.75" customHeight="1">
      <c r="B28" s="14" t="s">
        <v>3</v>
      </c>
      <c r="C28" s="51">
        <f t="shared" ref="C28:C34" si="2">C16/$C$16</f>
        <v>1</v>
      </c>
      <c r="D28" s="51">
        <f t="shared" ref="D28:D35" si="3">D16/$D$16</f>
        <v>1</v>
      </c>
      <c r="E28" s="51">
        <f t="shared" ref="E28:E35" si="4">E16/$E$16</f>
        <v>1</v>
      </c>
      <c r="F28" s="51">
        <f t="shared" ref="F28:F35" si="5">F16/$F$16</f>
        <v>1</v>
      </c>
      <c r="G28" s="51">
        <f t="shared" ref="G28:G35" si="6">G16/$G$16</f>
        <v>1</v>
      </c>
      <c r="H28" s="51">
        <f t="shared" si="0"/>
        <v>1</v>
      </c>
      <c r="I28" s="51">
        <f t="shared" si="1"/>
        <v>1</v>
      </c>
    </row>
    <row r="29" spans="1:9" s="49" customFormat="1" ht="21.75" customHeight="1">
      <c r="B29" s="14" t="s">
        <v>4</v>
      </c>
      <c r="C29" s="51">
        <f t="shared" si="2"/>
        <v>0.24212949823188351</v>
      </c>
      <c r="D29" s="51">
        <f t="shared" si="3"/>
        <v>0.22771311140505859</v>
      </c>
      <c r="E29" s="51">
        <f t="shared" si="4"/>
        <v>0.24261758822231239</v>
      </c>
      <c r="F29" s="51">
        <f t="shared" si="5"/>
        <v>0.23949861391051969</v>
      </c>
      <c r="G29" s="51">
        <f t="shared" si="6"/>
        <v>0.22878430193947444</v>
      </c>
      <c r="H29" s="51">
        <f t="shared" si="0"/>
        <v>0.22402658621664939</v>
      </c>
      <c r="I29" s="51">
        <f t="shared" si="1"/>
        <v>0.23412828332098301</v>
      </c>
    </row>
    <row r="30" spans="1:9" s="49" customFormat="1" ht="21.75" customHeight="1">
      <c r="B30" s="14" t="s">
        <v>5</v>
      </c>
      <c r="C30" s="51">
        <f t="shared" si="2"/>
        <v>0.25380114908394363</v>
      </c>
      <c r="D30" s="51">
        <f t="shared" si="3"/>
        <v>0.23571405916802082</v>
      </c>
      <c r="E30" s="51">
        <f t="shared" si="4"/>
        <v>0.2619946393866262</v>
      </c>
      <c r="F30" s="51">
        <f t="shared" si="5"/>
        <v>0.25958533514708798</v>
      </c>
      <c r="G30" s="51">
        <f t="shared" si="6"/>
        <v>0.22086255956333953</v>
      </c>
      <c r="H30" s="51">
        <f t="shared" si="0"/>
        <v>0.22367641315034545</v>
      </c>
      <c r="I30" s="51">
        <f t="shared" si="1"/>
        <v>0.24260569258322728</v>
      </c>
    </row>
    <row r="31" spans="1:9" s="49" customFormat="1" ht="21.75" customHeight="1">
      <c r="B31" s="14" t="s">
        <v>6</v>
      </c>
      <c r="C31" s="51">
        <f>C19/$C$16</f>
        <v>8.920796929055079E-2</v>
      </c>
      <c r="D31" s="51">
        <f t="shared" si="3"/>
        <v>7.5754805512696852E-2</v>
      </c>
      <c r="E31" s="51">
        <f t="shared" si="4"/>
        <v>7.8275277819305322E-2</v>
      </c>
      <c r="F31" s="51">
        <f t="shared" si="5"/>
        <v>7.1786592019654247E-2</v>
      </c>
      <c r="G31" s="51">
        <f t="shared" si="6"/>
        <v>6.5572753316884239E-2</v>
      </c>
      <c r="H31" s="51">
        <f t="shared" si="0"/>
        <v>7.5788899513798164E-2</v>
      </c>
      <c r="I31" s="51">
        <f t="shared" si="1"/>
        <v>7.6064382912148273E-2</v>
      </c>
    </row>
    <row r="32" spans="1:9" s="49" customFormat="1" ht="21.75" customHeight="1">
      <c r="A32" s="49" t="s">
        <v>3</v>
      </c>
      <c r="B32" s="14" t="s">
        <v>7</v>
      </c>
      <c r="C32" s="51">
        <f t="shared" si="2"/>
        <v>0.29799036329944673</v>
      </c>
      <c r="D32" s="51">
        <f t="shared" si="3"/>
        <v>0.29860876606113074</v>
      </c>
      <c r="E32" s="51">
        <f t="shared" si="4"/>
        <v>0.27307092668133182</v>
      </c>
      <c r="F32" s="51">
        <f t="shared" si="5"/>
        <v>0.2755334456882701</v>
      </c>
      <c r="G32" s="51">
        <f t="shared" si="6"/>
        <v>0.2759550736088961</v>
      </c>
      <c r="H32" s="51">
        <f t="shared" si="0"/>
        <v>0.27252555589974276</v>
      </c>
      <c r="I32" s="51">
        <f t="shared" si="1"/>
        <v>0.28228068853980304</v>
      </c>
    </row>
    <row r="33" spans="2:10" s="49" customFormat="1" ht="21.75" customHeight="1">
      <c r="B33" s="14" t="s">
        <v>8</v>
      </c>
      <c r="C33" s="51">
        <f t="shared" si="2"/>
        <v>2.9659647165698869E-2</v>
      </c>
      <c r="D33" s="51">
        <f t="shared" si="3"/>
        <v>1.7694062862057578E-2</v>
      </c>
      <c r="E33" s="51">
        <f t="shared" si="4"/>
        <v>2.1153243776206851E-2</v>
      </c>
      <c r="F33" s="51">
        <f t="shared" si="5"/>
        <v>1.6419022756679922E-2</v>
      </c>
      <c r="G33" s="51">
        <f t="shared" si="6"/>
        <v>1.5271482793890243E-2</v>
      </c>
      <c r="H33" s="51">
        <f t="shared" si="0"/>
        <v>1.4828482538485366E-2</v>
      </c>
      <c r="I33" s="51">
        <f t="shared" si="1"/>
        <v>1.917099031550314E-2</v>
      </c>
    </row>
    <row r="34" spans="2:10" s="49" customFormat="1" ht="21.75" customHeight="1">
      <c r="B34" s="14" t="s">
        <v>9</v>
      </c>
      <c r="C34" s="51">
        <f t="shared" si="2"/>
        <v>1.7113526556813686E-2</v>
      </c>
      <c r="D34" s="51">
        <f t="shared" si="3"/>
        <v>1.5792939912201327E-2</v>
      </c>
      <c r="E34" s="51">
        <f t="shared" si="4"/>
        <v>1.6992183328705977E-2</v>
      </c>
      <c r="F34" s="51">
        <f t="shared" si="5"/>
        <v>1.7279595172756637E-2</v>
      </c>
      <c r="G34" s="51">
        <f t="shared" si="6"/>
        <v>1.7137760369959232E-2</v>
      </c>
      <c r="H34" s="51">
        <f t="shared" si="0"/>
        <v>1.4586055031044189E-2</v>
      </c>
      <c r="I34" s="51">
        <f t="shared" si="1"/>
        <v>1.6483676728580175E-2</v>
      </c>
    </row>
    <row r="35" spans="2:10" s="49" customFormat="1" ht="21.75" customHeight="1">
      <c r="B35" s="14" t="s">
        <v>10</v>
      </c>
      <c r="C35" s="51"/>
      <c r="D35" s="51">
        <f t="shared" si="3"/>
        <v>0</v>
      </c>
      <c r="E35" s="51">
        <f t="shared" si="4"/>
        <v>0</v>
      </c>
      <c r="F35" s="51">
        <f t="shared" si="5"/>
        <v>6.6224760546817324E-4</v>
      </c>
      <c r="G35" s="51">
        <f t="shared" si="6"/>
        <v>2.7242805136383686E-4</v>
      </c>
      <c r="H35" s="51">
        <f t="shared" si="0"/>
        <v>1.4478309472181443E-4</v>
      </c>
      <c r="I35" s="51">
        <f t="shared" ref="I35" si="7">AVERAGE(C35:H35)</f>
        <v>2.1589175031076492E-4</v>
      </c>
    </row>
    <row r="36" spans="2:10" s="49" customFormat="1" ht="21.75" customHeight="1">
      <c r="I36" s="51"/>
    </row>
    <row r="37" spans="2:10" s="49" customFormat="1" ht="21.75" customHeight="1"/>
    <row r="38" spans="2:10" s="49" customFormat="1" ht="21.75" customHeight="1"/>
    <row r="39" spans="2:10" s="49" customFormat="1" ht="21.75" customHeight="1">
      <c r="B39" s="52" t="s">
        <v>158</v>
      </c>
    </row>
    <row r="40" spans="2:10" s="49" customFormat="1" ht="21.75" customHeight="1">
      <c r="B40" s="14" t="s">
        <v>1</v>
      </c>
      <c r="C40" s="51"/>
      <c r="D40" s="51"/>
      <c r="E40" s="51"/>
      <c r="F40" s="51"/>
      <c r="G40" s="51"/>
      <c r="H40" s="51"/>
      <c r="I40" s="51">
        <v>1</v>
      </c>
    </row>
    <row r="41" spans="2:10" s="49" customFormat="1" ht="21.75" customHeight="1">
      <c r="B41" s="14" t="s">
        <v>3</v>
      </c>
      <c r="C41" s="51">
        <f t="shared" ref="C41:G44" si="8">C53/C16</f>
        <v>0.4028785177408874</v>
      </c>
      <c r="D41" s="51">
        <f t="shared" si="8"/>
        <v>0.45608667180349216</v>
      </c>
      <c r="E41" s="51">
        <f t="shared" si="8"/>
        <v>0.46079473050993458</v>
      </c>
      <c r="F41" s="51">
        <f t="shared" si="8"/>
        <v>0.49000119693828431</v>
      </c>
      <c r="G41" s="51">
        <f t="shared" si="8"/>
        <v>0.42108166539824426</v>
      </c>
      <c r="H41" s="51">
        <f>H53/H16</f>
        <v>0.47102654581206482</v>
      </c>
      <c r="I41" s="51">
        <f>AVERAGE(C41:H41)</f>
        <v>0.45031155470048451</v>
      </c>
    </row>
    <row r="42" spans="2:10" s="49" customFormat="1" ht="21.75" customHeight="1">
      <c r="B42" s="14" t="s">
        <v>4</v>
      </c>
      <c r="C42" s="51">
        <f t="shared" si="8"/>
        <v>0.93798312786256088</v>
      </c>
      <c r="D42" s="51">
        <f t="shared" si="8"/>
        <v>0.93803562357644976</v>
      </c>
      <c r="E42" s="51">
        <f t="shared" si="8"/>
        <v>0.94365138166533402</v>
      </c>
      <c r="F42" s="51">
        <f t="shared" si="8"/>
        <v>0.97083103816844019</v>
      </c>
      <c r="G42" s="51">
        <f t="shared" si="8"/>
        <v>0.92442252196132768</v>
      </c>
      <c r="H42" s="51">
        <f>H54/H17</f>
        <v>0.94353347862027503</v>
      </c>
      <c r="I42" s="51">
        <f>AVERAGE(C42:H42)</f>
        <v>0.94307619530906461</v>
      </c>
    </row>
    <row r="43" spans="2:10" s="49" customFormat="1" ht="21.75" customHeight="1">
      <c r="B43" s="14" t="s">
        <v>5</v>
      </c>
      <c r="C43" s="51">
        <f t="shared" si="8"/>
        <v>1.0047407893543805</v>
      </c>
      <c r="D43" s="51">
        <f t="shared" si="8"/>
        <v>1.0059718621999723</v>
      </c>
      <c r="E43" s="51">
        <f t="shared" si="8"/>
        <v>1.0087970463662084</v>
      </c>
      <c r="F43" s="51">
        <f t="shared" si="8"/>
        <v>1.000508215591112</v>
      </c>
      <c r="G43" s="51">
        <f t="shared" si="8"/>
        <v>0.99684388882060648</v>
      </c>
      <c r="H43" s="51">
        <f>H55/H18</f>
        <v>1.0156703948457799</v>
      </c>
      <c r="I43" s="51">
        <f>AVERAGE(C43:H43)</f>
        <v>1.0054220328630099</v>
      </c>
    </row>
    <row r="44" spans="2:10" s="49" customFormat="1" ht="21.75" customHeight="1">
      <c r="B44" s="14" t="s">
        <v>6</v>
      </c>
      <c r="C44" s="51">
        <f t="shared" si="8"/>
        <v>0.99148721854385991</v>
      </c>
      <c r="D44" s="51">
        <f t="shared" si="8"/>
        <v>0</v>
      </c>
      <c r="E44" s="51">
        <f t="shared" si="8"/>
        <v>1.1031695504877106</v>
      </c>
      <c r="F44" s="51">
        <f t="shared" si="8"/>
        <v>1.0765280042840104</v>
      </c>
      <c r="G44" s="51">
        <f t="shared" si="8"/>
        <v>1.0013454373410611</v>
      </c>
      <c r="H44" s="51">
        <f>H56/H19</f>
        <v>0.58216713314674129</v>
      </c>
      <c r="I44" s="51">
        <f>AVERAGE(C44:H44)</f>
        <v>0.79244955730056377</v>
      </c>
    </row>
    <row r="45" spans="2:10" s="49" customFormat="1" ht="21.75" customHeight="1">
      <c r="B45" s="14" t="s">
        <v>7</v>
      </c>
      <c r="C45" s="51"/>
      <c r="D45" s="51"/>
      <c r="E45" s="51"/>
      <c r="F45" s="51"/>
      <c r="G45" s="51"/>
      <c r="H45" s="51"/>
      <c r="I45" s="51">
        <v>1</v>
      </c>
    </row>
    <row r="46" spans="2:10" s="49" customFormat="1" ht="21.75" customHeight="1">
      <c r="B46" s="14" t="s">
        <v>8</v>
      </c>
      <c r="C46" s="51">
        <f t="shared" ref="C46:G47" si="9">C58/C21</f>
        <v>0.58202172467302149</v>
      </c>
      <c r="D46" s="51">
        <f t="shared" si="9"/>
        <v>0</v>
      </c>
      <c r="E46" s="51">
        <f t="shared" si="9"/>
        <v>0.7160826216818813</v>
      </c>
      <c r="F46" s="51">
        <f t="shared" si="9"/>
        <v>0.51497898153567823</v>
      </c>
      <c r="G46" s="51">
        <f t="shared" si="9"/>
        <v>0.65769426104621631</v>
      </c>
      <c r="H46" s="51">
        <f>H58/H21</f>
        <v>0.69391462306993645</v>
      </c>
      <c r="I46" s="51">
        <f>AVERAGE(C46:H46)</f>
        <v>0.52744870200112237</v>
      </c>
    </row>
    <row r="47" spans="2:10" ht="15.75">
      <c r="B47" s="14" t="s">
        <v>9</v>
      </c>
      <c r="C47" s="51">
        <f t="shared" si="9"/>
        <v>0.9807261317794711</v>
      </c>
      <c r="D47" s="51">
        <f t="shared" si="9"/>
        <v>0</v>
      </c>
      <c r="E47" s="51">
        <f t="shared" si="9"/>
        <v>0.99109714584969888</v>
      </c>
      <c r="F47" s="51">
        <f t="shared" si="9"/>
        <v>0.99494387703508946</v>
      </c>
      <c r="G47" s="51">
        <f t="shared" si="9"/>
        <v>1.0057136391921706</v>
      </c>
      <c r="H47" s="51">
        <f>H59/H22</f>
        <v>1.0085410895660203</v>
      </c>
      <c r="I47" s="51">
        <f>AVERAGE(C47:H47)</f>
        <v>0.83017031390374185</v>
      </c>
    </row>
    <row r="48" spans="2:10" ht="15.75">
      <c r="B48" s="14" t="s">
        <v>10</v>
      </c>
      <c r="C48" s="51"/>
      <c r="D48" s="51"/>
      <c r="E48" s="51"/>
      <c r="F48" s="51"/>
      <c r="G48" s="51"/>
      <c r="H48" s="51"/>
      <c r="I48" s="51"/>
      <c r="J48" s="51"/>
    </row>
    <row r="49" spans="2:9">
      <c r="B49" s="50"/>
    </row>
    <row r="50" spans="2:9" ht="30.75" customHeight="1">
      <c r="B50" s="65" t="s">
        <v>11</v>
      </c>
      <c r="C50" s="65"/>
      <c r="D50" s="65"/>
      <c r="E50" s="65"/>
      <c r="F50" s="65"/>
      <c r="G50" s="65"/>
      <c r="H50" s="65"/>
      <c r="I50" s="65"/>
    </row>
    <row r="51" spans="2:9" ht="28.5" customHeight="1">
      <c r="B51" s="14" t="s">
        <v>15</v>
      </c>
      <c r="C51" s="11">
        <v>93</v>
      </c>
      <c r="D51" s="11">
        <v>94</v>
      </c>
      <c r="E51" s="11">
        <v>95</v>
      </c>
      <c r="F51" s="11">
        <v>96</v>
      </c>
      <c r="G51" s="11">
        <v>97</v>
      </c>
      <c r="H51" s="12" t="s">
        <v>49</v>
      </c>
      <c r="I51" s="11" t="s">
        <v>16</v>
      </c>
    </row>
    <row r="52" spans="2:9" ht="20.25" customHeight="1">
      <c r="B52" s="14" t="s">
        <v>1</v>
      </c>
      <c r="C52" s="9">
        <v>505929</v>
      </c>
      <c r="D52" s="9">
        <v>557382</v>
      </c>
      <c r="E52" s="9">
        <v>523556</v>
      </c>
      <c r="F52" s="9">
        <v>503192</v>
      </c>
      <c r="G52" s="9">
        <v>615510</v>
      </c>
      <c r="H52" s="9">
        <v>131864</v>
      </c>
      <c r="I52" s="9">
        <f>ماهانه!Y21</f>
        <v>296549.52675219061</v>
      </c>
    </row>
    <row r="53" spans="2:9" ht="20.25" customHeight="1">
      <c r="B53" s="14" t="s">
        <v>3</v>
      </c>
      <c r="C53" s="9">
        <v>367648</v>
      </c>
      <c r="D53" s="9">
        <v>488924</v>
      </c>
      <c r="E53" s="9">
        <v>517819</v>
      </c>
      <c r="F53" s="9">
        <v>560849</v>
      </c>
      <c r="G53" s="9">
        <v>434331</v>
      </c>
      <c r="H53" s="9">
        <v>139893</v>
      </c>
      <c r="I53" s="9">
        <f>ماهانه!Y19</f>
        <v>550717.34577325894</v>
      </c>
    </row>
    <row r="54" spans="2:9" ht="20.25" customHeight="1">
      <c r="B54" s="14" t="s">
        <v>4</v>
      </c>
      <c r="C54" s="9">
        <v>207253</v>
      </c>
      <c r="D54" s="9">
        <v>228982</v>
      </c>
      <c r="E54" s="9">
        <v>257279</v>
      </c>
      <c r="F54" s="9">
        <v>266131</v>
      </c>
      <c r="G54" s="9">
        <v>218148</v>
      </c>
      <c r="H54" s="9">
        <v>62778</v>
      </c>
      <c r="I54" s="9">
        <f>ماهانه!Y22</f>
        <v>263701.00487332337</v>
      </c>
    </row>
    <row r="55" spans="2:9" ht="20.25" customHeight="1">
      <c r="B55" s="14" t="s">
        <v>5</v>
      </c>
      <c r="C55" s="9">
        <v>232705</v>
      </c>
      <c r="D55" s="9">
        <v>254194</v>
      </c>
      <c r="E55" s="9">
        <v>297007</v>
      </c>
      <c r="F55" s="9">
        <v>297269</v>
      </c>
      <c r="G55" s="9">
        <v>227093</v>
      </c>
      <c r="H55" s="9">
        <v>67472</v>
      </c>
      <c r="I55" s="9">
        <f>ماهانه!Y23</f>
        <v>277901.51866286848</v>
      </c>
    </row>
    <row r="56" spans="2:9" ht="20.25" customHeight="1">
      <c r="B56" s="14" t="s">
        <v>6</v>
      </c>
      <c r="C56" s="9">
        <v>80714</v>
      </c>
      <c r="D56" s="9">
        <v>0</v>
      </c>
      <c r="E56" s="9">
        <v>97037</v>
      </c>
      <c r="F56" s="9">
        <v>88454</v>
      </c>
      <c r="G56" s="9">
        <v>67727</v>
      </c>
      <c r="H56" s="9">
        <v>13104</v>
      </c>
      <c r="I56" s="9">
        <f>ماهانه!Y24</f>
        <v>86051.483836929008</v>
      </c>
    </row>
    <row r="57" spans="2:9" ht="20.25" customHeight="1">
      <c r="B57" s="14" t="s">
        <v>7</v>
      </c>
      <c r="C57" s="9">
        <v>34825</v>
      </c>
      <c r="D57" s="9">
        <v>54618</v>
      </c>
      <c r="E57" s="9">
        <v>62963</v>
      </c>
      <c r="F57" s="9">
        <v>49855</v>
      </c>
      <c r="G57" s="9">
        <v>16983</v>
      </c>
      <c r="H57" s="9">
        <v>4426</v>
      </c>
      <c r="I57" s="9">
        <f>ماهانه!Y20</f>
        <v>329081.55824344646</v>
      </c>
    </row>
    <row r="58" spans="2:9" ht="20.25" customHeight="1">
      <c r="B58" s="14" t="s">
        <v>8</v>
      </c>
      <c r="C58" s="9">
        <v>15753</v>
      </c>
      <c r="D58" s="9">
        <v>0</v>
      </c>
      <c r="E58" s="9">
        <v>17022</v>
      </c>
      <c r="F58" s="9">
        <v>9678</v>
      </c>
      <c r="G58" s="9">
        <v>10360</v>
      </c>
      <c r="H58" s="9">
        <v>3056</v>
      </c>
      <c r="I58" s="9">
        <f>ماهانه!Y25</f>
        <v>12086.416029647928</v>
      </c>
    </row>
    <row r="59" spans="2:9" ht="20.25" customHeight="1">
      <c r="B59" s="14" t="s">
        <v>9</v>
      </c>
      <c r="C59" s="9">
        <v>15316</v>
      </c>
      <c r="D59" s="9">
        <v>0</v>
      </c>
      <c r="E59" s="9">
        <v>18925</v>
      </c>
      <c r="F59" s="9">
        <v>19678</v>
      </c>
      <c r="G59" s="9">
        <v>17778</v>
      </c>
      <c r="H59" s="9">
        <v>4369</v>
      </c>
      <c r="I59" s="9">
        <f>ماهانه!Y27</f>
        <v>18940.643083983596</v>
      </c>
    </row>
    <row r="60" spans="2:9" ht="20.25" customHeight="1">
      <c r="B60" s="14" t="s">
        <v>10</v>
      </c>
      <c r="C60" s="9">
        <v>1403</v>
      </c>
      <c r="D60" s="9">
        <v>120083</v>
      </c>
      <c r="E60" s="9">
        <v>956</v>
      </c>
      <c r="F60" s="9">
        <v>758</v>
      </c>
      <c r="G60" s="9">
        <v>330</v>
      </c>
      <c r="H60" s="9">
        <v>113</v>
      </c>
      <c r="I60" s="9">
        <f>ماهانه!Y26</f>
        <v>278</v>
      </c>
    </row>
    <row r="61" spans="2:9" s="15" customFormat="1" ht="20.25" customHeight="1">
      <c r="B61" s="14" t="s">
        <v>14</v>
      </c>
      <c r="C61" s="10">
        <v>1461546</v>
      </c>
      <c r="D61" s="10">
        <v>1704183</v>
      </c>
      <c r="E61" s="10">
        <v>1792564</v>
      </c>
      <c r="F61" s="10">
        <f>SUM(F52:F60)</f>
        <v>1795864</v>
      </c>
      <c r="G61" s="10">
        <f>SUM(G52:G60)</f>
        <v>1608260</v>
      </c>
      <c r="H61" s="10">
        <f>SUM(H52:H60)</f>
        <v>427075</v>
      </c>
      <c r="I61" s="10">
        <f>SUM(I52:I60)</f>
        <v>1835307.4972556487</v>
      </c>
    </row>
    <row r="64" spans="2:9" ht="36.75" customHeight="1">
      <c r="B64" s="62" t="s">
        <v>12</v>
      </c>
      <c r="C64" s="63"/>
      <c r="D64" s="63"/>
      <c r="E64" s="63"/>
      <c r="F64" s="63"/>
      <c r="G64" s="63"/>
      <c r="H64" s="63"/>
      <c r="I64" s="64"/>
    </row>
    <row r="65" spans="2:9" ht="25.5" customHeight="1">
      <c r="B65" s="14" t="s">
        <v>15</v>
      </c>
      <c r="C65" s="11">
        <v>93</v>
      </c>
      <c r="D65" s="11">
        <v>94</v>
      </c>
      <c r="E65" s="11">
        <v>95</v>
      </c>
      <c r="F65" s="11">
        <v>96</v>
      </c>
      <c r="G65" s="11">
        <v>97</v>
      </c>
      <c r="H65" s="11" t="s">
        <v>49</v>
      </c>
      <c r="I65" s="11" t="s">
        <v>16</v>
      </c>
    </row>
    <row r="66" spans="2:9" ht="23.25" customHeight="1">
      <c r="B66" s="14" t="s">
        <v>1</v>
      </c>
      <c r="C66" s="9">
        <v>22982254</v>
      </c>
      <c r="D66" s="9">
        <v>21453465</v>
      </c>
      <c r="E66" s="9">
        <v>20581227</v>
      </c>
      <c r="F66" s="9">
        <v>21134054</v>
      </c>
      <c r="G66" s="9">
        <v>38666619</v>
      </c>
      <c r="H66" s="9">
        <v>14489823</v>
      </c>
      <c r="I66" s="9">
        <f>ماهانه!Y35</f>
        <v>38403010.842704602</v>
      </c>
    </row>
    <row r="67" spans="2:9" ht="23.25" customHeight="1">
      <c r="B67" s="14" t="s">
        <v>3</v>
      </c>
      <c r="C67" s="9">
        <v>9585195</v>
      </c>
      <c r="D67" s="9">
        <v>11754635</v>
      </c>
      <c r="E67" s="9">
        <v>13587270</v>
      </c>
      <c r="F67" s="9">
        <v>18373374</v>
      </c>
      <c r="G67" s="9">
        <v>19034346</v>
      </c>
      <c r="H67" s="9">
        <v>9913610</v>
      </c>
      <c r="I67" s="9">
        <f>ماهانه!Y33</f>
        <v>36901241.842195109</v>
      </c>
    </row>
    <row r="68" spans="2:9" ht="23.25" customHeight="1">
      <c r="B68" s="14" t="s">
        <v>4</v>
      </c>
      <c r="C68" s="9">
        <v>4831647</v>
      </c>
      <c r="D68" s="9">
        <v>3691416</v>
      </c>
      <c r="E68" s="9">
        <v>4497434</v>
      </c>
      <c r="F68" s="9">
        <v>5718853</v>
      </c>
      <c r="G68" s="9">
        <v>9296770</v>
      </c>
      <c r="H68" s="9">
        <v>3557476</v>
      </c>
      <c r="I68" s="9">
        <f>ماهانه!Y36</f>
        <v>17942842.635015082</v>
      </c>
    </row>
    <row r="69" spans="2:9" ht="23.25" customHeight="1">
      <c r="B69" s="14" t="s">
        <v>5</v>
      </c>
      <c r="C69" s="9">
        <v>4116531</v>
      </c>
      <c r="D69" s="9">
        <v>2957230</v>
      </c>
      <c r="E69" s="9">
        <v>3667530</v>
      </c>
      <c r="F69" s="9">
        <v>4712337</v>
      </c>
      <c r="G69" s="9">
        <v>6808831</v>
      </c>
      <c r="H69" s="9">
        <v>3244066</v>
      </c>
      <c r="I69" s="9">
        <f>ماهانه!Y37</f>
        <v>13912892.387073237</v>
      </c>
    </row>
    <row r="70" spans="2:9" ht="23.25" customHeight="1">
      <c r="B70" s="14" t="s">
        <v>6</v>
      </c>
      <c r="C70" s="9">
        <v>2861934</v>
      </c>
      <c r="D70" s="9">
        <v>0</v>
      </c>
      <c r="E70" s="9">
        <v>5473819</v>
      </c>
      <c r="F70" s="9">
        <v>3448692</v>
      </c>
      <c r="G70" s="9">
        <v>4864682</v>
      </c>
      <c r="H70" s="9">
        <v>1008573</v>
      </c>
      <c r="I70" s="9">
        <f>ماهانه!Y38</f>
        <v>7631601.5598134445</v>
      </c>
    </row>
    <row r="71" spans="2:9" ht="23.25" customHeight="1">
      <c r="B71" s="14" t="s">
        <v>7</v>
      </c>
      <c r="C71" s="9">
        <v>1392525</v>
      </c>
      <c r="D71" s="9">
        <v>2216396</v>
      </c>
      <c r="E71" s="9">
        <v>2434726</v>
      </c>
      <c r="F71" s="9">
        <v>2044040</v>
      </c>
      <c r="G71" s="9">
        <v>1434416</v>
      </c>
      <c r="H71" s="9">
        <v>419744</v>
      </c>
      <c r="I71" s="9">
        <f>ماهانه!Y34</f>
        <v>24257067.861148708</v>
      </c>
    </row>
    <row r="72" spans="2:9" ht="23.25" customHeight="1">
      <c r="B72" s="14" t="s">
        <v>8</v>
      </c>
      <c r="C72" s="9">
        <v>557439</v>
      </c>
      <c r="D72" s="9">
        <v>0</v>
      </c>
      <c r="E72" s="9">
        <v>610925</v>
      </c>
      <c r="F72" s="9">
        <v>425302</v>
      </c>
      <c r="G72" s="9">
        <v>582823</v>
      </c>
      <c r="H72" s="9">
        <v>239745</v>
      </c>
      <c r="I72" s="9">
        <f>ماهانه!Y39</f>
        <v>1087121.0341648813</v>
      </c>
    </row>
    <row r="73" spans="2:9" ht="23.25" customHeight="1">
      <c r="B73" s="14" t="s">
        <v>9</v>
      </c>
      <c r="C73" s="9">
        <v>205874</v>
      </c>
      <c r="D73" s="9">
        <v>0</v>
      </c>
      <c r="E73" s="9">
        <v>151618</v>
      </c>
      <c r="F73" s="9">
        <v>231005</v>
      </c>
      <c r="G73" s="9">
        <v>377350</v>
      </c>
      <c r="H73" s="9">
        <v>130692</v>
      </c>
      <c r="I73" s="9">
        <f>ماهانه!Y41</f>
        <v>623932.10841140989</v>
      </c>
    </row>
    <row r="74" spans="2:9" ht="23.25" customHeight="1">
      <c r="B74" s="14" t="s">
        <v>10</v>
      </c>
      <c r="C74" s="9">
        <v>32470</v>
      </c>
      <c r="D74" s="9">
        <v>3392281</v>
      </c>
      <c r="E74" s="9">
        <v>24228</v>
      </c>
      <c r="F74" s="9">
        <v>26651</v>
      </c>
      <c r="G74" s="9">
        <v>14757</v>
      </c>
      <c r="H74" s="9">
        <v>7300</v>
      </c>
      <c r="I74" s="9">
        <f>ماهانه!Y40</f>
        <v>29162.485754000001</v>
      </c>
    </row>
    <row r="75" spans="2:9" s="15" customFormat="1" ht="23.25" customHeight="1">
      <c r="B75" s="14" t="s">
        <v>14</v>
      </c>
      <c r="C75" s="10">
        <v>46565869</v>
      </c>
      <c r="D75" s="10">
        <v>45465423</v>
      </c>
      <c r="E75" s="10">
        <v>51028777</v>
      </c>
      <c r="F75" s="10">
        <f>SUM(F66:F74)</f>
        <v>56114308</v>
      </c>
      <c r="G75" s="10">
        <f>SUM(G66:G74)</f>
        <v>81080594</v>
      </c>
      <c r="H75" s="10">
        <f>SUM(H66:H74)</f>
        <v>33011029</v>
      </c>
      <c r="I75" s="10">
        <f>SUM(I66:I74)</f>
        <v>140788872.75628048</v>
      </c>
    </row>
    <row r="78" spans="2:9" ht="36" customHeight="1">
      <c r="B78" s="62" t="s">
        <v>13</v>
      </c>
      <c r="C78" s="63"/>
      <c r="D78" s="63"/>
      <c r="E78" s="63"/>
      <c r="F78" s="63"/>
      <c r="G78" s="63"/>
      <c r="H78" s="63"/>
      <c r="I78" s="63"/>
    </row>
    <row r="79" spans="2:9" ht="29.25" customHeight="1">
      <c r="B79" s="14" t="s">
        <v>15</v>
      </c>
      <c r="C79" s="11">
        <v>93</v>
      </c>
      <c r="D79" s="11">
        <v>94</v>
      </c>
      <c r="E79" s="11">
        <v>95</v>
      </c>
      <c r="F79" s="11">
        <v>96</v>
      </c>
      <c r="G79" s="11">
        <v>97</v>
      </c>
      <c r="H79" s="12" t="s">
        <v>49</v>
      </c>
      <c r="I79" s="11" t="s">
        <v>16</v>
      </c>
    </row>
    <row r="80" spans="2:9" ht="23.25" customHeight="1">
      <c r="B80" s="14" t="s">
        <v>1</v>
      </c>
      <c r="C80" s="9">
        <v>45425848</v>
      </c>
      <c r="D80" s="9">
        <v>38489698</v>
      </c>
      <c r="E80" s="9">
        <v>39310460</v>
      </c>
      <c r="F80" s="9">
        <v>41999980</v>
      </c>
      <c r="G80" s="9">
        <v>62820456</v>
      </c>
      <c r="H80" s="9">
        <f>H66/H52*1000000</f>
        <v>109884600.8008251</v>
      </c>
      <c r="I80" s="9">
        <f>I66/I52*1000000</f>
        <v>129499484.49857345</v>
      </c>
    </row>
    <row r="81" spans="2:9" ht="23.25" customHeight="1">
      <c r="B81" s="14" t="s">
        <v>3</v>
      </c>
      <c r="C81" s="9">
        <v>26071664</v>
      </c>
      <c r="D81" s="9">
        <v>24041845</v>
      </c>
      <c r="E81" s="9">
        <v>26239420</v>
      </c>
      <c r="F81" s="9">
        <v>32759930</v>
      </c>
      <c r="G81" s="9">
        <v>43824516</v>
      </c>
      <c r="H81" s="9">
        <f t="shared" ref="H81:H88" si="10">H67/H53*1000000</f>
        <v>70865661.61280407</v>
      </c>
      <c r="I81" s="9">
        <f t="shared" ref="I81:I88" si="11">I67/I53*1000000</f>
        <v>67005773.697544061</v>
      </c>
    </row>
    <row r="82" spans="2:9" ht="23.25" customHeight="1">
      <c r="B82" s="14" t="s">
        <v>4</v>
      </c>
      <c r="C82" s="9">
        <v>23312796</v>
      </c>
      <c r="D82" s="9">
        <v>16120988</v>
      </c>
      <c r="E82" s="9">
        <v>17480766</v>
      </c>
      <c r="F82" s="9">
        <v>21488865</v>
      </c>
      <c r="G82" s="9">
        <v>42616801</v>
      </c>
      <c r="H82" s="9">
        <f t="shared" si="10"/>
        <v>56667558.698907256</v>
      </c>
      <c r="I82" s="9">
        <f t="shared" si="11"/>
        <v>68042374.899687856</v>
      </c>
    </row>
    <row r="83" spans="2:9" ht="23.25" customHeight="1">
      <c r="B83" s="14" t="s">
        <v>5</v>
      </c>
      <c r="C83" s="9">
        <v>17689912</v>
      </c>
      <c r="D83" s="9">
        <v>11633752</v>
      </c>
      <c r="E83" s="9">
        <v>12348295</v>
      </c>
      <c r="F83" s="9">
        <v>15852097</v>
      </c>
      <c r="G83" s="9">
        <v>29982567</v>
      </c>
      <c r="H83" s="9">
        <f t="shared" si="10"/>
        <v>48080181.408584304</v>
      </c>
      <c r="I83" s="9">
        <f t="shared" si="11"/>
        <v>50064110.674945347</v>
      </c>
    </row>
    <row r="84" spans="2:9" ht="23.25" customHeight="1">
      <c r="B84" s="14" t="s">
        <v>6</v>
      </c>
      <c r="C84" s="9">
        <v>35457715</v>
      </c>
      <c r="D84" s="9" t="s">
        <v>2</v>
      </c>
      <c r="E84" s="9">
        <v>56409607</v>
      </c>
      <c r="F84" s="9">
        <v>38988536</v>
      </c>
      <c r="G84" s="9">
        <v>71827809</v>
      </c>
      <c r="H84" s="9">
        <f t="shared" si="10"/>
        <v>76966804.029304028</v>
      </c>
      <c r="I84" s="9">
        <f t="shared" si="11"/>
        <v>88686460.936288252</v>
      </c>
    </row>
    <row r="85" spans="2:9" ht="23.25" customHeight="1">
      <c r="B85" s="14" t="s">
        <v>7</v>
      </c>
      <c r="C85" s="9">
        <v>39986360</v>
      </c>
      <c r="D85" s="9">
        <v>40579955</v>
      </c>
      <c r="E85" s="9">
        <v>38669155</v>
      </c>
      <c r="F85" s="9">
        <v>40999699</v>
      </c>
      <c r="G85" s="9">
        <v>84461874</v>
      </c>
      <c r="H85" s="9">
        <f t="shared" si="10"/>
        <v>94835969.272480801</v>
      </c>
      <c r="I85" s="9">
        <f t="shared" si="11"/>
        <v>73711416.679277807</v>
      </c>
    </row>
    <row r="86" spans="2:9" ht="23.25" customHeight="1">
      <c r="B86" s="14" t="s">
        <v>8</v>
      </c>
      <c r="C86" s="9">
        <v>35386212</v>
      </c>
      <c r="D86" s="9" t="s">
        <v>2</v>
      </c>
      <c r="E86" s="9">
        <v>35890318</v>
      </c>
      <c r="F86" s="9">
        <v>43945237</v>
      </c>
      <c r="G86" s="9">
        <v>56257046</v>
      </c>
      <c r="H86" s="9">
        <f t="shared" si="10"/>
        <v>78450589.005235597</v>
      </c>
      <c r="I86" s="9">
        <f t="shared" si="11"/>
        <v>89945690.393097341</v>
      </c>
    </row>
    <row r="87" spans="2:9" ht="23.25" customHeight="1">
      <c r="B87" s="14" t="s">
        <v>9</v>
      </c>
      <c r="C87" s="9">
        <v>13441760</v>
      </c>
      <c r="D87" s="9" t="s">
        <v>2</v>
      </c>
      <c r="E87" s="9">
        <v>8011519</v>
      </c>
      <c r="F87" s="9">
        <v>11739252</v>
      </c>
      <c r="G87" s="9">
        <v>21225672</v>
      </c>
      <c r="H87" s="9">
        <f t="shared" si="10"/>
        <v>29913481.345845733</v>
      </c>
      <c r="I87" s="9">
        <f t="shared" si="11"/>
        <v>32941442.67672798</v>
      </c>
    </row>
    <row r="88" spans="2:9" ht="23.25" customHeight="1">
      <c r="B88" s="14" t="s">
        <v>10</v>
      </c>
      <c r="C88" s="9">
        <v>23143264</v>
      </c>
      <c r="D88" s="9">
        <v>28249469</v>
      </c>
      <c r="E88" s="9">
        <v>25343096</v>
      </c>
      <c r="F88" s="9">
        <v>35159631</v>
      </c>
      <c r="G88" s="9">
        <v>44718182</v>
      </c>
      <c r="H88" s="9">
        <f t="shared" si="10"/>
        <v>64601769.911504418</v>
      </c>
      <c r="I88" s="9">
        <f t="shared" si="11"/>
        <v>104901027.89208633</v>
      </c>
    </row>
  </sheetData>
  <mergeCells count="4">
    <mergeCell ref="B78:I78"/>
    <mergeCell ref="B64:I64"/>
    <mergeCell ref="B50:I50"/>
    <mergeCell ref="B13:I1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Z55"/>
  <sheetViews>
    <sheetView rightToLeft="1" zoomScale="90" zoomScaleNormal="90" zoomScaleSheetLayoutView="90" workbookViewId="0">
      <pane xSplit="2" ySplit="4" topLeftCell="P50" activePane="bottomRight" state="frozen"/>
      <selection pane="topRight" activeCell="C1" sqref="C1"/>
      <selection pane="bottomLeft" activeCell="A5" sqref="A5"/>
      <selection pane="bottomRight" activeCell="AB45" sqref="AB45"/>
    </sheetView>
  </sheetViews>
  <sheetFormatPr defaultRowHeight="14.25"/>
  <cols>
    <col min="1" max="1" width="9.140625" style="2"/>
    <col min="2" max="11" width="12.140625" style="2" bestFit="1" customWidth="1"/>
    <col min="12" max="14" width="11.85546875" style="2" bestFit="1" customWidth="1"/>
    <col min="15" max="16" width="12.140625" style="2" bestFit="1" customWidth="1"/>
    <col min="17" max="19" width="12.42578125" style="2" bestFit="1" customWidth="1"/>
    <col min="20" max="20" width="13.140625" style="2" customWidth="1"/>
    <col min="21" max="21" width="12.140625" style="2" customWidth="1"/>
    <col min="22" max="22" width="12.42578125" style="2" bestFit="1" customWidth="1"/>
    <col min="23" max="23" width="9.140625" style="2"/>
    <col min="24" max="24" width="16.7109375" style="2" customWidth="1"/>
    <col min="25" max="25" width="16.5703125" style="2" bestFit="1" customWidth="1"/>
    <col min="26" max="16384" width="9.140625" style="2"/>
  </cols>
  <sheetData>
    <row r="4" spans="2:25" ht="30.75" thickBot="1">
      <c r="B4" s="3" t="s">
        <v>0</v>
      </c>
      <c r="C4" s="4" t="s">
        <v>17</v>
      </c>
      <c r="D4" s="4" t="s">
        <v>18</v>
      </c>
      <c r="E4" s="4" t="s">
        <v>19</v>
      </c>
      <c r="F4" s="4" t="s">
        <v>20</v>
      </c>
      <c r="G4" s="4" t="s">
        <v>21</v>
      </c>
      <c r="H4" s="4" t="s">
        <v>22</v>
      </c>
      <c r="I4" s="4" t="s">
        <v>23</v>
      </c>
      <c r="J4" s="4" t="s">
        <v>24</v>
      </c>
      <c r="K4" s="46" t="s">
        <v>25</v>
      </c>
      <c r="L4" s="4" t="s">
        <v>26</v>
      </c>
      <c r="M4" s="4" t="s">
        <v>27</v>
      </c>
      <c r="N4" s="4" t="s">
        <v>28</v>
      </c>
      <c r="O4" s="4" t="s">
        <v>29</v>
      </c>
      <c r="P4" s="4" t="s">
        <v>30</v>
      </c>
      <c r="Q4" s="4" t="s">
        <v>31</v>
      </c>
      <c r="R4" s="4" t="s">
        <v>32</v>
      </c>
      <c r="S4" s="4" t="s">
        <v>33</v>
      </c>
      <c r="T4" s="4" t="s">
        <v>103</v>
      </c>
      <c r="U4" s="2" t="s">
        <v>104</v>
      </c>
      <c r="V4" s="2" t="s">
        <v>105</v>
      </c>
      <c r="W4" s="2" t="s">
        <v>106</v>
      </c>
      <c r="X4" s="2" t="s">
        <v>107</v>
      </c>
      <c r="Y4" s="2" t="s">
        <v>16</v>
      </c>
    </row>
    <row r="5" spans="2:25" ht="18" customHeight="1">
      <c r="B5" s="5" t="s">
        <v>3</v>
      </c>
      <c r="C5" s="5">
        <v>99240</v>
      </c>
      <c r="D5" s="5">
        <v>92496</v>
      </c>
      <c r="E5" s="5">
        <v>106622</v>
      </c>
      <c r="F5" s="5">
        <v>90093</v>
      </c>
      <c r="G5" s="5">
        <v>93080</v>
      </c>
      <c r="H5" s="5">
        <v>90024</v>
      </c>
      <c r="I5" s="5">
        <v>96485</v>
      </c>
      <c r="J5" s="5">
        <v>96821</v>
      </c>
      <c r="K5" s="47">
        <v>2740</v>
      </c>
      <c r="L5" s="5">
        <v>88939</v>
      </c>
      <c r="M5" s="5">
        <v>90143</v>
      </c>
      <c r="N5" s="5">
        <v>74303</v>
      </c>
      <c r="O5" s="5">
        <v>111119</v>
      </c>
      <c r="P5" s="5">
        <v>86968</v>
      </c>
      <c r="Q5" s="5">
        <v>98909</v>
      </c>
      <c r="R5" s="5">
        <v>102468</v>
      </c>
      <c r="S5" s="5">
        <v>100755</v>
      </c>
      <c r="T5" s="5">
        <v>84095</v>
      </c>
      <c r="U5" s="2">
        <f>SUM(C5:H5)</f>
        <v>571555</v>
      </c>
      <c r="V5" s="2">
        <f>SUM(O5:T5)</f>
        <v>584314</v>
      </c>
      <c r="W5" s="21">
        <f>V5/U5-1</f>
        <v>2.2323310967448551E-2</v>
      </c>
      <c r="X5" s="2">
        <f>V5</f>
        <v>584314</v>
      </c>
      <c r="Y5" s="2">
        <f>V5+X5</f>
        <v>1168628</v>
      </c>
    </row>
    <row r="6" spans="2:25" ht="18" customHeight="1">
      <c r="B6" s="6" t="s">
        <v>7</v>
      </c>
      <c r="C6" s="6">
        <v>28050</v>
      </c>
      <c r="D6" s="6">
        <v>27611</v>
      </c>
      <c r="E6" s="6">
        <v>26999</v>
      </c>
      <c r="F6" s="6">
        <v>28289</v>
      </c>
      <c r="G6" s="6">
        <v>30146</v>
      </c>
      <c r="H6" s="6">
        <v>20157</v>
      </c>
      <c r="I6" s="6">
        <v>28226</v>
      </c>
      <c r="J6" s="6">
        <v>29248</v>
      </c>
      <c r="K6" s="47">
        <v>1921</v>
      </c>
      <c r="L6" s="6">
        <v>25648</v>
      </c>
      <c r="M6" s="6">
        <v>21163</v>
      </c>
      <c r="N6" s="6">
        <v>16086</v>
      </c>
      <c r="O6" s="6">
        <v>28485</v>
      </c>
      <c r="P6" s="6">
        <v>23205</v>
      </c>
      <c r="Q6" s="6">
        <v>30015</v>
      </c>
      <c r="R6" s="6">
        <v>29331</v>
      </c>
      <c r="S6" s="6">
        <v>31391</v>
      </c>
      <c r="T6" s="6">
        <v>21714</v>
      </c>
      <c r="U6" s="2">
        <f t="shared" ref="U6:U13" si="0">SUM(C6:H6)</f>
        <v>161252</v>
      </c>
      <c r="V6" s="2">
        <f t="shared" ref="V6:V12" si="1">SUM(O6:T6)</f>
        <v>164141</v>
      </c>
      <c r="W6" s="21">
        <f t="shared" ref="W6:W14" si="2">V6/U6-1</f>
        <v>1.7916056855108664E-2</v>
      </c>
      <c r="X6" s="2">
        <f>'تولید و فروش'!I32*ماهانه!X5</f>
        <v>164940.55824344646</v>
      </c>
      <c r="Y6" s="2">
        <f t="shared" ref="Y6:Y13" si="3">V6+X6</f>
        <v>329081.55824344646</v>
      </c>
    </row>
    <row r="7" spans="2:25" ht="18" customHeight="1">
      <c r="B7" s="5" t="s">
        <v>1</v>
      </c>
      <c r="C7" s="5">
        <v>20371</v>
      </c>
      <c r="D7" s="5">
        <v>26357</v>
      </c>
      <c r="E7" s="5">
        <v>28573</v>
      </c>
      <c r="F7" s="5">
        <v>30690</v>
      </c>
      <c r="G7" s="5">
        <v>24525</v>
      </c>
      <c r="H7" s="5">
        <v>25001</v>
      </c>
      <c r="I7" s="5">
        <v>27721</v>
      </c>
      <c r="J7" s="5">
        <v>26435</v>
      </c>
      <c r="K7" s="47">
        <v>7816</v>
      </c>
      <c r="L7" s="5">
        <v>25166</v>
      </c>
      <c r="M7" s="5">
        <v>24074</v>
      </c>
      <c r="N7" s="5">
        <v>16570</v>
      </c>
      <c r="O7" s="5">
        <v>26189</v>
      </c>
      <c r="P7" s="5">
        <v>21491</v>
      </c>
      <c r="Q7" s="5">
        <v>24208</v>
      </c>
      <c r="R7" s="5">
        <v>25531</v>
      </c>
      <c r="S7" s="5">
        <v>24903</v>
      </c>
      <c r="T7" s="5">
        <v>21486</v>
      </c>
      <c r="U7" s="2">
        <f t="shared" si="0"/>
        <v>155517</v>
      </c>
      <c r="V7" s="2">
        <f t="shared" si="1"/>
        <v>143808</v>
      </c>
      <c r="W7" s="21">
        <f t="shared" si="2"/>
        <v>-7.5290804220760399E-2</v>
      </c>
      <c r="X7" s="2">
        <f>'تولید و فروش'!I27*ماهانه!X5</f>
        <v>152741.52675219061</v>
      </c>
      <c r="Y7" s="2">
        <f t="shared" si="3"/>
        <v>296549.52675219061</v>
      </c>
    </row>
    <row r="8" spans="2:25" ht="18" customHeight="1">
      <c r="B8" s="6" t="s">
        <v>4</v>
      </c>
      <c r="C8" s="6">
        <v>24878</v>
      </c>
      <c r="D8" s="6">
        <v>22858</v>
      </c>
      <c r="E8" s="6">
        <v>21175</v>
      </c>
      <c r="F8" s="6">
        <v>21022</v>
      </c>
      <c r="G8" s="6">
        <v>21767</v>
      </c>
      <c r="H8" s="6">
        <v>19685</v>
      </c>
      <c r="I8" s="6">
        <v>19336</v>
      </c>
      <c r="J8" s="6">
        <v>21694</v>
      </c>
      <c r="K8" s="47">
        <v>886</v>
      </c>
      <c r="L8" s="6">
        <v>19646</v>
      </c>
      <c r="M8" s="6">
        <v>22714</v>
      </c>
      <c r="N8" s="6">
        <v>18020</v>
      </c>
      <c r="O8" s="6">
        <v>24514</v>
      </c>
      <c r="P8" s="6">
        <v>21461</v>
      </c>
      <c r="Q8" s="6">
        <v>20367</v>
      </c>
      <c r="R8" s="6">
        <v>24590</v>
      </c>
      <c r="S8" s="6">
        <v>25423</v>
      </c>
      <c r="T8" s="6">
        <v>18800</v>
      </c>
      <c r="U8" s="2">
        <f t="shared" si="0"/>
        <v>131385</v>
      </c>
      <c r="V8" s="2">
        <f t="shared" si="1"/>
        <v>135155</v>
      </c>
      <c r="W8" s="21">
        <f t="shared" si="2"/>
        <v>2.8694295391406888E-2</v>
      </c>
      <c r="X8" s="2">
        <f>'تولید و فروش'!I29*ماهانه!X5</f>
        <v>136804.43374041686</v>
      </c>
      <c r="Y8" s="2">
        <f t="shared" si="3"/>
        <v>271959.43374041689</v>
      </c>
    </row>
    <row r="9" spans="2:25" ht="18" customHeight="1">
      <c r="B9" s="5" t="s">
        <v>5</v>
      </c>
      <c r="C9" s="5">
        <v>25858</v>
      </c>
      <c r="D9" s="5">
        <v>24355</v>
      </c>
      <c r="E9" s="5">
        <v>18627</v>
      </c>
      <c r="F9" s="5">
        <v>18612</v>
      </c>
      <c r="G9" s="5">
        <v>17313</v>
      </c>
      <c r="H9" s="5">
        <v>17037</v>
      </c>
      <c r="I9" s="5">
        <v>17688</v>
      </c>
      <c r="J9" s="5">
        <v>19582</v>
      </c>
      <c r="K9" s="47">
        <v>1274</v>
      </c>
      <c r="L9" s="5">
        <v>23403</v>
      </c>
      <c r="M9" s="5">
        <v>22414</v>
      </c>
      <c r="N9" s="5">
        <v>17734</v>
      </c>
      <c r="O9" s="5">
        <v>25995</v>
      </c>
      <c r="P9" s="5">
        <v>22016</v>
      </c>
      <c r="Q9" s="5">
        <v>18380</v>
      </c>
      <c r="R9" s="5">
        <v>24276</v>
      </c>
      <c r="S9" s="5">
        <v>25364</v>
      </c>
      <c r="T9" s="5">
        <v>18311</v>
      </c>
      <c r="U9" s="2">
        <f t="shared" si="0"/>
        <v>121802</v>
      </c>
      <c r="V9" s="2">
        <f t="shared" si="1"/>
        <v>134342</v>
      </c>
      <c r="W9" s="21">
        <f t="shared" si="2"/>
        <v>0.10295397448317756</v>
      </c>
      <c r="X9" s="2">
        <f>'تولید و فروش'!I30*ماهانه!X5</f>
        <v>141757.90265607586</v>
      </c>
      <c r="Y9" s="2">
        <f t="shared" si="3"/>
        <v>276099.90265607589</v>
      </c>
    </row>
    <row r="10" spans="2:25" ht="18" customHeight="1">
      <c r="B10" s="6" t="s">
        <v>6</v>
      </c>
      <c r="C10" s="6">
        <v>6661</v>
      </c>
      <c r="D10" s="6">
        <v>5435</v>
      </c>
      <c r="E10" s="6">
        <v>7380</v>
      </c>
      <c r="F10" s="6">
        <v>6467</v>
      </c>
      <c r="G10" s="6">
        <v>6176</v>
      </c>
      <c r="H10" s="6">
        <v>5465</v>
      </c>
      <c r="I10" s="6">
        <v>5200</v>
      </c>
      <c r="J10" s="6">
        <v>4914</v>
      </c>
      <c r="K10" s="47">
        <v>0</v>
      </c>
      <c r="L10" s="6">
        <v>5723</v>
      </c>
      <c r="M10" s="6">
        <v>5884</v>
      </c>
      <c r="N10" s="6">
        <v>7242</v>
      </c>
      <c r="O10" s="6">
        <v>9354</v>
      </c>
      <c r="P10" s="6">
        <v>5650</v>
      </c>
      <c r="Q10" s="6">
        <v>7505</v>
      </c>
      <c r="R10" s="6">
        <v>8046</v>
      </c>
      <c r="S10" s="6">
        <v>5679</v>
      </c>
      <c r="T10" s="6">
        <v>5372</v>
      </c>
      <c r="U10" s="2">
        <f t="shared" si="0"/>
        <v>37584</v>
      </c>
      <c r="V10" s="2">
        <f t="shared" si="1"/>
        <v>41606</v>
      </c>
      <c r="W10" s="21">
        <f t="shared" si="2"/>
        <v>0.10701362281822058</v>
      </c>
      <c r="X10" s="2">
        <f>X5*'تولید و فروش'!I31</f>
        <v>44445.483836929008</v>
      </c>
      <c r="Y10" s="2">
        <f t="shared" si="3"/>
        <v>86051.483836929008</v>
      </c>
    </row>
    <row r="11" spans="2:25" ht="18" customHeight="1">
      <c r="B11" s="5" t="s">
        <v>8</v>
      </c>
      <c r="C11" s="5">
        <v>1279</v>
      </c>
      <c r="D11" s="5">
        <v>2954</v>
      </c>
      <c r="E11" s="5">
        <v>1217</v>
      </c>
      <c r="F11" s="5">
        <v>2190</v>
      </c>
      <c r="G11" s="5">
        <v>1699</v>
      </c>
      <c r="H11" s="5">
        <v>663</v>
      </c>
      <c r="I11" s="5">
        <v>553</v>
      </c>
      <c r="J11" s="5">
        <v>2615</v>
      </c>
      <c r="K11" s="47">
        <v>0</v>
      </c>
      <c r="L11" s="5">
        <v>823</v>
      </c>
      <c r="M11" s="5">
        <v>2313</v>
      </c>
      <c r="N11" s="5">
        <v>0</v>
      </c>
      <c r="O11" s="5">
        <v>2599</v>
      </c>
      <c r="P11" s="5">
        <v>1479</v>
      </c>
      <c r="Q11" s="5">
        <v>548</v>
      </c>
      <c r="R11" s="5">
        <v>2562</v>
      </c>
      <c r="S11" s="5">
        <v>1003</v>
      </c>
      <c r="T11" s="5">
        <v>461</v>
      </c>
      <c r="U11" s="2">
        <f t="shared" si="0"/>
        <v>10002</v>
      </c>
      <c r="V11" s="2">
        <f t="shared" si="1"/>
        <v>8652</v>
      </c>
      <c r="W11" s="21">
        <f t="shared" si="2"/>
        <v>-0.13497300539892021</v>
      </c>
      <c r="X11" s="2">
        <f>X5*'تولید و فروش'!I33</f>
        <v>11201.878035212902</v>
      </c>
      <c r="Y11" s="2">
        <f t="shared" si="3"/>
        <v>19853.878035212903</v>
      </c>
    </row>
    <row r="12" spans="2:25" ht="18" customHeight="1">
      <c r="B12" s="6" t="s">
        <v>10</v>
      </c>
      <c r="C12" s="6">
        <v>25</v>
      </c>
      <c r="D12" s="6">
        <v>27</v>
      </c>
      <c r="E12" s="6">
        <v>24</v>
      </c>
      <c r="F12" s="6">
        <v>30</v>
      </c>
      <c r="G12" s="6">
        <v>27</v>
      </c>
      <c r="H12" s="6">
        <v>27</v>
      </c>
      <c r="I12" s="6">
        <v>25</v>
      </c>
      <c r="J12" s="6">
        <v>17</v>
      </c>
      <c r="K12" s="47">
        <v>0</v>
      </c>
      <c r="L12" s="6">
        <v>21</v>
      </c>
      <c r="M12" s="6">
        <v>32</v>
      </c>
      <c r="N12" s="6">
        <v>25</v>
      </c>
      <c r="O12" s="6">
        <v>22</v>
      </c>
      <c r="P12" s="6">
        <v>11</v>
      </c>
      <c r="Q12" s="6">
        <v>10</v>
      </c>
      <c r="R12" s="6">
        <v>30</v>
      </c>
      <c r="S12" s="6">
        <v>31</v>
      </c>
      <c r="T12" s="6">
        <v>35</v>
      </c>
      <c r="U12" s="2">
        <f t="shared" si="0"/>
        <v>160</v>
      </c>
      <c r="V12" s="2">
        <f t="shared" si="1"/>
        <v>139</v>
      </c>
      <c r="W12" s="21">
        <f t="shared" si="2"/>
        <v>-0.13124999999999998</v>
      </c>
      <c r="X12" s="2">
        <f>ماهانه!V12</f>
        <v>139</v>
      </c>
      <c r="Y12" s="2">
        <f t="shared" si="3"/>
        <v>278</v>
      </c>
    </row>
    <row r="13" spans="2:25" ht="18" customHeight="1">
      <c r="B13" s="5" t="s">
        <v>9</v>
      </c>
      <c r="C13" s="5">
        <v>2074</v>
      </c>
      <c r="D13" s="5">
        <v>2066</v>
      </c>
      <c r="E13" s="5">
        <v>1421</v>
      </c>
      <c r="F13" s="5">
        <v>1345</v>
      </c>
      <c r="G13" s="5">
        <v>1609</v>
      </c>
      <c r="H13" s="5">
        <v>1201</v>
      </c>
      <c r="I13" s="5">
        <v>1355</v>
      </c>
      <c r="J13" s="5">
        <v>1523</v>
      </c>
      <c r="K13" s="47">
        <v>190</v>
      </c>
      <c r="L13" s="5">
        <v>1573</v>
      </c>
      <c r="M13" s="5">
        <v>1818</v>
      </c>
      <c r="N13" s="5">
        <v>1231</v>
      </c>
      <c r="O13" s="5">
        <v>1755</v>
      </c>
      <c r="P13" s="5">
        <v>1455</v>
      </c>
      <c r="Q13" s="5">
        <v>1121</v>
      </c>
      <c r="R13" s="5">
        <v>1496</v>
      </c>
      <c r="S13" s="5">
        <v>1970</v>
      </c>
      <c r="T13" s="5">
        <v>1480</v>
      </c>
      <c r="U13" s="2">
        <f t="shared" si="0"/>
        <v>9716</v>
      </c>
      <c r="V13" s="2">
        <f>SUM(O13:T13)</f>
        <v>9277</v>
      </c>
      <c r="W13" s="21">
        <f t="shared" si="2"/>
        <v>-4.5183202964182767E-2</v>
      </c>
      <c r="X13" s="2">
        <f>X5*'تولید و فروش'!I34</f>
        <v>9631.6430839835957</v>
      </c>
      <c r="Y13" s="2">
        <f t="shared" si="3"/>
        <v>18908.643083983596</v>
      </c>
    </row>
    <row r="14" spans="2:25" ht="18" customHeight="1">
      <c r="B14" s="7" t="s">
        <v>14</v>
      </c>
      <c r="C14" s="7">
        <v>208436</v>
      </c>
      <c r="D14" s="7">
        <v>204159</v>
      </c>
      <c r="E14" s="7">
        <v>212038</v>
      </c>
      <c r="F14" s="7">
        <v>198738</v>
      </c>
      <c r="G14" s="7">
        <v>196342</v>
      </c>
      <c r="H14" s="7">
        <v>179260</v>
      </c>
      <c r="I14" s="7">
        <v>196589</v>
      </c>
      <c r="J14" s="7">
        <v>202849</v>
      </c>
      <c r="K14" s="48">
        <v>14827</v>
      </c>
      <c r="L14" s="7">
        <v>190942</v>
      </c>
      <c r="M14" s="7">
        <v>190555</v>
      </c>
      <c r="N14" s="7">
        <v>151211</v>
      </c>
      <c r="O14" s="7">
        <v>230032</v>
      </c>
      <c r="P14" s="7">
        <v>183736</v>
      </c>
      <c r="Q14" s="7">
        <v>201063</v>
      </c>
      <c r="R14" s="7">
        <v>218330</v>
      </c>
      <c r="S14" s="7">
        <v>216519</v>
      </c>
      <c r="T14" s="7">
        <v>171754</v>
      </c>
      <c r="U14" s="2">
        <f>SUM(U5:U13)</f>
        <v>1198973</v>
      </c>
      <c r="V14" s="2">
        <f>SUM(V5:V13)</f>
        <v>1221434</v>
      </c>
      <c r="W14" s="21">
        <f t="shared" si="2"/>
        <v>1.8733532781805673E-2</v>
      </c>
      <c r="X14" s="2">
        <f>SUM(X5:X13)</f>
        <v>1245976.4263482555</v>
      </c>
      <c r="Y14" s="2">
        <f>SUM(Y5:Y13)</f>
        <v>2467410.4263482555</v>
      </c>
    </row>
    <row r="15" spans="2: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2:26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2:26" ht="30.75" thickBot="1">
      <c r="B18" s="3" t="s">
        <v>11</v>
      </c>
      <c r="C18" s="4" t="s">
        <v>17</v>
      </c>
      <c r="D18" s="4" t="s">
        <v>18</v>
      </c>
      <c r="E18" s="4" t="s">
        <v>19</v>
      </c>
      <c r="F18" s="4" t="s">
        <v>20</v>
      </c>
      <c r="G18" s="4" t="s">
        <v>21</v>
      </c>
      <c r="H18" s="4" t="s">
        <v>22</v>
      </c>
      <c r="I18" s="4" t="s">
        <v>23</v>
      </c>
      <c r="J18" s="4" t="s">
        <v>24</v>
      </c>
      <c r="K18" s="4" t="s">
        <v>25</v>
      </c>
      <c r="L18" s="4" t="s">
        <v>26</v>
      </c>
      <c r="M18" s="4" t="s">
        <v>27</v>
      </c>
      <c r="N18" s="4" t="s">
        <v>28</v>
      </c>
      <c r="O18" s="4" t="s">
        <v>29</v>
      </c>
      <c r="P18" s="4" t="s">
        <v>30</v>
      </c>
      <c r="Q18" s="4" t="s">
        <v>31</v>
      </c>
      <c r="R18" s="4" t="s">
        <v>32</v>
      </c>
      <c r="S18" s="4" t="s">
        <v>33</v>
      </c>
      <c r="T18" s="4" t="s">
        <v>103</v>
      </c>
      <c r="U18" s="2" t="s">
        <v>104</v>
      </c>
      <c r="V18" s="2" t="s">
        <v>105</v>
      </c>
      <c r="W18" s="2" t="s">
        <v>106</v>
      </c>
      <c r="X18" s="2" t="s">
        <v>107</v>
      </c>
      <c r="Y18" s="2" t="s">
        <v>16</v>
      </c>
    </row>
    <row r="19" spans="2:26" ht="19.5" customHeight="1">
      <c r="B19" s="5" t="s">
        <v>3</v>
      </c>
      <c r="C19" s="5">
        <v>48443</v>
      </c>
      <c r="D19" s="5">
        <v>38412</v>
      </c>
      <c r="E19" s="5">
        <v>48515</v>
      </c>
      <c r="F19" s="5">
        <v>34675</v>
      </c>
      <c r="G19" s="5">
        <v>35579</v>
      </c>
      <c r="H19" s="5">
        <v>39724</v>
      </c>
      <c r="I19" s="5">
        <v>43907</v>
      </c>
      <c r="J19" s="5">
        <v>33111</v>
      </c>
      <c r="K19" s="5">
        <v>2711</v>
      </c>
      <c r="L19" s="5">
        <v>37341</v>
      </c>
      <c r="M19" s="5">
        <v>45681</v>
      </c>
      <c r="N19" s="5">
        <v>16829</v>
      </c>
      <c r="O19" s="5">
        <v>52660</v>
      </c>
      <c r="P19" s="5">
        <v>36957</v>
      </c>
      <c r="Q19" s="5">
        <v>51379</v>
      </c>
      <c r="R19" s="5">
        <v>47367</v>
      </c>
      <c r="S19" s="5">
        <v>44626</v>
      </c>
      <c r="T19" s="5">
        <v>54605</v>
      </c>
      <c r="U19" s="2">
        <f>SUM(C19:H19)</f>
        <v>245348</v>
      </c>
      <c r="V19" s="2">
        <f>SUM(O19:T19)</f>
        <v>287594</v>
      </c>
      <c r="W19" s="21">
        <f>V19/U19-1</f>
        <v>0.1721880757128651</v>
      </c>
      <c r="X19" s="2">
        <f>'تولید و فروش'!I41*ماهانه!X5</f>
        <v>263123.34577325889</v>
      </c>
      <c r="Y19" s="2">
        <f>V19+X19</f>
        <v>550717.34577325894</v>
      </c>
      <c r="Z19" s="21">
        <f>V19/V5</f>
        <v>0.49219084259490614</v>
      </c>
    </row>
    <row r="20" spans="2:26" ht="19.5" customHeight="1">
      <c r="B20" s="6" t="s">
        <v>7</v>
      </c>
      <c r="C20" s="6">
        <v>4214</v>
      </c>
      <c r="D20" s="6">
        <v>4992</v>
      </c>
      <c r="E20" s="6">
        <v>5586</v>
      </c>
      <c r="F20" s="6">
        <v>5561</v>
      </c>
      <c r="G20" s="6">
        <v>29230</v>
      </c>
      <c r="H20" s="6">
        <v>2720</v>
      </c>
      <c r="I20" s="6">
        <v>6934</v>
      </c>
      <c r="J20" s="6">
        <v>6432</v>
      </c>
      <c r="K20" s="6">
        <v>4470</v>
      </c>
      <c r="L20" s="6">
        <v>5201</v>
      </c>
      <c r="M20" s="6">
        <v>2100</v>
      </c>
      <c r="N20" s="6">
        <v>3200</v>
      </c>
      <c r="O20" s="6">
        <v>4981</v>
      </c>
      <c r="P20" s="6">
        <v>4470</v>
      </c>
      <c r="Q20" s="6">
        <v>4170</v>
      </c>
      <c r="R20" s="6">
        <v>860</v>
      </c>
      <c r="S20" s="6">
        <v>33227</v>
      </c>
      <c r="T20" s="6">
        <v>17814</v>
      </c>
      <c r="U20" s="2">
        <f t="shared" ref="U20:U27" si="4">SUM(C20:H20)</f>
        <v>52303</v>
      </c>
      <c r="V20" s="2">
        <v>146576</v>
      </c>
      <c r="W20" s="21">
        <f t="shared" ref="W20:W27" si="5">V20/U20-1</f>
        <v>1.8024396306139225</v>
      </c>
      <c r="X20" s="2">
        <f>'تولید و فروش'!I45*(ماهانه!X6+(ماهانه!V6-ماهانه!V20))</f>
        <v>182505.55824344646</v>
      </c>
      <c r="Y20" s="2">
        <f t="shared" ref="Y20:Y27" si="6">V20+X20</f>
        <v>329081.55824344646</v>
      </c>
      <c r="Z20" s="21">
        <f t="shared" ref="Z20:Z28" si="7">V20/V6</f>
        <v>0.89298834538597915</v>
      </c>
    </row>
    <row r="21" spans="2:26" ht="19.5" customHeight="1">
      <c r="B21" s="5" t="s">
        <v>1</v>
      </c>
      <c r="C21" s="5">
        <v>37905</v>
      </c>
      <c r="D21" s="5">
        <v>44928</v>
      </c>
      <c r="E21" s="5">
        <v>50276</v>
      </c>
      <c r="F21" s="5">
        <v>50043</v>
      </c>
      <c r="G21" s="5">
        <v>23916</v>
      </c>
      <c r="H21" s="5">
        <v>42426</v>
      </c>
      <c r="I21" s="5">
        <v>45321</v>
      </c>
      <c r="J21" s="5">
        <v>44030</v>
      </c>
      <c r="K21" s="5">
        <v>34002</v>
      </c>
      <c r="L21" s="5">
        <v>45178</v>
      </c>
      <c r="M21" s="5">
        <v>30757</v>
      </c>
      <c r="N21" s="5">
        <v>35290</v>
      </c>
      <c r="O21" s="5">
        <v>44852</v>
      </c>
      <c r="P21" s="5">
        <v>40226</v>
      </c>
      <c r="Q21" s="5">
        <v>37557</v>
      </c>
      <c r="R21" s="5">
        <v>54002</v>
      </c>
      <c r="S21" s="5">
        <v>31768</v>
      </c>
      <c r="T21" s="5">
        <v>19530</v>
      </c>
      <c r="U21" s="2">
        <f t="shared" si="4"/>
        <v>249494</v>
      </c>
      <c r="V21" s="2">
        <v>129086</v>
      </c>
      <c r="W21" s="21">
        <f t="shared" si="5"/>
        <v>-0.48260880021162833</v>
      </c>
      <c r="X21" s="2">
        <f>'تولید و فروش'!I40*ماهانه!X7+(ماهانه!V7-ماهانه!V21)</f>
        <v>167463.52675219061</v>
      </c>
      <c r="Y21" s="2">
        <f t="shared" si="6"/>
        <v>296549.52675219061</v>
      </c>
      <c r="Z21" s="21">
        <f t="shared" si="7"/>
        <v>0.89762739207832665</v>
      </c>
    </row>
    <row r="22" spans="2:26" ht="19.5" customHeight="1">
      <c r="B22" s="6" t="s">
        <v>4</v>
      </c>
      <c r="C22" s="6">
        <v>24178</v>
      </c>
      <c r="D22" s="6">
        <v>21453</v>
      </c>
      <c r="E22" s="6">
        <v>19870</v>
      </c>
      <c r="F22" s="6">
        <v>19923</v>
      </c>
      <c r="G22" s="6">
        <v>22147</v>
      </c>
      <c r="H22" s="6">
        <v>17511</v>
      </c>
      <c r="I22" s="6">
        <v>19508</v>
      </c>
      <c r="J22" s="6">
        <v>19930</v>
      </c>
      <c r="K22" s="6">
        <v>1173</v>
      </c>
      <c r="L22" s="6">
        <v>18442</v>
      </c>
      <c r="M22" s="6">
        <v>20908</v>
      </c>
      <c r="N22" s="6">
        <v>19293</v>
      </c>
      <c r="O22" s="6">
        <v>23874</v>
      </c>
      <c r="P22" s="6">
        <v>19974</v>
      </c>
      <c r="Q22" s="6">
        <v>20840</v>
      </c>
      <c r="R22" s="6">
        <v>23275</v>
      </c>
      <c r="S22" s="6">
        <v>27706</v>
      </c>
      <c r="T22" s="6">
        <v>19015</v>
      </c>
      <c r="U22" s="2">
        <f t="shared" si="4"/>
        <v>125082</v>
      </c>
      <c r="V22" s="2">
        <f t="shared" ref="V22:V27" si="8">SUM(O22:T22)</f>
        <v>134684</v>
      </c>
      <c r="W22" s="21">
        <f t="shared" si="5"/>
        <v>7.676564173901923E-2</v>
      </c>
      <c r="X22" s="2">
        <f>'تولید و فروش'!I42*ماهانه!X8</f>
        <v>129017.00487332336</v>
      </c>
      <c r="Y22" s="2">
        <f t="shared" si="6"/>
        <v>263701.00487332337</v>
      </c>
      <c r="Z22" s="21">
        <f t="shared" si="7"/>
        <v>0.9965151122784951</v>
      </c>
    </row>
    <row r="23" spans="2:26" ht="19.5" customHeight="1">
      <c r="B23" s="5" t="s">
        <v>5</v>
      </c>
      <c r="C23" s="5">
        <v>25691</v>
      </c>
      <c r="D23" s="5">
        <v>25260</v>
      </c>
      <c r="E23" s="5">
        <v>18589</v>
      </c>
      <c r="F23" s="5">
        <v>19084</v>
      </c>
      <c r="G23" s="5">
        <v>17151</v>
      </c>
      <c r="H23" s="5">
        <v>17518</v>
      </c>
      <c r="I23" s="5">
        <v>18421</v>
      </c>
      <c r="J23" s="5">
        <v>19438</v>
      </c>
      <c r="K23" s="5">
        <v>2074</v>
      </c>
      <c r="L23" s="5">
        <v>23510</v>
      </c>
      <c r="M23" s="5">
        <v>23071</v>
      </c>
      <c r="N23" s="5">
        <v>17410</v>
      </c>
      <c r="O23" s="5">
        <v>26651</v>
      </c>
      <c r="P23" s="5">
        <v>21437</v>
      </c>
      <c r="Q23" s="5">
        <v>19407</v>
      </c>
      <c r="R23" s="5">
        <v>24436</v>
      </c>
      <c r="S23" s="5">
        <v>25576</v>
      </c>
      <c r="T23" s="5">
        <v>17868</v>
      </c>
      <c r="U23" s="2">
        <f t="shared" si="4"/>
        <v>123293</v>
      </c>
      <c r="V23" s="2">
        <f t="shared" si="8"/>
        <v>135375</v>
      </c>
      <c r="W23" s="21">
        <f t="shared" si="5"/>
        <v>9.7994208916970083E-2</v>
      </c>
      <c r="X23" s="2">
        <f>'تولید و فروش'!I43*ماهانه!X9</f>
        <v>142526.51866286848</v>
      </c>
      <c r="Y23" s="2">
        <f t="shared" si="6"/>
        <v>277901.51866286848</v>
      </c>
      <c r="Z23" s="21">
        <f t="shared" si="7"/>
        <v>1.007689330216909</v>
      </c>
    </row>
    <row r="24" spans="2:26" ht="19.5" customHeight="1">
      <c r="B24" s="6" t="s">
        <v>6</v>
      </c>
      <c r="C24" s="6">
        <v>5030</v>
      </c>
      <c r="D24" s="6">
        <v>9062</v>
      </c>
      <c r="E24" s="6">
        <v>8230</v>
      </c>
      <c r="F24" s="6">
        <v>4200</v>
      </c>
      <c r="G24" s="6">
        <v>9893</v>
      </c>
      <c r="H24" s="6">
        <v>7013</v>
      </c>
      <c r="I24" s="6">
        <v>5124</v>
      </c>
      <c r="J24" s="6">
        <v>4200</v>
      </c>
      <c r="K24" s="6">
        <v>4343</v>
      </c>
      <c r="L24" s="6">
        <v>4905</v>
      </c>
      <c r="M24" s="6">
        <v>2756</v>
      </c>
      <c r="N24" s="6">
        <v>12100</v>
      </c>
      <c r="O24" s="6">
        <v>5107</v>
      </c>
      <c r="P24" s="6">
        <v>7863</v>
      </c>
      <c r="Q24" s="6">
        <v>5134</v>
      </c>
      <c r="R24" s="6">
        <v>7914</v>
      </c>
      <c r="S24" s="6">
        <v>563</v>
      </c>
      <c r="T24" s="6">
        <v>4410</v>
      </c>
      <c r="U24" s="2">
        <f t="shared" si="4"/>
        <v>43428</v>
      </c>
      <c r="V24" s="2">
        <f t="shared" si="8"/>
        <v>30991</v>
      </c>
      <c r="W24" s="21">
        <f t="shared" si="5"/>
        <v>-0.28638205765865343</v>
      </c>
      <c r="X24" s="2">
        <f>ماهانه!X10+(ماهانه!V10-ماهانه!V24)</f>
        <v>55060.483836929008</v>
      </c>
      <c r="Y24" s="2">
        <f t="shared" si="6"/>
        <v>86051.483836929008</v>
      </c>
      <c r="Z24" s="21">
        <f t="shared" si="7"/>
        <v>0.74486852857760899</v>
      </c>
    </row>
    <row r="25" spans="2:26" ht="19.5" customHeight="1">
      <c r="B25" s="5" t="s">
        <v>8</v>
      </c>
      <c r="C25" s="5">
        <v>1355</v>
      </c>
      <c r="D25" s="5">
        <v>859</v>
      </c>
      <c r="E25" s="5">
        <v>795</v>
      </c>
      <c r="F25" s="5">
        <v>2188</v>
      </c>
      <c r="G25" s="5">
        <v>626</v>
      </c>
      <c r="H25" s="5">
        <v>532</v>
      </c>
      <c r="I25" s="5">
        <v>550</v>
      </c>
      <c r="J25" s="5">
        <v>2100</v>
      </c>
      <c r="K25" s="5">
        <v>195</v>
      </c>
      <c r="L25" s="5">
        <v>557</v>
      </c>
      <c r="M25" s="5">
        <v>584</v>
      </c>
      <c r="N25" s="5">
        <v>610</v>
      </c>
      <c r="O25" s="5">
        <v>1372</v>
      </c>
      <c r="P25" s="5">
        <v>741</v>
      </c>
      <c r="Q25" s="5">
        <v>696</v>
      </c>
      <c r="R25" s="5">
        <v>1241</v>
      </c>
      <c r="S25" s="5">
        <v>1465</v>
      </c>
      <c r="T25" s="5">
        <v>663</v>
      </c>
      <c r="U25" s="2">
        <f t="shared" si="4"/>
        <v>6355</v>
      </c>
      <c r="V25" s="2">
        <f t="shared" si="8"/>
        <v>6178</v>
      </c>
      <c r="W25" s="21">
        <f t="shared" si="5"/>
        <v>-2.785208497246261E-2</v>
      </c>
      <c r="X25" s="2">
        <f>'تولید و فروش'!I46*ماهانه!X11</f>
        <v>5908.4160296479276</v>
      </c>
      <c r="Y25" s="2">
        <f t="shared" si="6"/>
        <v>12086.416029647928</v>
      </c>
      <c r="Z25" s="21">
        <f t="shared" si="7"/>
        <v>0.71405455386037908</v>
      </c>
    </row>
    <row r="26" spans="2:26" ht="19.5" customHeight="1">
      <c r="B26" s="6" t="s">
        <v>10</v>
      </c>
      <c r="C26" s="6">
        <v>24</v>
      </c>
      <c r="D26" s="6">
        <v>27</v>
      </c>
      <c r="E26" s="6">
        <v>24</v>
      </c>
      <c r="F26" s="6">
        <v>30</v>
      </c>
      <c r="G26" s="6">
        <v>27</v>
      </c>
      <c r="H26" s="6">
        <v>27</v>
      </c>
      <c r="I26" s="6">
        <v>25</v>
      </c>
      <c r="J26" s="6">
        <v>17</v>
      </c>
      <c r="K26" s="6">
        <v>0</v>
      </c>
      <c r="L26" s="6">
        <v>21</v>
      </c>
      <c r="M26" s="6">
        <v>32</v>
      </c>
      <c r="N26" s="6">
        <v>25</v>
      </c>
      <c r="O26" s="6">
        <v>22</v>
      </c>
      <c r="P26" s="6">
        <v>11</v>
      </c>
      <c r="Q26" s="6">
        <v>10</v>
      </c>
      <c r="R26" s="6">
        <v>30</v>
      </c>
      <c r="S26" s="6">
        <v>31</v>
      </c>
      <c r="T26" s="6">
        <v>35</v>
      </c>
      <c r="U26" s="2">
        <f t="shared" si="4"/>
        <v>159</v>
      </c>
      <c r="V26" s="2">
        <f t="shared" si="8"/>
        <v>139</v>
      </c>
      <c r="W26" s="21">
        <f t="shared" si="5"/>
        <v>-0.12578616352201255</v>
      </c>
      <c r="X26" s="2">
        <f>X12</f>
        <v>139</v>
      </c>
      <c r="Y26" s="2">
        <f t="shared" si="6"/>
        <v>278</v>
      </c>
      <c r="Z26" s="21">
        <f t="shared" si="7"/>
        <v>1</v>
      </c>
    </row>
    <row r="27" spans="2:26" ht="19.5" customHeight="1">
      <c r="B27" s="5" t="s">
        <v>9</v>
      </c>
      <c r="C27" s="5">
        <v>2138</v>
      </c>
      <c r="D27" s="5">
        <v>2061</v>
      </c>
      <c r="E27" s="5">
        <v>1398</v>
      </c>
      <c r="F27" s="5">
        <v>1345</v>
      </c>
      <c r="G27" s="5">
        <v>1582</v>
      </c>
      <c r="H27" s="5">
        <v>1136</v>
      </c>
      <c r="I27" s="5">
        <v>1370</v>
      </c>
      <c r="J27" s="5">
        <v>1520</v>
      </c>
      <c r="K27" s="5">
        <v>448</v>
      </c>
      <c r="L27" s="5">
        <v>1480</v>
      </c>
      <c r="M27" s="5">
        <v>1849</v>
      </c>
      <c r="N27" s="5">
        <v>1249</v>
      </c>
      <c r="O27" s="5">
        <v>1728</v>
      </c>
      <c r="P27" s="5">
        <v>1476</v>
      </c>
      <c r="Q27" s="5">
        <v>1166</v>
      </c>
      <c r="R27" s="5">
        <v>1496</v>
      </c>
      <c r="S27" s="5">
        <v>1984</v>
      </c>
      <c r="T27" s="5">
        <v>1459</v>
      </c>
      <c r="U27" s="2">
        <f t="shared" si="4"/>
        <v>9660</v>
      </c>
      <c r="V27" s="2">
        <f t="shared" si="8"/>
        <v>9309</v>
      </c>
      <c r="W27" s="21">
        <f t="shared" si="5"/>
        <v>-3.6335403726708071E-2</v>
      </c>
      <c r="X27" s="2">
        <f>ماهانه!X13</f>
        <v>9631.6430839835957</v>
      </c>
      <c r="Y27" s="2">
        <f t="shared" si="6"/>
        <v>18940.643083983596</v>
      </c>
      <c r="Z27" s="21">
        <f t="shared" si="7"/>
        <v>1.0034493909669073</v>
      </c>
    </row>
    <row r="28" spans="2:26" ht="19.5" customHeight="1">
      <c r="B28" s="7"/>
      <c r="C28" s="7">
        <v>148978</v>
      </c>
      <c r="D28" s="7">
        <v>147054</v>
      </c>
      <c r="E28" s="7">
        <v>153283</v>
      </c>
      <c r="F28" s="7">
        <v>137049</v>
      </c>
      <c r="G28" s="7">
        <v>140151</v>
      </c>
      <c r="H28" s="7">
        <v>128607</v>
      </c>
      <c r="I28" s="7">
        <v>141160</v>
      </c>
      <c r="J28" s="7">
        <v>130778</v>
      </c>
      <c r="K28" s="7">
        <v>49416</v>
      </c>
      <c r="L28" s="7">
        <v>136635</v>
      </c>
      <c r="M28" s="7">
        <v>127738</v>
      </c>
      <c r="N28" s="7">
        <v>106006</v>
      </c>
      <c r="O28" s="7">
        <v>161247</v>
      </c>
      <c r="P28" s="7">
        <v>133155</v>
      </c>
      <c r="Q28" s="7">
        <v>140359</v>
      </c>
      <c r="R28" s="7">
        <v>160621</v>
      </c>
      <c r="S28" s="7">
        <v>166946</v>
      </c>
      <c r="T28" s="7">
        <v>135399</v>
      </c>
      <c r="U28" s="2">
        <f>SUM(U19:U27)</f>
        <v>855122</v>
      </c>
      <c r="V28" s="2">
        <f>SUM(V19:V27)</f>
        <v>879932</v>
      </c>
      <c r="W28" s="21">
        <f>V28/U28-1</f>
        <v>2.9013403935344906E-2</v>
      </c>
      <c r="X28" s="2">
        <f>SUM(X19:X27)</f>
        <v>955375.49725564814</v>
      </c>
      <c r="Y28" s="2">
        <f>SUM(Y19:Y27)</f>
        <v>1835307.4972556487</v>
      </c>
      <c r="Z28" s="21">
        <f t="shared" si="7"/>
        <v>0.72040896192508153</v>
      </c>
    </row>
    <row r="29" spans="2:26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2:26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2:26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6" ht="30.75" thickBot="1">
      <c r="B32" s="3" t="s">
        <v>12</v>
      </c>
      <c r="C32" s="4" t="s">
        <v>17</v>
      </c>
      <c r="D32" s="4" t="s">
        <v>18</v>
      </c>
      <c r="E32" s="4" t="s">
        <v>19</v>
      </c>
      <c r="F32" s="4" t="s">
        <v>20</v>
      </c>
      <c r="G32" s="4" t="s">
        <v>21</v>
      </c>
      <c r="H32" s="4" t="s">
        <v>22</v>
      </c>
      <c r="I32" s="4" t="s">
        <v>23</v>
      </c>
      <c r="J32" s="4" t="s">
        <v>24</v>
      </c>
      <c r="K32" s="4" t="s">
        <v>25</v>
      </c>
      <c r="L32" s="4" t="s">
        <v>26</v>
      </c>
      <c r="M32" s="4" t="s">
        <v>27</v>
      </c>
      <c r="N32" s="4" t="s">
        <v>28</v>
      </c>
      <c r="O32" s="4" t="s">
        <v>29</v>
      </c>
      <c r="P32" s="4" t="s">
        <v>30</v>
      </c>
      <c r="Q32" s="4" t="s">
        <v>31</v>
      </c>
      <c r="R32" s="4" t="s">
        <v>32</v>
      </c>
      <c r="S32" s="4" t="s">
        <v>33</v>
      </c>
      <c r="T32" s="4" t="s">
        <v>103</v>
      </c>
      <c r="U32" s="2" t="s">
        <v>104</v>
      </c>
      <c r="V32" s="2" t="s">
        <v>105</v>
      </c>
      <c r="W32" s="2" t="s">
        <v>106</v>
      </c>
      <c r="X32" s="2" t="s">
        <v>107</v>
      </c>
      <c r="Y32" s="2" t="s">
        <v>16</v>
      </c>
    </row>
    <row r="33" spans="2:25" ht="19.5" customHeight="1">
      <c r="B33" s="5" t="s">
        <v>3</v>
      </c>
      <c r="C33" s="5">
        <v>1840492</v>
      </c>
      <c r="D33" s="5">
        <v>1344318</v>
      </c>
      <c r="E33" s="5">
        <v>1698025</v>
      </c>
      <c r="F33" s="5">
        <v>1410731</v>
      </c>
      <c r="G33" s="5">
        <v>1432275</v>
      </c>
      <c r="H33" s="5">
        <v>1581024</v>
      </c>
      <c r="I33" s="5">
        <v>1729280</v>
      </c>
      <c r="J33" s="5">
        <v>2065630</v>
      </c>
      <c r="K33" s="5">
        <v>169126</v>
      </c>
      <c r="L33" s="5">
        <v>2329554</v>
      </c>
      <c r="M33" s="5">
        <v>2802294</v>
      </c>
      <c r="N33" s="5">
        <v>1052539</v>
      </c>
      <c r="O33" s="5">
        <v>3293615</v>
      </c>
      <c r="P33" s="5">
        <v>2520089</v>
      </c>
      <c r="Q33" s="5">
        <v>3640878</v>
      </c>
      <c r="R33" s="5">
        <v>3112501</v>
      </c>
      <c r="S33" s="5">
        <v>3035630</v>
      </c>
      <c r="T33" s="5">
        <v>3660379</v>
      </c>
      <c r="U33" s="2">
        <f>SUM(C33:H33)</f>
        <v>9306865</v>
      </c>
      <c r="V33" s="2">
        <f>SUM(O33:T33)</f>
        <v>19263092</v>
      </c>
      <c r="W33" s="21">
        <f>V33/U33-1</f>
        <v>1.0697723669570793</v>
      </c>
      <c r="X33" s="2">
        <f>X19*X47/1000000</f>
        <v>17638149.842195109</v>
      </c>
      <c r="Y33" s="2">
        <f>V33+X33</f>
        <v>36901241.842195109</v>
      </c>
    </row>
    <row r="34" spans="2:25" ht="19.5" customHeight="1">
      <c r="B34" s="6" t="s">
        <v>7</v>
      </c>
      <c r="C34" s="6">
        <v>210600</v>
      </c>
      <c r="D34" s="6">
        <v>249595</v>
      </c>
      <c r="E34" s="6">
        <v>279300</v>
      </c>
      <c r="F34" s="6">
        <v>264733</v>
      </c>
      <c r="G34" s="6">
        <v>1834473</v>
      </c>
      <c r="H34" s="6">
        <v>151667</v>
      </c>
      <c r="I34" s="6">
        <v>334640</v>
      </c>
      <c r="J34" s="6">
        <v>475849</v>
      </c>
      <c r="K34" s="6">
        <v>300607</v>
      </c>
      <c r="L34" s="6">
        <v>313359</v>
      </c>
      <c r="M34" s="6">
        <v>149583</v>
      </c>
      <c r="N34" s="6">
        <v>231162</v>
      </c>
      <c r="O34" s="6">
        <v>359817</v>
      </c>
      <c r="P34" s="6">
        <v>385717</v>
      </c>
      <c r="Q34" s="6">
        <v>395466</v>
      </c>
      <c r="R34" s="6">
        <v>70657</v>
      </c>
      <c r="S34" s="6">
        <v>3309189</v>
      </c>
      <c r="T34" s="6">
        <v>1755101</v>
      </c>
      <c r="U34" s="2">
        <f t="shared" ref="U34:U41" si="9">SUM(C34:H34)</f>
        <v>2990368</v>
      </c>
      <c r="V34" s="2">
        <f t="shared" ref="V34:V41" si="10">SUM(O34:T34)</f>
        <v>6275947</v>
      </c>
      <c r="W34" s="21">
        <f t="shared" ref="W34:W42" si="11">V34/U34-1</f>
        <v>1.0987206256888786</v>
      </c>
      <c r="X34" s="2">
        <f t="shared" ref="X34:X41" si="12">X20*X48/1000000</f>
        <v>17981120.861148708</v>
      </c>
      <c r="Y34" s="2">
        <f t="shared" ref="Y34:Y41" si="13">V34+X34</f>
        <v>24257067.861148708</v>
      </c>
    </row>
    <row r="35" spans="2:25" ht="19.5" customHeight="1">
      <c r="B35" s="5" t="s">
        <v>1</v>
      </c>
      <c r="C35" s="5">
        <v>1933257</v>
      </c>
      <c r="D35" s="5">
        <v>2291325</v>
      </c>
      <c r="E35" s="5">
        <v>2564076</v>
      </c>
      <c r="F35" s="5">
        <v>2829365</v>
      </c>
      <c r="G35" s="5">
        <v>1337144</v>
      </c>
      <c r="H35" s="5">
        <v>2660115</v>
      </c>
      <c r="I35" s="5">
        <v>2889902</v>
      </c>
      <c r="J35" s="5">
        <v>3654941</v>
      </c>
      <c r="K35" s="5">
        <v>2762535</v>
      </c>
      <c r="L35" s="5">
        <v>3670496</v>
      </c>
      <c r="M35" s="5">
        <v>2313852</v>
      </c>
      <c r="N35" s="5">
        <v>2690368</v>
      </c>
      <c r="O35" s="5">
        <v>3419337</v>
      </c>
      <c r="P35" s="5">
        <v>3605896</v>
      </c>
      <c r="Q35" s="5">
        <v>4126936</v>
      </c>
      <c r="R35" s="5">
        <v>5876303</v>
      </c>
      <c r="S35" s="5">
        <v>3134656</v>
      </c>
      <c r="T35" s="5">
        <v>1905012</v>
      </c>
      <c r="U35" s="2">
        <f t="shared" si="9"/>
        <v>13615282</v>
      </c>
      <c r="V35" s="2">
        <f t="shared" si="10"/>
        <v>22068140</v>
      </c>
      <c r="W35" s="21">
        <f t="shared" si="11"/>
        <v>0.62083605760056981</v>
      </c>
      <c r="X35" s="2">
        <f t="shared" si="12"/>
        <v>16334870.842704603</v>
      </c>
      <c r="Y35" s="2">
        <f t="shared" si="13"/>
        <v>38403010.842704602</v>
      </c>
    </row>
    <row r="36" spans="2:25" ht="19.5" customHeight="1">
      <c r="B36" s="6" t="s">
        <v>4</v>
      </c>
      <c r="C36" s="6">
        <v>653076</v>
      </c>
      <c r="D36" s="6">
        <v>493415</v>
      </c>
      <c r="E36" s="6">
        <v>457010</v>
      </c>
      <c r="F36" s="6">
        <v>661075</v>
      </c>
      <c r="G36" s="6">
        <v>693361</v>
      </c>
      <c r="H36" s="6">
        <v>542876</v>
      </c>
      <c r="I36" s="6">
        <v>600748</v>
      </c>
      <c r="J36" s="6">
        <v>1338539</v>
      </c>
      <c r="K36" s="6">
        <v>64781</v>
      </c>
      <c r="L36" s="6">
        <v>981597</v>
      </c>
      <c r="M36" s="6">
        <v>1101855</v>
      </c>
      <c r="N36" s="6">
        <v>1039435</v>
      </c>
      <c r="O36" s="6">
        <v>1286230</v>
      </c>
      <c r="P36" s="6">
        <v>1098088</v>
      </c>
      <c r="Q36" s="6">
        <v>1180939</v>
      </c>
      <c r="R36" s="6">
        <v>1336851</v>
      </c>
      <c r="S36" s="6">
        <v>2083081</v>
      </c>
      <c r="T36" s="6">
        <v>1407532</v>
      </c>
      <c r="U36" s="2">
        <f t="shared" si="9"/>
        <v>3500813</v>
      </c>
      <c r="V36" s="2">
        <f t="shared" si="10"/>
        <v>8392721</v>
      </c>
      <c r="W36" s="21">
        <f t="shared" si="11"/>
        <v>1.3973634124416243</v>
      </c>
      <c r="X36" s="2">
        <f t="shared" si="12"/>
        <v>9550121.6350150816</v>
      </c>
      <c r="Y36" s="2">
        <f t="shared" si="13"/>
        <v>17942842.635015082</v>
      </c>
    </row>
    <row r="37" spans="2:25" ht="19.5" customHeight="1">
      <c r="B37" s="5" t="s">
        <v>5</v>
      </c>
      <c r="C37" s="5">
        <v>513880</v>
      </c>
      <c r="D37" s="5">
        <v>555718</v>
      </c>
      <c r="E37" s="5">
        <v>408958</v>
      </c>
      <c r="F37" s="5">
        <v>447932</v>
      </c>
      <c r="G37" s="5">
        <v>395488</v>
      </c>
      <c r="H37" s="5">
        <v>402721</v>
      </c>
      <c r="I37" s="5">
        <v>421683</v>
      </c>
      <c r="J37" s="5">
        <v>938564</v>
      </c>
      <c r="K37" s="5">
        <v>100143</v>
      </c>
      <c r="L37" s="5">
        <v>942428</v>
      </c>
      <c r="M37" s="5">
        <v>1042924</v>
      </c>
      <c r="N37" s="5">
        <v>770832</v>
      </c>
      <c r="O37" s="5">
        <v>1179951</v>
      </c>
      <c r="P37" s="5">
        <v>979135</v>
      </c>
      <c r="Q37" s="5">
        <v>932793</v>
      </c>
      <c r="R37" s="5">
        <v>1166808</v>
      </c>
      <c r="S37" s="5">
        <v>1333852</v>
      </c>
      <c r="T37" s="5">
        <v>926890</v>
      </c>
      <c r="U37" s="2">
        <f t="shared" si="9"/>
        <v>2724697</v>
      </c>
      <c r="V37" s="2">
        <f t="shared" si="10"/>
        <v>6519429</v>
      </c>
      <c r="W37" s="21">
        <f t="shared" si="11"/>
        <v>1.3927170617503526</v>
      </c>
      <c r="X37" s="2">
        <f t="shared" si="12"/>
        <v>7393463.3870732384</v>
      </c>
      <c r="Y37" s="2">
        <f t="shared" si="13"/>
        <v>13912892.387073237</v>
      </c>
    </row>
    <row r="38" spans="2:25" ht="19.5" customHeight="1">
      <c r="B38" s="6" t="s">
        <v>6</v>
      </c>
      <c r="C38" s="6">
        <v>281792</v>
      </c>
      <c r="D38" s="6">
        <v>362477</v>
      </c>
      <c r="E38" s="6">
        <v>370350</v>
      </c>
      <c r="F38" s="6">
        <v>228800</v>
      </c>
      <c r="G38" s="6">
        <v>456138</v>
      </c>
      <c r="H38" s="6">
        <v>483767</v>
      </c>
      <c r="I38" s="6">
        <v>385704</v>
      </c>
      <c r="J38" s="6">
        <v>293571</v>
      </c>
      <c r="K38" s="6">
        <v>326150</v>
      </c>
      <c r="L38" s="6">
        <v>368356</v>
      </c>
      <c r="M38" s="6">
        <v>198705</v>
      </c>
      <c r="N38" s="6">
        <v>896574</v>
      </c>
      <c r="O38" s="6">
        <v>378441</v>
      </c>
      <c r="P38" s="6">
        <v>530240</v>
      </c>
      <c r="Q38" s="6">
        <v>395164</v>
      </c>
      <c r="R38" s="6">
        <v>770992</v>
      </c>
      <c r="S38" s="6">
        <v>52805</v>
      </c>
      <c r="T38" s="6">
        <v>408143</v>
      </c>
      <c r="U38" s="2">
        <f t="shared" si="9"/>
        <v>2183324</v>
      </c>
      <c r="V38" s="2">
        <f t="shared" si="10"/>
        <v>2535785</v>
      </c>
      <c r="W38" s="21">
        <f t="shared" si="11"/>
        <v>0.16143320918013093</v>
      </c>
      <c r="X38" s="2">
        <f t="shared" si="12"/>
        <v>5095816.5598134445</v>
      </c>
      <c r="Y38" s="2">
        <f t="shared" si="13"/>
        <v>7631601.5598134445</v>
      </c>
    </row>
    <row r="39" spans="2:25" ht="19.5" customHeight="1">
      <c r="B39" s="5" t="s">
        <v>8</v>
      </c>
      <c r="C39" s="5">
        <v>80004</v>
      </c>
      <c r="D39" s="5">
        <v>37792</v>
      </c>
      <c r="E39" s="5">
        <v>34980</v>
      </c>
      <c r="F39" s="5">
        <v>126128</v>
      </c>
      <c r="G39" s="5">
        <v>27905</v>
      </c>
      <c r="H39" s="5">
        <v>24939</v>
      </c>
      <c r="I39" s="5">
        <v>28900</v>
      </c>
      <c r="J39" s="5">
        <v>207892</v>
      </c>
      <c r="K39" s="5">
        <v>14373</v>
      </c>
      <c r="L39" s="5">
        <v>40995</v>
      </c>
      <c r="M39" s="5">
        <v>41876</v>
      </c>
      <c r="N39" s="5">
        <v>24351</v>
      </c>
      <c r="O39" s="5">
        <v>99724</v>
      </c>
      <c r="P39" s="5">
        <v>61306</v>
      </c>
      <c r="Q39" s="5">
        <v>54594</v>
      </c>
      <c r="R39" s="5">
        <v>111255</v>
      </c>
      <c r="S39" s="5">
        <v>139268</v>
      </c>
      <c r="T39" s="5">
        <v>62651</v>
      </c>
      <c r="U39" s="2">
        <f t="shared" si="9"/>
        <v>331748</v>
      </c>
      <c r="V39" s="2">
        <f t="shared" si="10"/>
        <v>528798</v>
      </c>
      <c r="W39" s="21">
        <f t="shared" si="11"/>
        <v>0.5939749448376479</v>
      </c>
      <c r="X39" s="2">
        <f t="shared" si="12"/>
        <v>558323.03416488133</v>
      </c>
      <c r="Y39" s="2">
        <f t="shared" si="13"/>
        <v>1087121.0341648813</v>
      </c>
    </row>
    <row r="40" spans="2:25" ht="19.5" customHeight="1">
      <c r="B40" s="6" t="s">
        <v>10</v>
      </c>
      <c r="C40" s="6">
        <v>825</v>
      </c>
      <c r="D40" s="6">
        <v>943</v>
      </c>
      <c r="E40" s="6">
        <v>840</v>
      </c>
      <c r="F40" s="6">
        <v>1051</v>
      </c>
      <c r="G40" s="6">
        <v>1164</v>
      </c>
      <c r="H40" s="6">
        <v>1175</v>
      </c>
      <c r="I40" s="6">
        <v>1005</v>
      </c>
      <c r="J40" s="6">
        <v>848</v>
      </c>
      <c r="K40" s="6">
        <v>0</v>
      </c>
      <c r="L40" s="6">
        <v>798</v>
      </c>
      <c r="M40" s="6">
        <v>1474</v>
      </c>
      <c r="N40" s="6">
        <v>1218</v>
      </c>
      <c r="O40" s="6">
        <v>1071</v>
      </c>
      <c r="P40" s="6">
        <v>470</v>
      </c>
      <c r="Q40" s="6">
        <v>646</v>
      </c>
      <c r="R40" s="6">
        <v>1575</v>
      </c>
      <c r="S40" s="6">
        <v>3909</v>
      </c>
      <c r="T40" s="6">
        <v>4323</v>
      </c>
      <c r="U40" s="2">
        <f t="shared" si="9"/>
        <v>5998</v>
      </c>
      <c r="V40" s="2">
        <f t="shared" si="10"/>
        <v>11994</v>
      </c>
      <c r="W40" s="21">
        <f t="shared" si="11"/>
        <v>0.99966655551850625</v>
      </c>
      <c r="X40" s="2">
        <f t="shared" si="12"/>
        <v>17168.485754000001</v>
      </c>
      <c r="Y40" s="2">
        <f t="shared" si="13"/>
        <v>29162.485754000001</v>
      </c>
    </row>
    <row r="41" spans="2:25" ht="19.5" customHeight="1">
      <c r="B41" s="5" t="s">
        <v>9</v>
      </c>
      <c r="C41" s="5">
        <v>32100</v>
      </c>
      <c r="D41" s="5">
        <v>26790</v>
      </c>
      <c r="E41" s="5">
        <v>18174</v>
      </c>
      <c r="F41" s="5">
        <v>19997</v>
      </c>
      <c r="G41" s="5">
        <v>24048</v>
      </c>
      <c r="H41" s="5">
        <v>17494</v>
      </c>
      <c r="I41" s="5">
        <v>21850</v>
      </c>
      <c r="J41" s="5">
        <v>31892</v>
      </c>
      <c r="K41" s="5">
        <v>14776</v>
      </c>
      <c r="L41" s="5">
        <v>35493</v>
      </c>
      <c r="M41" s="5">
        <v>57432</v>
      </c>
      <c r="N41" s="5">
        <v>41179</v>
      </c>
      <c r="O41" s="5">
        <v>56941</v>
      </c>
      <c r="P41" s="5">
        <v>43801</v>
      </c>
      <c r="Q41" s="5">
        <v>34889</v>
      </c>
      <c r="R41" s="5">
        <v>45889</v>
      </c>
      <c r="S41" s="5">
        <v>69093</v>
      </c>
      <c r="T41" s="5">
        <v>49111</v>
      </c>
      <c r="U41" s="2">
        <f t="shared" si="9"/>
        <v>138603</v>
      </c>
      <c r="V41" s="2">
        <f t="shared" si="10"/>
        <v>299724</v>
      </c>
      <c r="W41" s="21">
        <f t="shared" si="11"/>
        <v>1.1624640159303912</v>
      </c>
      <c r="X41" s="2">
        <f t="shared" si="12"/>
        <v>324208.10841140989</v>
      </c>
      <c r="Y41" s="2">
        <f t="shared" si="13"/>
        <v>623932.10841140989</v>
      </c>
    </row>
    <row r="42" spans="2:25" ht="19.5" customHeight="1">
      <c r="B42" s="7"/>
      <c r="C42" s="7">
        <v>5546026</v>
      </c>
      <c r="D42" s="7">
        <v>5362373</v>
      </c>
      <c r="E42" s="7">
        <v>5831713</v>
      </c>
      <c r="F42" s="7">
        <v>5989812</v>
      </c>
      <c r="G42" s="7">
        <v>6201996</v>
      </c>
      <c r="H42" s="7">
        <v>5865778</v>
      </c>
      <c r="I42" s="7">
        <v>6413712</v>
      </c>
      <c r="J42" s="7">
        <v>9007726</v>
      </c>
      <c r="K42" s="7">
        <v>3752491</v>
      </c>
      <c r="L42" s="7">
        <v>8683076</v>
      </c>
      <c r="M42" s="7">
        <v>7709995</v>
      </c>
      <c r="N42" s="7">
        <v>6747658</v>
      </c>
      <c r="O42" s="7">
        <v>10075127</v>
      </c>
      <c r="P42" s="7">
        <v>9224742</v>
      </c>
      <c r="Q42" s="7">
        <v>10762305</v>
      </c>
      <c r="R42" s="7">
        <v>12492831</v>
      </c>
      <c r="S42" s="7">
        <v>13161483</v>
      </c>
      <c r="T42" s="7">
        <v>10179142</v>
      </c>
      <c r="U42" s="2">
        <f>SUM(U33:U41)</f>
        <v>34797698</v>
      </c>
      <c r="V42" s="2">
        <f>SUM(V33:V41)</f>
        <v>65895630</v>
      </c>
      <c r="W42" s="21">
        <f t="shared" si="11"/>
        <v>0.89367785190847959</v>
      </c>
      <c r="X42" s="2">
        <f>SUM(X33:X41)</f>
        <v>74893242.756280467</v>
      </c>
      <c r="Y42" s="2">
        <f>SUM(Y33:Y41)</f>
        <v>140788872.75628048</v>
      </c>
    </row>
    <row r="43" spans="2: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2: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2:25" ht="30.75" thickBot="1">
      <c r="B46" s="3" t="s">
        <v>13</v>
      </c>
      <c r="C46" s="4" t="s">
        <v>17</v>
      </c>
      <c r="D46" s="4" t="s">
        <v>18</v>
      </c>
      <c r="E46" s="4" t="s">
        <v>19</v>
      </c>
      <c r="F46" s="4" t="s">
        <v>20</v>
      </c>
      <c r="G46" s="4" t="s">
        <v>21</v>
      </c>
      <c r="H46" s="4" t="s">
        <v>22</v>
      </c>
      <c r="I46" s="4" t="s">
        <v>23</v>
      </c>
      <c r="J46" s="4" t="s">
        <v>24</v>
      </c>
      <c r="K46" s="4" t="s">
        <v>25</v>
      </c>
      <c r="L46" s="4" t="s">
        <v>26</v>
      </c>
      <c r="M46" s="4" t="s">
        <v>27</v>
      </c>
      <c r="N46" s="4" t="s">
        <v>28</v>
      </c>
      <c r="O46" s="4" t="s">
        <v>29</v>
      </c>
      <c r="P46" s="4" t="s">
        <v>30</v>
      </c>
      <c r="Q46" s="4" t="s">
        <v>31</v>
      </c>
      <c r="R46" s="4" t="s">
        <v>32</v>
      </c>
      <c r="S46" s="4" t="s">
        <v>33</v>
      </c>
      <c r="T46" s="4" t="s">
        <v>103</v>
      </c>
      <c r="U46" s="2" t="s">
        <v>104</v>
      </c>
      <c r="V46" s="2" t="s">
        <v>105</v>
      </c>
      <c r="W46" s="2" t="s">
        <v>106</v>
      </c>
      <c r="X46" s="2" t="s">
        <v>107</v>
      </c>
      <c r="Y46" s="2" t="s">
        <v>16</v>
      </c>
    </row>
    <row r="47" spans="2:25" ht="19.5" customHeight="1">
      <c r="B47" s="5" t="s">
        <v>3</v>
      </c>
      <c r="C47" s="5">
        <v>37992940</v>
      </c>
      <c r="D47" s="5">
        <v>34997345</v>
      </c>
      <c r="E47" s="5">
        <v>35000000</v>
      </c>
      <c r="F47" s="5">
        <v>40684384</v>
      </c>
      <c r="G47" s="5">
        <v>40256190</v>
      </c>
      <c r="H47" s="5">
        <v>39800222</v>
      </c>
      <c r="I47" s="5">
        <v>39385064</v>
      </c>
      <c r="J47" s="5">
        <v>62385008</v>
      </c>
      <c r="K47" s="5">
        <v>62385098</v>
      </c>
      <c r="L47" s="5">
        <v>62385956</v>
      </c>
      <c r="M47" s="5">
        <v>61344848</v>
      </c>
      <c r="N47" s="5">
        <v>62543170</v>
      </c>
      <c r="O47" s="5">
        <v>62544911</v>
      </c>
      <c r="P47" s="5">
        <v>68189761</v>
      </c>
      <c r="Q47" s="5">
        <v>70863154</v>
      </c>
      <c r="R47" s="5">
        <v>65710326</v>
      </c>
      <c r="S47" s="5">
        <v>68023798</v>
      </c>
      <c r="T47" s="5">
        <v>67033770</v>
      </c>
      <c r="U47" s="2">
        <f>U33/U19*1000000</f>
        <v>37933323.279586546</v>
      </c>
      <c r="V47" s="2">
        <f>V33/V19*1000000</f>
        <v>66980159.530449174</v>
      </c>
      <c r="W47" s="21">
        <f>V47/U47-1</f>
        <v>0.76573402326955908</v>
      </c>
      <c r="X47" s="2">
        <f>T47</f>
        <v>67033770</v>
      </c>
      <c r="Y47" s="2">
        <f>Y35/Y19*1000000</f>
        <v>69732706.146713361</v>
      </c>
    </row>
    <row r="48" spans="2:25" ht="19.5" customHeight="1">
      <c r="B48" s="6" t="s">
        <v>7</v>
      </c>
      <c r="C48" s="6">
        <v>49976270</v>
      </c>
      <c r="D48" s="6">
        <v>49998998</v>
      </c>
      <c r="E48" s="6">
        <v>50000000</v>
      </c>
      <c r="F48" s="6">
        <v>47605287</v>
      </c>
      <c r="G48" s="6">
        <v>62759938</v>
      </c>
      <c r="H48" s="6">
        <v>55759926</v>
      </c>
      <c r="I48" s="6">
        <v>48260744</v>
      </c>
      <c r="J48" s="6">
        <v>73981499</v>
      </c>
      <c r="K48" s="6">
        <v>67249888</v>
      </c>
      <c r="L48" s="6">
        <v>60249760</v>
      </c>
      <c r="M48" s="6">
        <v>71230000</v>
      </c>
      <c r="N48" s="6">
        <v>72238125</v>
      </c>
      <c r="O48" s="6">
        <v>72237904</v>
      </c>
      <c r="P48" s="6">
        <v>86290157</v>
      </c>
      <c r="Q48" s="6">
        <v>94835971</v>
      </c>
      <c r="R48" s="6">
        <v>82159302</v>
      </c>
      <c r="S48" s="6">
        <v>99593373</v>
      </c>
      <c r="T48" s="6">
        <v>98523689</v>
      </c>
      <c r="U48" s="2">
        <f t="shared" ref="U48:V55" si="14">U34/U20*1000000</f>
        <v>57173928.837733977</v>
      </c>
      <c r="V48" s="2">
        <f t="shared" si="14"/>
        <v>42817016.428337514</v>
      </c>
      <c r="W48" s="21">
        <f t="shared" ref="W48:W55" si="15">V48/U48-1</f>
        <v>-0.2511094252442051</v>
      </c>
      <c r="X48" s="2">
        <f t="shared" ref="X48:X55" si="16">T48</f>
        <v>98523689</v>
      </c>
      <c r="Y48" s="2">
        <f t="shared" ref="Y48:Y55" si="17">Y36/Y20*1000000</f>
        <v>54523999.250487953</v>
      </c>
    </row>
    <row r="49" spans="2:25" ht="19.5" customHeight="1">
      <c r="B49" s="5" t="s">
        <v>1</v>
      </c>
      <c r="C49" s="5">
        <v>51002691</v>
      </c>
      <c r="D49" s="5">
        <v>50999933</v>
      </c>
      <c r="E49" s="5">
        <v>51000000</v>
      </c>
      <c r="F49" s="5">
        <v>56538677</v>
      </c>
      <c r="G49" s="5">
        <v>55910018</v>
      </c>
      <c r="H49" s="5">
        <v>62700113</v>
      </c>
      <c r="I49" s="5">
        <v>63765186</v>
      </c>
      <c r="J49" s="5">
        <v>83010243</v>
      </c>
      <c r="K49" s="5">
        <v>81246250</v>
      </c>
      <c r="L49" s="5">
        <v>81245208</v>
      </c>
      <c r="M49" s="5">
        <v>75230094</v>
      </c>
      <c r="N49" s="5">
        <v>76235988</v>
      </c>
      <c r="O49" s="5">
        <v>76235998</v>
      </c>
      <c r="P49" s="5">
        <v>89640929</v>
      </c>
      <c r="Q49" s="5">
        <v>109884602</v>
      </c>
      <c r="R49" s="5">
        <v>108816396</v>
      </c>
      <c r="S49" s="5">
        <v>98673382</v>
      </c>
      <c r="T49" s="5">
        <v>97542857</v>
      </c>
      <c r="U49" s="2">
        <f t="shared" si="14"/>
        <v>54571580.879700512</v>
      </c>
      <c r="V49" s="2">
        <f t="shared" si="14"/>
        <v>170956881.45887238</v>
      </c>
      <c r="W49" s="21">
        <f t="shared" si="15"/>
        <v>2.1327089797111736</v>
      </c>
      <c r="X49" s="2">
        <f t="shared" si="16"/>
        <v>97542857</v>
      </c>
      <c r="Y49" s="2">
        <f t="shared" si="17"/>
        <v>46915914.988795251</v>
      </c>
    </row>
    <row r="50" spans="2:25" ht="19.5" customHeight="1">
      <c r="B50" s="6" t="s">
        <v>4</v>
      </c>
      <c r="C50" s="6">
        <v>27011167</v>
      </c>
      <c r="D50" s="6">
        <v>22999814</v>
      </c>
      <c r="E50" s="6">
        <v>23000000</v>
      </c>
      <c r="F50" s="6">
        <v>33181499</v>
      </c>
      <c r="G50" s="6">
        <v>31307220</v>
      </c>
      <c r="H50" s="6">
        <v>31001999</v>
      </c>
      <c r="I50" s="6">
        <v>30794956</v>
      </c>
      <c r="J50" s="6">
        <v>67162017</v>
      </c>
      <c r="K50" s="6">
        <v>55226769</v>
      </c>
      <c r="L50" s="6">
        <v>53226169</v>
      </c>
      <c r="M50" s="6">
        <v>52700163</v>
      </c>
      <c r="N50" s="6">
        <v>53876276</v>
      </c>
      <c r="O50" s="6">
        <v>53875764</v>
      </c>
      <c r="P50" s="6">
        <v>54975869</v>
      </c>
      <c r="Q50" s="6">
        <v>56666939</v>
      </c>
      <c r="R50" s="6">
        <v>57437207</v>
      </c>
      <c r="S50" s="6">
        <v>75185195</v>
      </c>
      <c r="T50" s="6">
        <v>74022193</v>
      </c>
      <c r="U50" s="2">
        <f t="shared" si="14"/>
        <v>27988143.777681842</v>
      </c>
      <c r="V50" s="2">
        <f t="shared" si="14"/>
        <v>62314165.008464254</v>
      </c>
      <c r="W50" s="21">
        <f t="shared" si="15"/>
        <v>1.2264486528097116</v>
      </c>
      <c r="X50" s="2">
        <f t="shared" si="16"/>
        <v>74022193</v>
      </c>
      <c r="Y50" s="2">
        <f t="shared" si="17"/>
        <v>28940358.279937204</v>
      </c>
    </row>
    <row r="51" spans="2:25" ht="19.5" customHeight="1">
      <c r="B51" s="5" t="s">
        <v>5</v>
      </c>
      <c r="C51" s="5">
        <v>20002335</v>
      </c>
      <c r="D51" s="5">
        <v>21999921</v>
      </c>
      <c r="E51" s="5">
        <v>22000000</v>
      </c>
      <c r="F51" s="5">
        <v>23471599</v>
      </c>
      <c r="G51" s="5">
        <v>23059180</v>
      </c>
      <c r="H51" s="5">
        <v>22988983</v>
      </c>
      <c r="I51" s="5">
        <v>22891428</v>
      </c>
      <c r="J51" s="5">
        <v>48285009</v>
      </c>
      <c r="K51" s="5">
        <v>48284957</v>
      </c>
      <c r="L51" s="5">
        <v>40086261</v>
      </c>
      <c r="M51" s="5">
        <v>45204976</v>
      </c>
      <c r="N51" s="5">
        <v>44275244</v>
      </c>
      <c r="O51" s="5">
        <v>44274174</v>
      </c>
      <c r="P51" s="5">
        <v>45675001</v>
      </c>
      <c r="Q51" s="5">
        <v>48064770</v>
      </c>
      <c r="R51" s="5">
        <v>47749550</v>
      </c>
      <c r="S51" s="5">
        <v>52152487</v>
      </c>
      <c r="T51" s="5">
        <v>51874300</v>
      </c>
      <c r="U51" s="2">
        <f t="shared" si="14"/>
        <v>22099364.927449249</v>
      </c>
      <c r="V51" s="2">
        <f t="shared" si="14"/>
        <v>48158293.628808863</v>
      </c>
      <c r="W51" s="21">
        <f t="shared" si="15"/>
        <v>1.1791709303371092</v>
      </c>
      <c r="X51" s="2">
        <f t="shared" si="16"/>
        <v>51874300</v>
      </c>
      <c r="Y51" s="2">
        <f t="shared" si="17"/>
        <v>3911893.1029797783</v>
      </c>
    </row>
    <row r="52" spans="2:25" ht="19.5" customHeight="1">
      <c r="B52" s="6" t="s">
        <v>6</v>
      </c>
      <c r="C52" s="6">
        <v>56022266</v>
      </c>
      <c r="D52" s="6">
        <v>39999669</v>
      </c>
      <c r="E52" s="6">
        <v>45000000</v>
      </c>
      <c r="F52" s="6">
        <v>54476190</v>
      </c>
      <c r="G52" s="6">
        <v>46107146</v>
      </c>
      <c r="H52" s="6">
        <v>68981463</v>
      </c>
      <c r="I52" s="6">
        <v>75274005</v>
      </c>
      <c r="J52" s="6">
        <v>69897857</v>
      </c>
      <c r="K52" s="6">
        <v>75097859</v>
      </c>
      <c r="L52" s="6">
        <v>75098063</v>
      </c>
      <c r="M52" s="6">
        <v>72099057</v>
      </c>
      <c r="N52" s="6">
        <v>74097025</v>
      </c>
      <c r="O52" s="6">
        <v>74102408</v>
      </c>
      <c r="P52" s="6">
        <v>67434821</v>
      </c>
      <c r="Q52" s="6">
        <v>76970004</v>
      </c>
      <c r="R52" s="6">
        <v>97421279</v>
      </c>
      <c r="S52" s="6">
        <v>93792185</v>
      </c>
      <c r="T52" s="6">
        <v>92549433</v>
      </c>
      <c r="U52" s="2">
        <f t="shared" si="14"/>
        <v>50274569.402228974</v>
      </c>
      <c r="V52" s="2">
        <f t="shared" si="14"/>
        <v>81823271.272304863</v>
      </c>
      <c r="W52" s="21">
        <f t="shared" si="15"/>
        <v>0.62752803743908636</v>
      </c>
      <c r="X52" s="2">
        <f t="shared" si="16"/>
        <v>92549433</v>
      </c>
      <c r="Y52" s="2">
        <f t="shared" si="17"/>
        <v>338895.79184089461</v>
      </c>
    </row>
    <row r="53" spans="2:25" ht="19.5" customHeight="1">
      <c r="B53" s="5" t="s">
        <v>8</v>
      </c>
      <c r="C53" s="5">
        <v>59043542</v>
      </c>
      <c r="D53" s="5">
        <v>43995343</v>
      </c>
      <c r="E53" s="5">
        <v>44000000</v>
      </c>
      <c r="F53" s="5">
        <v>57645338</v>
      </c>
      <c r="G53" s="5">
        <v>44576677</v>
      </c>
      <c r="H53" s="5">
        <v>46877820</v>
      </c>
      <c r="I53" s="5">
        <v>52545455</v>
      </c>
      <c r="J53" s="5">
        <v>98996190</v>
      </c>
      <c r="K53" s="5">
        <v>73707692</v>
      </c>
      <c r="L53" s="5">
        <v>73599641</v>
      </c>
      <c r="M53" s="5">
        <v>71705479</v>
      </c>
      <c r="N53" s="5">
        <v>39919672</v>
      </c>
      <c r="O53" s="5">
        <v>72685131</v>
      </c>
      <c r="P53" s="5">
        <v>82734143</v>
      </c>
      <c r="Q53" s="5">
        <v>78439655</v>
      </c>
      <c r="R53" s="5">
        <v>89649476</v>
      </c>
      <c r="S53" s="5">
        <v>95063481</v>
      </c>
      <c r="T53" s="5">
        <v>94496229</v>
      </c>
      <c r="U53" s="2">
        <f t="shared" si="14"/>
        <v>52202675.059008658</v>
      </c>
      <c r="V53" s="2">
        <f t="shared" si="14"/>
        <v>85593719.650372297</v>
      </c>
      <c r="W53" s="21">
        <f t="shared" si="15"/>
        <v>0.63964240440972042</v>
      </c>
      <c r="X53" s="2">
        <f t="shared" si="16"/>
        <v>94496229</v>
      </c>
      <c r="Y53" s="2">
        <f t="shared" si="17"/>
        <v>51622590.756507725</v>
      </c>
    </row>
    <row r="54" spans="2:25" ht="19.5" customHeight="1">
      <c r="B54" s="6" t="s">
        <v>10</v>
      </c>
      <c r="C54" s="6">
        <v>34375000</v>
      </c>
      <c r="D54" s="6">
        <v>34925926</v>
      </c>
      <c r="E54" s="6">
        <v>35000000</v>
      </c>
      <c r="F54" s="6">
        <v>35033333</v>
      </c>
      <c r="G54" s="6">
        <v>43111111</v>
      </c>
      <c r="H54" s="6">
        <v>43518519</v>
      </c>
      <c r="I54" s="6">
        <v>40200000</v>
      </c>
      <c r="J54" s="6">
        <v>49882353</v>
      </c>
      <c r="K54" s="6">
        <v>0</v>
      </c>
      <c r="L54" s="6">
        <v>38000000</v>
      </c>
      <c r="M54" s="6">
        <v>46062500</v>
      </c>
      <c r="N54" s="6">
        <v>48720000</v>
      </c>
      <c r="O54" s="6">
        <v>48681818</v>
      </c>
      <c r="P54" s="6">
        <v>42727273</v>
      </c>
      <c r="Q54" s="6">
        <v>64600000</v>
      </c>
      <c r="R54" s="6">
        <v>52500000</v>
      </c>
      <c r="S54" s="6">
        <v>126096774</v>
      </c>
      <c r="T54" s="6">
        <v>123514286</v>
      </c>
      <c r="U54" s="2">
        <f t="shared" si="14"/>
        <v>37723270.440251574</v>
      </c>
      <c r="V54" s="2">
        <f t="shared" si="14"/>
        <v>86287769.784172669</v>
      </c>
      <c r="W54" s="21">
        <f t="shared" si="15"/>
        <v>1.2873883620679316</v>
      </c>
      <c r="X54" s="2">
        <f t="shared" si="16"/>
        <v>123514286</v>
      </c>
      <c r="Y54" s="2">
        <f t="shared" si="17"/>
        <v>506434794087.3399</v>
      </c>
    </row>
    <row r="55" spans="2:25" ht="19.5" customHeight="1">
      <c r="B55" s="5" t="s">
        <v>9</v>
      </c>
      <c r="C55" s="5">
        <v>15014032</v>
      </c>
      <c r="D55" s="5">
        <v>12998544</v>
      </c>
      <c r="E55" s="5">
        <v>13000000</v>
      </c>
      <c r="F55" s="5">
        <v>14867658</v>
      </c>
      <c r="G55" s="5">
        <v>15201011</v>
      </c>
      <c r="H55" s="5">
        <v>15399648</v>
      </c>
      <c r="I55" s="5">
        <v>15948905</v>
      </c>
      <c r="J55" s="5">
        <v>20981579</v>
      </c>
      <c r="K55" s="5">
        <v>32982143</v>
      </c>
      <c r="L55" s="5">
        <v>23981757</v>
      </c>
      <c r="M55" s="5">
        <v>31061114</v>
      </c>
      <c r="N55" s="5">
        <v>32969576</v>
      </c>
      <c r="O55" s="5">
        <v>32951968</v>
      </c>
      <c r="P55" s="5">
        <v>29675474</v>
      </c>
      <c r="Q55" s="5">
        <v>29921955</v>
      </c>
      <c r="R55" s="5">
        <v>30674465</v>
      </c>
      <c r="S55" s="5">
        <v>34825101</v>
      </c>
      <c r="T55" s="5">
        <v>33660727</v>
      </c>
      <c r="U55" s="2">
        <f t="shared" si="14"/>
        <v>14348136.645962732</v>
      </c>
      <c r="V55" s="2">
        <f t="shared" si="14"/>
        <v>32197228.488559462</v>
      </c>
      <c r="W55" s="21">
        <f t="shared" si="15"/>
        <v>1.2440006868501001</v>
      </c>
      <c r="X55" s="2">
        <f t="shared" si="16"/>
        <v>33660727</v>
      </c>
      <c r="Y55" s="2">
        <f t="shared" si="17"/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52"/>
  <sheetViews>
    <sheetView rightToLeft="1" topLeftCell="A7" workbookViewId="0">
      <selection activeCell="J12" sqref="J12"/>
    </sheetView>
  </sheetViews>
  <sheetFormatPr defaultRowHeight="14.25"/>
  <cols>
    <col min="1" max="1" width="9.140625" style="2"/>
    <col min="2" max="2" width="51.28515625" style="2" bestFit="1" customWidth="1"/>
    <col min="3" max="3" width="9.140625" style="2"/>
    <col min="4" max="8" width="21.7109375" style="2" customWidth="1"/>
    <col min="9" max="16384" width="9.140625" style="2"/>
  </cols>
  <sheetData>
    <row r="3" spans="2:8" ht="39" customHeight="1" thickBot="1">
      <c r="B3" s="3" t="s">
        <v>34</v>
      </c>
      <c r="C3" s="16"/>
      <c r="D3" s="4" t="s">
        <v>50</v>
      </c>
      <c r="E3" s="4" t="s">
        <v>51</v>
      </c>
      <c r="F3" s="4" t="s">
        <v>52</v>
      </c>
      <c r="G3" s="4" t="s">
        <v>53</v>
      </c>
      <c r="H3" s="4" t="s">
        <v>54</v>
      </c>
    </row>
    <row r="4" spans="2:8">
      <c r="B4" s="20" t="s">
        <v>55</v>
      </c>
      <c r="C4" s="20"/>
      <c r="D4" s="20"/>
      <c r="E4" s="20"/>
      <c r="F4" s="20"/>
      <c r="G4" s="20"/>
      <c r="H4" s="20"/>
    </row>
    <row r="5" spans="2:8">
      <c r="B5" s="5" t="s">
        <v>56</v>
      </c>
      <c r="C5" s="5"/>
      <c r="D5" s="5">
        <v>3471879</v>
      </c>
      <c r="E5" s="5">
        <v>5087828</v>
      </c>
      <c r="F5" s="5">
        <v>4863941</v>
      </c>
      <c r="G5" s="5">
        <v>4193614</v>
      </c>
      <c r="H5" s="5">
        <v>8724437</v>
      </c>
    </row>
    <row r="6" spans="2:8">
      <c r="B6" s="6" t="s">
        <v>57</v>
      </c>
      <c r="C6" s="6"/>
      <c r="D6" s="6">
        <v>0</v>
      </c>
      <c r="E6" s="6">
        <v>0</v>
      </c>
      <c r="F6" s="6">
        <v>0</v>
      </c>
      <c r="G6" s="6">
        <v>0</v>
      </c>
      <c r="H6" s="6">
        <v>0</v>
      </c>
    </row>
    <row r="7" spans="2:8">
      <c r="B7" s="5" t="s">
        <v>58</v>
      </c>
      <c r="C7" s="5"/>
      <c r="D7" s="5">
        <v>15592347</v>
      </c>
      <c r="E7" s="5">
        <v>24260111</v>
      </c>
      <c r="F7" s="5">
        <v>22159779</v>
      </c>
      <c r="G7" s="5">
        <v>25553790</v>
      </c>
      <c r="H7" s="5">
        <v>31575639</v>
      </c>
    </row>
    <row r="8" spans="2:8">
      <c r="B8" s="6" t="s">
        <v>59</v>
      </c>
      <c r="C8" s="6"/>
      <c r="D8" s="6">
        <v>7998653</v>
      </c>
      <c r="E8" s="6">
        <v>3231049</v>
      </c>
      <c r="F8" s="6">
        <v>3274418</v>
      </c>
      <c r="G8" s="6">
        <v>5630592</v>
      </c>
      <c r="H8" s="6">
        <v>6895345</v>
      </c>
    </row>
    <row r="9" spans="2:8">
      <c r="B9" s="5" t="s">
        <v>60</v>
      </c>
      <c r="C9" s="5"/>
      <c r="D9" s="5">
        <v>4413630</v>
      </c>
      <c r="E9" s="5">
        <v>6933925</v>
      </c>
      <c r="F9" s="5">
        <v>7017547</v>
      </c>
      <c r="G9" s="5">
        <v>7009276</v>
      </c>
      <c r="H9" s="5">
        <v>8381255</v>
      </c>
    </row>
    <row r="10" spans="2:8">
      <c r="B10" s="6" t="s">
        <v>61</v>
      </c>
      <c r="C10" s="6"/>
      <c r="D10" s="6">
        <v>2107381</v>
      </c>
      <c r="E10" s="6">
        <v>2919302</v>
      </c>
      <c r="F10" s="6">
        <v>3562111</v>
      </c>
      <c r="G10" s="6">
        <v>3916934</v>
      </c>
      <c r="H10" s="6">
        <v>4126462</v>
      </c>
    </row>
    <row r="11" spans="2:8">
      <c r="B11" s="5" t="s">
        <v>62</v>
      </c>
      <c r="C11" s="5"/>
      <c r="D11" s="5">
        <v>244670</v>
      </c>
      <c r="E11" s="5">
        <v>244997</v>
      </c>
      <c r="F11" s="5">
        <v>244997</v>
      </c>
      <c r="G11" s="5">
        <v>244996</v>
      </c>
      <c r="H11" s="5">
        <v>244996</v>
      </c>
    </row>
    <row r="12" spans="2:8">
      <c r="B12" s="7" t="s">
        <v>63</v>
      </c>
      <c r="C12" s="7"/>
      <c r="D12" s="7">
        <v>33828560</v>
      </c>
      <c r="E12" s="7">
        <v>42677212</v>
      </c>
      <c r="F12" s="7">
        <v>41122793</v>
      </c>
      <c r="G12" s="7">
        <v>46549202</v>
      </c>
      <c r="H12" s="7">
        <v>59948134</v>
      </c>
    </row>
    <row r="13" spans="2:8">
      <c r="B13" s="5" t="s">
        <v>64</v>
      </c>
      <c r="C13" s="5"/>
      <c r="D13" s="5">
        <v>1638956</v>
      </c>
      <c r="E13" s="5">
        <v>3644269</v>
      </c>
      <c r="F13" s="5">
        <v>6490241</v>
      </c>
      <c r="G13" s="5">
        <v>5995645</v>
      </c>
      <c r="H13" s="5">
        <v>6169853</v>
      </c>
    </row>
    <row r="14" spans="2:8">
      <c r="B14" s="6" t="s">
        <v>65</v>
      </c>
      <c r="C14" s="6"/>
      <c r="D14" s="6">
        <v>12414551</v>
      </c>
      <c r="E14" s="6">
        <v>12414551</v>
      </c>
      <c r="F14" s="6">
        <v>12421650</v>
      </c>
      <c r="G14" s="6">
        <v>12987114</v>
      </c>
      <c r="H14" s="6">
        <v>12889114</v>
      </c>
    </row>
    <row r="15" spans="2:8">
      <c r="B15" s="5" t="s">
        <v>66</v>
      </c>
      <c r="C15" s="5"/>
      <c r="D15" s="5">
        <v>0</v>
      </c>
      <c r="E15" s="5">
        <v>0</v>
      </c>
      <c r="F15" s="5">
        <v>0</v>
      </c>
      <c r="G15" s="5">
        <v>0</v>
      </c>
      <c r="H15" s="5">
        <v>0</v>
      </c>
    </row>
    <row r="16" spans="2:8">
      <c r="B16" s="6" t="s">
        <v>67</v>
      </c>
      <c r="C16" s="6"/>
      <c r="D16" s="6">
        <v>10962483</v>
      </c>
      <c r="E16" s="6">
        <v>11406045</v>
      </c>
      <c r="F16" s="6">
        <v>11312931</v>
      </c>
      <c r="G16" s="6">
        <v>11099721</v>
      </c>
      <c r="H16" s="6">
        <v>10855761</v>
      </c>
    </row>
    <row r="17" spans="2:8">
      <c r="B17" s="5" t="s">
        <v>68</v>
      </c>
      <c r="C17" s="5"/>
      <c r="D17" s="5">
        <v>22852</v>
      </c>
      <c r="E17" s="5">
        <v>23083</v>
      </c>
      <c r="F17" s="5">
        <v>23593</v>
      </c>
      <c r="G17" s="5">
        <v>22793</v>
      </c>
      <c r="H17" s="5">
        <v>22497</v>
      </c>
    </row>
    <row r="18" spans="2:8">
      <c r="B18" s="6" t="s">
        <v>69</v>
      </c>
      <c r="C18" s="6"/>
      <c r="D18" s="6" t="s">
        <v>2</v>
      </c>
      <c r="E18" s="6" t="s">
        <v>2</v>
      </c>
      <c r="F18" s="6" t="s">
        <v>2</v>
      </c>
      <c r="G18" s="6" t="s">
        <v>2</v>
      </c>
      <c r="H18" s="6" t="s">
        <v>2</v>
      </c>
    </row>
    <row r="19" spans="2:8">
      <c r="B19" s="5" t="s">
        <v>70</v>
      </c>
      <c r="C19" s="5"/>
      <c r="D19" s="5">
        <v>0</v>
      </c>
      <c r="E19" s="5">
        <v>0</v>
      </c>
      <c r="F19" s="5">
        <v>0</v>
      </c>
      <c r="G19" s="5">
        <v>1377075</v>
      </c>
      <c r="H19" s="5">
        <v>1477075</v>
      </c>
    </row>
    <row r="20" spans="2:8">
      <c r="B20" s="7" t="s">
        <v>71</v>
      </c>
      <c r="C20" s="7"/>
      <c r="D20" s="7">
        <v>25038842</v>
      </c>
      <c r="E20" s="7">
        <v>27487948</v>
      </c>
      <c r="F20" s="7">
        <v>30248415</v>
      </c>
      <c r="G20" s="7">
        <v>31482348</v>
      </c>
      <c r="H20" s="7">
        <v>31414300</v>
      </c>
    </row>
    <row r="21" spans="2:8">
      <c r="B21" s="17" t="s">
        <v>72</v>
      </c>
      <c r="C21" s="17"/>
      <c r="D21" s="17">
        <v>58867402</v>
      </c>
      <c r="E21" s="17">
        <v>70165160</v>
      </c>
      <c r="F21" s="17">
        <v>71371208</v>
      </c>
      <c r="G21" s="17">
        <v>78031550</v>
      </c>
      <c r="H21" s="17">
        <v>91362434</v>
      </c>
    </row>
    <row r="22" spans="2:8">
      <c r="B22" s="20" t="s">
        <v>73</v>
      </c>
      <c r="C22" s="20"/>
      <c r="D22" s="20"/>
      <c r="E22" s="20"/>
      <c r="F22" s="20"/>
      <c r="G22" s="20"/>
      <c r="H22" s="20"/>
    </row>
    <row r="23" spans="2:8">
      <c r="B23" s="5" t="s">
        <v>74</v>
      </c>
      <c r="C23" s="5"/>
      <c r="D23" s="5">
        <v>10080611</v>
      </c>
      <c r="E23" s="5">
        <v>15207295</v>
      </c>
      <c r="F23" s="5">
        <v>14148963</v>
      </c>
      <c r="G23" s="5">
        <v>16091793</v>
      </c>
      <c r="H23" s="5">
        <v>23896130</v>
      </c>
    </row>
    <row r="24" spans="2:8">
      <c r="B24" s="6" t="s">
        <v>75</v>
      </c>
      <c r="C24" s="6"/>
      <c r="D24" s="6" t="s">
        <v>2</v>
      </c>
      <c r="E24" s="6" t="s">
        <v>2</v>
      </c>
      <c r="F24" s="6" t="s">
        <v>2</v>
      </c>
      <c r="G24" s="6" t="s">
        <v>2</v>
      </c>
      <c r="H24" s="6" t="s">
        <v>2</v>
      </c>
    </row>
    <row r="25" spans="2:8">
      <c r="B25" s="5" t="s">
        <v>76</v>
      </c>
      <c r="C25" s="5"/>
      <c r="D25" s="5">
        <v>2128369</v>
      </c>
      <c r="E25" s="5">
        <v>3588468</v>
      </c>
      <c r="F25" s="5">
        <v>4133873</v>
      </c>
      <c r="G25" s="5">
        <v>3139801</v>
      </c>
      <c r="H25" s="5">
        <v>2980142</v>
      </c>
    </row>
    <row r="26" spans="2:8">
      <c r="B26" s="6" t="s">
        <v>77</v>
      </c>
      <c r="C26" s="6"/>
      <c r="D26" s="6">
        <v>2671301</v>
      </c>
      <c r="E26" s="6">
        <v>2357345</v>
      </c>
      <c r="F26" s="6">
        <v>2020152</v>
      </c>
      <c r="G26" s="6">
        <v>3406166</v>
      </c>
      <c r="H26" s="6">
        <v>3659183</v>
      </c>
    </row>
    <row r="27" spans="2:8">
      <c r="B27" s="5" t="s">
        <v>78</v>
      </c>
      <c r="C27" s="5"/>
      <c r="D27" s="5">
        <v>0</v>
      </c>
      <c r="E27" s="5">
        <v>0</v>
      </c>
      <c r="F27" s="5">
        <v>0</v>
      </c>
      <c r="G27" s="5">
        <v>0</v>
      </c>
      <c r="H27" s="5">
        <v>0</v>
      </c>
    </row>
    <row r="28" spans="2:8">
      <c r="B28" s="6" t="s">
        <v>79</v>
      </c>
      <c r="C28" s="6"/>
      <c r="D28" s="6">
        <v>639781</v>
      </c>
      <c r="E28" s="6">
        <v>14886513</v>
      </c>
      <c r="F28" s="6">
        <v>7168157</v>
      </c>
      <c r="G28" s="6">
        <v>2606570</v>
      </c>
      <c r="H28" s="6">
        <v>62493</v>
      </c>
    </row>
    <row r="29" spans="2:8">
      <c r="B29" s="5" t="s">
        <v>80</v>
      </c>
      <c r="C29" s="5"/>
      <c r="D29" s="5">
        <v>3054120</v>
      </c>
      <c r="E29" s="5">
        <v>1336037</v>
      </c>
      <c r="F29" s="5">
        <v>976726</v>
      </c>
      <c r="G29" s="5">
        <v>2431835</v>
      </c>
      <c r="H29" s="5">
        <v>1682751</v>
      </c>
    </row>
    <row r="30" spans="2:8">
      <c r="B30" s="6" t="s">
        <v>81</v>
      </c>
      <c r="C30" s="6"/>
      <c r="D30" s="6">
        <v>0</v>
      </c>
      <c r="E30" s="6">
        <v>0</v>
      </c>
      <c r="F30" s="6">
        <v>0</v>
      </c>
      <c r="G30" s="6">
        <v>0</v>
      </c>
      <c r="H30" s="6">
        <v>0</v>
      </c>
    </row>
    <row r="31" spans="2:8">
      <c r="B31" s="5" t="s">
        <v>82</v>
      </c>
      <c r="C31" s="5"/>
      <c r="D31" s="5">
        <v>0</v>
      </c>
      <c r="E31" s="5">
        <v>0</v>
      </c>
      <c r="F31" s="5">
        <v>0</v>
      </c>
      <c r="G31" s="5">
        <v>0</v>
      </c>
      <c r="H31" s="5">
        <v>0</v>
      </c>
    </row>
    <row r="32" spans="2:8">
      <c r="B32" s="7" t="s">
        <v>83</v>
      </c>
      <c r="C32" s="7"/>
      <c r="D32" s="7">
        <v>18574182</v>
      </c>
      <c r="E32" s="7">
        <v>37375658</v>
      </c>
      <c r="F32" s="7">
        <v>28447871</v>
      </c>
      <c r="G32" s="7">
        <v>27676165</v>
      </c>
      <c r="H32" s="7">
        <v>32280699</v>
      </c>
    </row>
    <row r="33" spans="2:8">
      <c r="B33" s="5" t="s">
        <v>84</v>
      </c>
      <c r="C33" s="5"/>
      <c r="D33" s="5">
        <v>0</v>
      </c>
      <c r="E33" s="5">
        <v>0</v>
      </c>
      <c r="F33" s="5">
        <v>0</v>
      </c>
      <c r="G33" s="5">
        <v>0</v>
      </c>
      <c r="H33" s="5">
        <v>0</v>
      </c>
    </row>
    <row r="34" spans="2:8">
      <c r="B34" s="6" t="s">
        <v>85</v>
      </c>
      <c r="C34" s="6"/>
      <c r="D34" s="6">
        <v>0</v>
      </c>
      <c r="E34" s="6">
        <v>0</v>
      </c>
      <c r="F34" s="6">
        <v>0</v>
      </c>
      <c r="G34" s="6">
        <v>0</v>
      </c>
      <c r="H34" s="6">
        <v>0</v>
      </c>
    </row>
    <row r="35" spans="2:8">
      <c r="B35" s="5" t="s">
        <v>86</v>
      </c>
      <c r="C35" s="5"/>
      <c r="D35" s="5">
        <v>577281</v>
      </c>
      <c r="E35" s="5">
        <v>80463</v>
      </c>
      <c r="F35" s="5">
        <v>82287</v>
      </c>
      <c r="G35" s="5">
        <v>63751</v>
      </c>
      <c r="H35" s="5">
        <v>76753</v>
      </c>
    </row>
    <row r="36" spans="2:8">
      <c r="B36" s="6" t="s">
        <v>87</v>
      </c>
      <c r="C36" s="6"/>
      <c r="D36" s="6">
        <v>616855</v>
      </c>
      <c r="E36" s="6">
        <v>627808</v>
      </c>
      <c r="F36" s="6">
        <v>650229</v>
      </c>
      <c r="G36" s="6">
        <v>671945</v>
      </c>
      <c r="H36" s="6">
        <v>706740</v>
      </c>
    </row>
    <row r="37" spans="2:8">
      <c r="B37" s="17" t="s">
        <v>88</v>
      </c>
      <c r="C37" s="17"/>
      <c r="D37" s="17">
        <v>1194136</v>
      </c>
      <c r="E37" s="17">
        <v>708271</v>
      </c>
      <c r="F37" s="17">
        <v>732516</v>
      </c>
      <c r="G37" s="17">
        <v>735696</v>
      </c>
      <c r="H37" s="17">
        <v>783493</v>
      </c>
    </row>
    <row r="38" spans="2:8">
      <c r="B38" s="7" t="s">
        <v>89</v>
      </c>
      <c r="C38" s="7"/>
      <c r="D38" s="7">
        <v>19768318</v>
      </c>
      <c r="E38" s="7">
        <v>38083929</v>
      </c>
      <c r="F38" s="7">
        <v>29180387</v>
      </c>
      <c r="G38" s="7">
        <v>28411861</v>
      </c>
      <c r="H38" s="7">
        <v>33064192</v>
      </c>
    </row>
    <row r="39" spans="2:8">
      <c r="B39" s="20" t="s">
        <v>90</v>
      </c>
      <c r="C39" s="20"/>
      <c r="D39" s="20"/>
      <c r="E39" s="20"/>
      <c r="F39" s="20"/>
      <c r="G39" s="20"/>
      <c r="H39" s="20"/>
    </row>
    <row r="40" spans="2:8">
      <c r="B40" s="5" t="s">
        <v>45</v>
      </c>
      <c r="C40" s="5"/>
      <c r="D40" s="5">
        <v>9600000</v>
      </c>
      <c r="E40" s="5">
        <v>9600000</v>
      </c>
      <c r="F40" s="5">
        <v>9600000</v>
      </c>
      <c r="G40" s="5">
        <v>9600000</v>
      </c>
      <c r="H40" s="5">
        <v>9600000</v>
      </c>
    </row>
    <row r="41" spans="2:8">
      <c r="B41" s="6" t="s">
        <v>91</v>
      </c>
      <c r="C41" s="6"/>
      <c r="D41" s="6">
        <v>0</v>
      </c>
      <c r="E41" s="6">
        <v>0</v>
      </c>
      <c r="F41" s="6">
        <v>0</v>
      </c>
      <c r="G41" s="6">
        <v>0</v>
      </c>
      <c r="H41" s="6">
        <v>0</v>
      </c>
    </row>
    <row r="42" spans="2:8">
      <c r="B42" s="5" t="s">
        <v>92</v>
      </c>
      <c r="C42" s="5"/>
      <c r="D42" s="5">
        <v>0</v>
      </c>
      <c r="E42" s="5">
        <v>0</v>
      </c>
      <c r="F42" s="5">
        <v>4200000</v>
      </c>
      <c r="G42" s="5">
        <v>4200000</v>
      </c>
      <c r="H42" s="5">
        <v>4200000</v>
      </c>
    </row>
    <row r="43" spans="2:8">
      <c r="B43" s="6" t="s">
        <v>93</v>
      </c>
      <c r="C43" s="6"/>
      <c r="D43" s="6">
        <v>0</v>
      </c>
      <c r="E43" s="6">
        <v>0</v>
      </c>
      <c r="F43" s="6">
        <v>0</v>
      </c>
      <c r="G43" s="6">
        <v>0</v>
      </c>
      <c r="H43" s="6">
        <v>0</v>
      </c>
    </row>
    <row r="44" spans="2:8">
      <c r="B44" s="5" t="s">
        <v>94</v>
      </c>
      <c r="C44" s="5"/>
      <c r="D44" s="5">
        <v>960000</v>
      </c>
      <c r="E44" s="5">
        <v>960000</v>
      </c>
      <c r="F44" s="5">
        <v>960000</v>
      </c>
      <c r="G44" s="5">
        <v>960000</v>
      </c>
      <c r="H44" s="5">
        <v>960000</v>
      </c>
    </row>
    <row r="45" spans="2:8">
      <c r="B45" s="6" t="s">
        <v>95</v>
      </c>
      <c r="C45" s="6"/>
      <c r="D45" s="6">
        <v>0</v>
      </c>
      <c r="E45" s="6">
        <v>0</v>
      </c>
      <c r="F45" s="6">
        <v>0</v>
      </c>
      <c r="G45" s="6">
        <v>0</v>
      </c>
      <c r="H45" s="6">
        <v>0</v>
      </c>
    </row>
    <row r="46" spans="2:8">
      <c r="B46" s="5" t="s">
        <v>96</v>
      </c>
      <c r="C46" s="5"/>
      <c r="D46" s="5">
        <v>0</v>
      </c>
      <c r="E46" s="5">
        <v>0</v>
      </c>
      <c r="F46" s="5">
        <v>0</v>
      </c>
      <c r="G46" s="5">
        <v>0</v>
      </c>
      <c r="H46" s="5">
        <v>0</v>
      </c>
    </row>
    <row r="47" spans="2:8">
      <c r="B47" s="6" t="s">
        <v>97</v>
      </c>
      <c r="C47" s="6"/>
      <c r="D47" s="6">
        <v>0</v>
      </c>
      <c r="E47" s="6">
        <v>0</v>
      </c>
      <c r="F47" s="6">
        <v>0</v>
      </c>
      <c r="G47" s="6">
        <v>0</v>
      </c>
      <c r="H47" s="6">
        <v>0</v>
      </c>
    </row>
    <row r="48" spans="2:8">
      <c r="B48" s="5" t="s">
        <v>98</v>
      </c>
      <c r="C48" s="5"/>
      <c r="D48" s="5">
        <v>0</v>
      </c>
      <c r="E48" s="5">
        <v>0</v>
      </c>
      <c r="F48" s="5">
        <v>0</v>
      </c>
      <c r="G48" s="5">
        <v>0</v>
      </c>
      <c r="H48" s="5">
        <v>0</v>
      </c>
    </row>
    <row r="49" spans="2:8">
      <c r="B49" s="6" t="s">
        <v>99</v>
      </c>
      <c r="C49" s="6"/>
      <c r="D49" s="6">
        <v>0</v>
      </c>
      <c r="E49" s="6">
        <v>0</v>
      </c>
      <c r="F49" s="6">
        <v>0</v>
      </c>
      <c r="G49" s="6">
        <v>0</v>
      </c>
      <c r="H49" s="6">
        <v>0</v>
      </c>
    </row>
    <row r="50" spans="2:8">
      <c r="B50" s="5" t="s">
        <v>100</v>
      </c>
      <c r="C50" s="5"/>
      <c r="D50" s="5">
        <v>28539084</v>
      </c>
      <c r="E50" s="5">
        <v>21521231</v>
      </c>
      <c r="F50" s="5">
        <v>27430821</v>
      </c>
      <c r="G50" s="5">
        <v>34859689</v>
      </c>
      <c r="H50" s="5">
        <v>43538242</v>
      </c>
    </row>
    <row r="51" spans="2:8">
      <c r="B51" s="7" t="s">
        <v>101</v>
      </c>
      <c r="C51" s="7"/>
      <c r="D51" s="7">
        <v>39099084</v>
      </c>
      <c r="E51" s="7">
        <v>32081231</v>
      </c>
      <c r="F51" s="7">
        <v>42190821</v>
      </c>
      <c r="G51" s="7">
        <v>49619689</v>
      </c>
      <c r="H51" s="7">
        <v>58298242</v>
      </c>
    </row>
    <row r="52" spans="2:8">
      <c r="B52" s="17" t="s">
        <v>102</v>
      </c>
      <c r="C52" s="17"/>
      <c r="D52" s="17">
        <v>58867402</v>
      </c>
      <c r="E52" s="17">
        <v>70165160</v>
      </c>
      <c r="F52" s="17">
        <v>71371208</v>
      </c>
      <c r="G52" s="17">
        <v>78031550</v>
      </c>
      <c r="H52" s="17">
        <v>91362434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97"/>
  <sheetViews>
    <sheetView rightToLeft="1" topLeftCell="A76" zoomScale="90" zoomScaleNormal="90" workbookViewId="0">
      <selection activeCell="C110" sqref="C110"/>
    </sheetView>
  </sheetViews>
  <sheetFormatPr defaultRowHeight="16.5"/>
  <cols>
    <col min="1" max="2" width="9.140625" style="8"/>
    <col min="3" max="3" width="38.42578125" style="26" customWidth="1"/>
    <col min="4" max="4" width="24.28515625" style="8" customWidth="1"/>
    <col min="5" max="5" width="24.140625" style="8" bestFit="1" customWidth="1"/>
    <col min="6" max="6" width="24.140625" style="8" customWidth="1"/>
    <col min="7" max="7" width="21" style="8" customWidth="1"/>
    <col min="8" max="9" width="21.140625" style="8" customWidth="1"/>
    <col min="10" max="10" width="20.85546875" style="8" customWidth="1"/>
    <col min="11" max="11" width="17.5703125" style="8" customWidth="1"/>
    <col min="12" max="12" width="19" style="8" customWidth="1"/>
    <col min="13" max="13" width="13.7109375" style="8" customWidth="1"/>
    <col min="14" max="16384" width="9.140625" style="8"/>
  </cols>
  <sheetData>
    <row r="3" spans="3:9" ht="32.25" customHeight="1">
      <c r="C3" s="25" t="s">
        <v>108</v>
      </c>
      <c r="D3" s="23">
        <v>96</v>
      </c>
      <c r="E3" s="23">
        <v>97</v>
      </c>
      <c r="F3" s="23" t="s">
        <v>49</v>
      </c>
      <c r="G3" s="23" t="s">
        <v>132</v>
      </c>
      <c r="H3" s="23" t="s">
        <v>16</v>
      </c>
    </row>
    <row r="4" spans="3:9" ht="20.25" customHeight="1">
      <c r="C4" s="24" t="s">
        <v>109</v>
      </c>
      <c r="D4" s="9">
        <v>28389190</v>
      </c>
      <c r="E4" s="9">
        <v>47555493</v>
      </c>
      <c r="F4" s="9">
        <v>20090413</v>
      </c>
      <c r="G4" s="9">
        <f t="shared" ref="G4:G11" si="0">H4-F4</f>
        <v>62704444.676588923</v>
      </c>
      <c r="H4" s="9">
        <f>G51</f>
        <v>82794857.676588923</v>
      </c>
    </row>
    <row r="5" spans="3:9" ht="20.25" customHeight="1">
      <c r="C5" s="24" t="s">
        <v>110</v>
      </c>
      <c r="D5" s="9">
        <v>452370</v>
      </c>
      <c r="E5" s="9">
        <v>930112</v>
      </c>
      <c r="F5" s="9">
        <v>219550</v>
      </c>
      <c r="G5" s="9">
        <f t="shared" si="0"/>
        <v>989595.60000000009</v>
      </c>
      <c r="H5" s="9">
        <f>E5*1.3</f>
        <v>1209145.6000000001</v>
      </c>
    </row>
    <row r="6" spans="3:9" ht="20.25" customHeight="1">
      <c r="C6" s="24" t="s">
        <v>111</v>
      </c>
      <c r="D6" s="9">
        <v>8800122</v>
      </c>
      <c r="E6" s="9">
        <v>13283015</v>
      </c>
      <c r="F6" s="9">
        <v>4721382</v>
      </c>
      <c r="G6" s="9">
        <f>H6-F6</f>
        <v>12422352.495087817</v>
      </c>
      <c r="H6" s="9">
        <f>G74</f>
        <v>17143734.495087817</v>
      </c>
    </row>
    <row r="7" spans="3:9" ht="20.25" customHeight="1">
      <c r="C7" s="24" t="s">
        <v>14</v>
      </c>
      <c r="D7" s="9">
        <v>37641682</v>
      </c>
      <c r="E7" s="9">
        <v>61768620</v>
      </c>
      <c r="F7" s="9">
        <v>25031345</v>
      </c>
      <c r="G7" s="9">
        <f t="shared" si="0"/>
        <v>76116392.771676734</v>
      </c>
      <c r="H7" s="9">
        <f>SUM(H4:H6)</f>
        <v>101147737.77167673</v>
      </c>
    </row>
    <row r="8" spans="3:9" ht="20.25" customHeight="1">
      <c r="C8" s="24" t="s">
        <v>112</v>
      </c>
      <c r="D8" s="9">
        <v>-323532</v>
      </c>
      <c r="E8" s="9">
        <v>-1921230</v>
      </c>
      <c r="F8" s="9">
        <v>-335106</v>
      </c>
      <c r="G8" s="9">
        <f t="shared" si="0"/>
        <v>51049.715964248287</v>
      </c>
      <c r="H8" s="9">
        <f>'سایر درامدها'!F7</f>
        <v>-284056.28403575171</v>
      </c>
    </row>
    <row r="9" spans="3:9" ht="20.25" customHeight="1">
      <c r="C9" s="24" t="s">
        <v>113</v>
      </c>
      <c r="D9" s="9">
        <v>37318150</v>
      </c>
      <c r="E9" s="9">
        <v>59847390</v>
      </c>
      <c r="F9" s="9">
        <v>24696239</v>
      </c>
      <c r="G9" s="9">
        <f t="shared" si="0"/>
        <v>76167442.487640977</v>
      </c>
      <c r="H9" s="9">
        <f>SUM(H7:H8)</f>
        <v>100863681.48764098</v>
      </c>
    </row>
    <row r="10" spans="3:9" ht="20.25" customHeight="1">
      <c r="C10" s="24" t="s">
        <v>133</v>
      </c>
      <c r="D10" s="9">
        <f>D11-D9</f>
        <v>60466</v>
      </c>
      <c r="E10" s="9">
        <f t="shared" ref="E10:F10" si="1">E11-E9</f>
        <v>-1624570</v>
      </c>
      <c r="F10" s="9">
        <f t="shared" si="1"/>
        <v>-1830885</v>
      </c>
      <c r="G10" s="9">
        <f t="shared" si="0"/>
        <v>1830885</v>
      </c>
      <c r="H10" s="9">
        <v>0</v>
      </c>
    </row>
    <row r="11" spans="3:9" s="15" customFormat="1" ht="20.25" customHeight="1">
      <c r="C11" s="27" t="s">
        <v>36</v>
      </c>
      <c r="D11" s="10">
        <v>37378616</v>
      </c>
      <c r="E11" s="10">
        <v>58222820</v>
      </c>
      <c r="F11" s="10">
        <v>22865354</v>
      </c>
      <c r="G11" s="10">
        <f t="shared" si="0"/>
        <v>77998327.487640977</v>
      </c>
      <c r="H11" s="10">
        <f>SUM(H9:H10)</f>
        <v>100863681.48764098</v>
      </c>
    </row>
    <row r="15" spans="3:9" ht="28.5" customHeight="1">
      <c r="C15" s="25" t="s">
        <v>123</v>
      </c>
      <c r="D15" s="23">
        <v>94</v>
      </c>
      <c r="E15" s="23">
        <v>95</v>
      </c>
      <c r="F15" s="23">
        <v>97</v>
      </c>
      <c r="G15" s="23" t="s">
        <v>49</v>
      </c>
      <c r="H15" s="23" t="s">
        <v>132</v>
      </c>
      <c r="I15" s="23" t="s">
        <v>16</v>
      </c>
    </row>
    <row r="16" spans="3:9" ht="17.25" customHeight="1">
      <c r="C16" s="24" t="s">
        <v>114</v>
      </c>
      <c r="D16" s="44">
        <v>109584</v>
      </c>
      <c r="E16" s="44">
        <v>125041</v>
      </c>
      <c r="F16" s="9">
        <v>98522</v>
      </c>
      <c r="G16" s="9">
        <v>40958</v>
      </c>
      <c r="H16" s="9">
        <f>H29*('تولید و فروش'!$I$24-'تولید و فروش'!$H$24)</f>
        <v>103844.47736417211</v>
      </c>
      <c r="I16" s="9">
        <f>H16+G16</f>
        <v>144802.47736417211</v>
      </c>
    </row>
    <row r="17" spans="3:9" ht="17.25" customHeight="1">
      <c r="C17" s="24" t="s">
        <v>115</v>
      </c>
      <c r="D17" s="44">
        <v>20054</v>
      </c>
      <c r="E17" s="44">
        <v>1780</v>
      </c>
      <c r="F17" s="9">
        <v>10286</v>
      </c>
      <c r="G17" s="9">
        <v>832</v>
      </c>
      <c r="H17" s="9">
        <f>H30*('تولید و فروش'!$I$24-'تولید و فروش'!$H$24)</f>
        <v>5647.9852544934538</v>
      </c>
      <c r="I17" s="9">
        <f t="shared" ref="I17:I25" si="2">H17+G17</f>
        <v>6479.9852544934538</v>
      </c>
    </row>
    <row r="18" spans="3:9" ht="17.25" customHeight="1">
      <c r="C18" s="24" t="s">
        <v>116</v>
      </c>
      <c r="D18" s="44"/>
      <c r="E18" s="44">
        <v>72483</v>
      </c>
      <c r="F18" s="9">
        <v>159041</v>
      </c>
      <c r="G18" s="9">
        <v>31222</v>
      </c>
      <c r="H18" s="9">
        <f>H31*('تولید و فروش'!$I$24-'تولید و فروش'!$H$24)</f>
        <v>115011.59104232205</v>
      </c>
      <c r="I18" s="9">
        <f t="shared" si="2"/>
        <v>146233.59104232205</v>
      </c>
    </row>
    <row r="19" spans="3:9" ht="17.25" customHeight="1">
      <c r="C19" s="24" t="s">
        <v>117</v>
      </c>
      <c r="D19" s="44">
        <v>35987</v>
      </c>
      <c r="E19" s="44">
        <v>77595</v>
      </c>
      <c r="F19" s="9">
        <v>46921</v>
      </c>
      <c r="G19" s="9">
        <v>15063</v>
      </c>
      <c r="H19" s="9">
        <f>H32*('تولید و فروش'!$I$24-'تولید و فروش'!$H$24)</f>
        <v>42755.558079612856</v>
      </c>
      <c r="I19" s="9">
        <f t="shared" si="2"/>
        <v>57818.558079612856</v>
      </c>
    </row>
    <row r="20" spans="3:9" ht="17.25" customHeight="1">
      <c r="C20" s="24" t="s">
        <v>118</v>
      </c>
      <c r="D20" s="44">
        <v>71957</v>
      </c>
      <c r="E20" s="44">
        <v>0</v>
      </c>
      <c r="F20" s="9">
        <v>60607</v>
      </c>
      <c r="G20" s="9">
        <v>40774</v>
      </c>
      <c r="H20" s="9">
        <f>H33*('تولید و فروش'!$I$24-'تولید و فروش'!$H$24)</f>
        <v>87372.794049093674</v>
      </c>
      <c r="I20" s="9">
        <f t="shared" si="2"/>
        <v>128146.79404909367</v>
      </c>
    </row>
    <row r="21" spans="3:9" ht="17.25" customHeight="1">
      <c r="C21" s="24" t="s">
        <v>119</v>
      </c>
      <c r="D21" s="44">
        <f>122160+16380</f>
        <v>138540</v>
      </c>
      <c r="E21" s="44">
        <v>86413</v>
      </c>
      <c r="F21" s="9">
        <v>59111</v>
      </c>
      <c r="G21" s="9">
        <v>18294</v>
      </c>
      <c r="H21" s="9">
        <f>H34*('تولید و فروش'!$I$24-'تولید و فروش'!$H$24)</f>
        <v>52834.422975600122</v>
      </c>
      <c r="I21" s="9">
        <f t="shared" si="2"/>
        <v>71128.422975600115</v>
      </c>
    </row>
    <row r="22" spans="3:9" ht="17.25" customHeight="1">
      <c r="C22" s="24" t="s">
        <v>120</v>
      </c>
      <c r="D22" s="44">
        <v>20476</v>
      </c>
      <c r="E22" s="44">
        <v>34364</v>
      </c>
      <c r="F22" s="9">
        <v>17996</v>
      </c>
      <c r="G22" s="9">
        <v>5153</v>
      </c>
      <c r="H22" s="9">
        <f>H35*('تولید و فروش'!$I$24-'تولید و فروش'!$H$24)</f>
        <v>15457.055984318529</v>
      </c>
      <c r="I22" s="9">
        <f t="shared" si="2"/>
        <v>20610.055984318529</v>
      </c>
    </row>
    <row r="23" spans="3:9" ht="17.25" customHeight="1">
      <c r="C23" s="24" t="s">
        <v>121</v>
      </c>
      <c r="D23" s="44">
        <v>709597</v>
      </c>
      <c r="E23" s="44">
        <v>914411</v>
      </c>
      <c r="F23" s="9">
        <v>661215</v>
      </c>
      <c r="G23" s="9">
        <v>150404</v>
      </c>
      <c r="H23" s="9">
        <f>H36*('تولید و فروش'!$I$24-'تولید و فروش'!$H$24)</f>
        <v>509223.75078789191</v>
      </c>
      <c r="I23" s="9">
        <f t="shared" si="2"/>
        <v>659627.75078789191</v>
      </c>
    </row>
    <row r="24" spans="3:9" ht="17.25" customHeight="1">
      <c r="C24" s="24" t="s">
        <v>122</v>
      </c>
      <c r="D24" s="44">
        <v>830875</v>
      </c>
      <c r="E24" s="44">
        <v>859898</v>
      </c>
      <c r="F24" s="9">
        <v>891829</v>
      </c>
      <c r="G24" s="9">
        <v>259037</v>
      </c>
      <c r="H24" s="9">
        <f>H37*('تولید و فروش'!$I$24-'تولید و فروش'!$H$24)</f>
        <v>771539.80300459161</v>
      </c>
      <c r="I24" s="9">
        <f t="shared" si="2"/>
        <v>1030576.8030045916</v>
      </c>
    </row>
    <row r="25" spans="3:9" ht="17.25" customHeight="1">
      <c r="C25" s="24" t="s">
        <v>10</v>
      </c>
      <c r="D25" s="44">
        <v>3</v>
      </c>
      <c r="E25" s="44">
        <v>0</v>
      </c>
      <c r="F25" s="9">
        <v>0</v>
      </c>
      <c r="G25" s="9">
        <v>3092</v>
      </c>
      <c r="H25" s="9">
        <f>H38*('تولید و فروش'!$I$24-'تولید و فروش'!$H$24)</f>
        <v>4662.6756355123161</v>
      </c>
      <c r="I25" s="9">
        <f t="shared" si="2"/>
        <v>7754.6756355123161</v>
      </c>
    </row>
    <row r="26" spans="3:9" ht="17.25" customHeight="1">
      <c r="C26" s="24" t="s">
        <v>14</v>
      </c>
      <c r="D26" s="24">
        <f>SUM(D16:D25)</f>
        <v>1937073</v>
      </c>
      <c r="E26" s="24">
        <f t="shared" ref="E26" si="3">SUM(E16:E25)</f>
        <v>2171985</v>
      </c>
      <c r="F26" s="9">
        <f>SUM(F16:F25)</f>
        <v>2005528</v>
      </c>
      <c r="G26" s="9">
        <f t="shared" ref="G26" si="4">SUM(G16:G25)</f>
        <v>564829</v>
      </c>
      <c r="H26" s="9">
        <f>SUM(H16:H25)</f>
        <v>1708350.1141776086</v>
      </c>
      <c r="I26" s="9">
        <f>SUM(I16:I25)</f>
        <v>2273179.1141776089</v>
      </c>
    </row>
    <row r="27" spans="3:9" ht="17.25" customHeight="1">
      <c r="C27" s="38"/>
      <c r="D27" s="38"/>
      <c r="E27" s="38"/>
      <c r="F27" s="39"/>
      <c r="G27" s="39"/>
      <c r="H27" s="39"/>
      <c r="I27" s="39"/>
    </row>
    <row r="28" spans="3:9" ht="33" customHeight="1">
      <c r="C28" s="40" t="s">
        <v>152</v>
      </c>
      <c r="D28" s="23">
        <v>94</v>
      </c>
      <c r="E28" s="23">
        <v>95</v>
      </c>
      <c r="F28" s="41">
        <v>97</v>
      </c>
      <c r="G28" s="23" t="s">
        <v>49</v>
      </c>
      <c r="H28" s="23" t="s">
        <v>132</v>
      </c>
      <c r="I28" s="39"/>
    </row>
    <row r="29" spans="3:9" ht="17.25" customHeight="1">
      <c r="C29" s="42" t="s">
        <v>114</v>
      </c>
      <c r="D29" s="19">
        <f>D16/'تولید و فروش'!$D$24</f>
        <v>4.8038043268606938E-2</v>
      </c>
      <c r="E29" s="19">
        <f>E16/'تولید و فروش'!$E$24</f>
        <v>5.2010049206170944E-2</v>
      </c>
      <c r="F29" s="43">
        <f>F16/'تولید و فروش'!$G$24</f>
        <v>4.5418671249624287E-2</v>
      </c>
      <c r="G29" s="19">
        <f>G16/'تولید و فروش'!$H$24</f>
        <v>6.6663302956863679E-2</v>
      </c>
      <c r="H29" s="19">
        <f>AVERAGE(F29:G29)</f>
        <v>5.6040987103243983E-2</v>
      </c>
      <c r="I29" s="39"/>
    </row>
    <row r="30" spans="3:9" ht="17.25" customHeight="1">
      <c r="C30" s="42" t="s">
        <v>115</v>
      </c>
      <c r="D30" s="19">
        <f>D17/'تولید و فروش'!$D$24</f>
        <v>8.7910180291707139E-3</v>
      </c>
      <c r="E30" s="19">
        <f>E17/'تولید و فروش'!$E$24</f>
        <v>7.4038025597191544E-4</v>
      </c>
      <c r="F30" s="43">
        <f>F17/'تولید و فروش'!$G$24</f>
        <v>4.7418490537507905E-3</v>
      </c>
      <c r="G30" s="19">
        <f>G17/'تولید و فروش'!$H$24</f>
        <v>1.3541644626229449E-3</v>
      </c>
      <c r="H30" s="19">
        <f t="shared" ref="H30:H38" si="5">AVERAGE(F30:G30)</f>
        <v>3.0480067581868677E-3</v>
      </c>
      <c r="I30" s="39"/>
    </row>
    <row r="31" spans="3:9" ht="17.25" customHeight="1">
      <c r="C31" s="42" t="s">
        <v>116</v>
      </c>
      <c r="D31" s="19">
        <f>D18/'تولید و فروش'!$D$24</f>
        <v>0</v>
      </c>
      <c r="E31" s="19">
        <f>E18/'تولید و فروش'!$E$24</f>
        <v>3.0148866344726039E-2</v>
      </c>
      <c r="F31" s="43">
        <f>F18/'تولید و فروش'!$G$24</f>
        <v>7.3317948216758647E-2</v>
      </c>
      <c r="G31" s="19">
        <f>G18/'تولید و فروش'!$H$24</f>
        <v>5.0816974581747103E-2</v>
      </c>
      <c r="H31" s="19">
        <f t="shared" si="5"/>
        <v>6.2067461399252871E-2</v>
      </c>
      <c r="I31" s="39"/>
    </row>
    <row r="32" spans="3:9" ht="17.25" customHeight="1">
      <c r="C32" s="42" t="s">
        <v>117</v>
      </c>
      <c r="D32" s="19">
        <f>D19/'تولید و فروش'!$D$24</f>
        <v>1.577552437497589E-2</v>
      </c>
      <c r="E32" s="19">
        <f>E19/'تولید و فروش'!$E$24</f>
        <v>3.2275171888843136E-2</v>
      </c>
      <c r="F32" s="43">
        <f>F19/'تولید و فروش'!$G$24</f>
        <v>2.1630594930103136E-2</v>
      </c>
      <c r="G32" s="19">
        <f>G19/'تولید و فروش'!$H$24</f>
        <v>2.4516561659242091E-2</v>
      </c>
      <c r="H32" s="19">
        <f t="shared" si="5"/>
        <v>2.3073578294672614E-2</v>
      </c>
      <c r="I32" s="39"/>
    </row>
    <row r="33" spans="3:9" ht="17.25" customHeight="1">
      <c r="C33" s="42" t="s">
        <v>118</v>
      </c>
      <c r="D33" s="19">
        <f>D20/'تولید و فروش'!$D$24</f>
        <v>3.15435965056865E-2</v>
      </c>
      <c r="E33" s="19">
        <f>E20/'تولید و فروش'!$E$24</f>
        <v>0</v>
      </c>
      <c r="F33" s="43">
        <f>F20/'تولید و فروش'!$G$24</f>
        <v>2.7939844993260177E-2</v>
      </c>
      <c r="G33" s="19">
        <f>G20/'تولید و فروش'!$H$24</f>
        <v>6.6363824277629754E-2</v>
      </c>
      <c r="H33" s="19">
        <f t="shared" si="5"/>
        <v>4.7151834635444964E-2</v>
      </c>
      <c r="I33" s="39"/>
    </row>
    <row r="34" spans="3:9" ht="17.25" customHeight="1">
      <c r="C34" s="42" t="s">
        <v>119</v>
      </c>
      <c r="D34" s="19">
        <f>D21/'تولید و فروش'!$D$24</f>
        <v>6.0731407088925438E-2</v>
      </c>
      <c r="E34" s="19">
        <f>E21/'تولید و فروش'!$E$24</f>
        <v>3.5942965763652322E-2</v>
      </c>
      <c r="F34" s="43">
        <f>F21/'تولید و فروش'!$G$24</f>
        <v>2.7250188549121427E-2</v>
      </c>
      <c r="G34" s="19">
        <f>G21/'تولید و فروش'!$H$24</f>
        <v>2.9775342162529032E-2</v>
      </c>
      <c r="H34" s="19">
        <f t="shared" si="5"/>
        <v>2.8512765355825229E-2</v>
      </c>
      <c r="I34" s="39"/>
    </row>
    <row r="35" spans="3:9" ht="17.25" customHeight="1">
      <c r="C35" s="42" t="s">
        <v>120</v>
      </c>
      <c r="D35" s="19">
        <f>D22/'تولید و فروش'!$D$24</f>
        <v>8.9760090338735186E-3</v>
      </c>
      <c r="E35" s="19">
        <f>E22/'تولید و فروش'!$E$24</f>
        <v>1.429349837989826E-2</v>
      </c>
      <c r="F35" s="43">
        <f>F22/'تولید و فروش'!$G$24</f>
        <v>8.2961613427279049E-3</v>
      </c>
      <c r="G35" s="19">
        <f>G22/'تولید و فروش'!$H$24</f>
        <v>8.3870306200673501E-3</v>
      </c>
      <c r="H35" s="19">
        <f t="shared" si="5"/>
        <v>8.3415959813976266E-3</v>
      </c>
      <c r="I35" s="39"/>
    </row>
    <row r="36" spans="3:9" ht="17.25" customHeight="1">
      <c r="C36" s="42" t="s">
        <v>121</v>
      </c>
      <c r="D36" s="19">
        <f>D23/'تولید و فروش'!$D$24</f>
        <v>0.31106412787700466</v>
      </c>
      <c r="E36" s="19">
        <f>E23/'تولید و فروش'!$E$24</f>
        <v>0.38034373609187372</v>
      </c>
      <c r="F36" s="43">
        <f>F23/'تولید و فروش'!$G$24</f>
        <v>0.3048203113042805</v>
      </c>
      <c r="G36" s="19">
        <f>G23/'تولید و فروش'!$H$24</f>
        <v>0.24479777864944882</v>
      </c>
      <c r="H36" s="19">
        <f t="shared" si="5"/>
        <v>0.27480904497686465</v>
      </c>
      <c r="I36" s="39"/>
    </row>
    <row r="37" spans="3:9" ht="17.25" customHeight="1">
      <c r="C37" s="42" t="s">
        <v>122</v>
      </c>
      <c r="D37" s="19">
        <f>D24/'تولید و فروش'!$D$24</f>
        <v>0.36422843846550401</v>
      </c>
      <c r="E37" s="19">
        <f>E24/'تولید و فروش'!$E$24</f>
        <v>0.35766938278075178</v>
      </c>
      <c r="F37" s="43">
        <f>F24/'تولید و فروش'!$G$24</f>
        <v>0.41113343376993133</v>
      </c>
      <c r="G37" s="19">
        <f>G24/'تولید و فروش'!$H$24</f>
        <v>0.42160901430824493</v>
      </c>
      <c r="H37" s="19">
        <f t="shared" si="5"/>
        <v>0.41637122403908811</v>
      </c>
      <c r="I37" s="39"/>
    </row>
    <row r="38" spans="3:9">
      <c r="C38" s="42" t="s">
        <v>10</v>
      </c>
      <c r="D38" s="19">
        <f>D25/'تولید و فروش'!$D$24</f>
        <v>1.3151019291668566E-6</v>
      </c>
      <c r="E38" s="19">
        <f>E25/'تولید و فروش'!$E$24</f>
        <v>0</v>
      </c>
      <c r="F38" s="43">
        <f>F25/'تولید و فروش'!$G$24</f>
        <v>0</v>
      </c>
      <c r="G38" s="19">
        <f>G25/'تولید و فروش'!$H$24</f>
        <v>5.0325438923439249E-3</v>
      </c>
      <c r="H38" s="19">
        <f t="shared" si="5"/>
        <v>2.5162719461719624E-3</v>
      </c>
    </row>
    <row r="40" spans="3:9" ht="30.75" customHeight="1">
      <c r="C40" s="25" t="s">
        <v>130</v>
      </c>
      <c r="D40" s="23">
        <v>97</v>
      </c>
      <c r="E40" s="23" t="s">
        <v>49</v>
      </c>
      <c r="F40" s="23" t="s">
        <v>132</v>
      </c>
      <c r="G40" s="23" t="s">
        <v>16</v>
      </c>
    </row>
    <row r="41" spans="3:9" ht="18.75" customHeight="1">
      <c r="C41" s="24" t="s">
        <v>114</v>
      </c>
      <c r="D41" s="9">
        <v>2134344</v>
      </c>
      <c r="E41" s="9">
        <v>1433697</v>
      </c>
      <c r="F41" s="9">
        <f>F56*H16/1000000</f>
        <v>3774068.5707368772</v>
      </c>
      <c r="G41" s="9">
        <f>F41+E41</f>
        <v>5207765.5707368776</v>
      </c>
    </row>
    <row r="42" spans="3:9" ht="18.75" customHeight="1">
      <c r="C42" s="24" t="s">
        <v>115</v>
      </c>
      <c r="D42" s="9">
        <v>366213</v>
      </c>
      <c r="E42" s="9">
        <v>39130</v>
      </c>
      <c r="F42" s="9">
        <f t="shared" ref="F42:F50" si="6">F57*H17/1000000</f>
        <v>258950.90618677324</v>
      </c>
      <c r="G42" s="9">
        <f t="shared" ref="G42:G50" si="7">F42+E42</f>
        <v>298080.90618677321</v>
      </c>
    </row>
    <row r="43" spans="3:9" ht="18.75" customHeight="1">
      <c r="C43" s="24" t="s">
        <v>116</v>
      </c>
      <c r="D43" s="9">
        <v>4655237</v>
      </c>
      <c r="E43" s="9">
        <v>1466303</v>
      </c>
      <c r="F43" s="9">
        <f t="shared" si="6"/>
        <v>5008345.1327136969</v>
      </c>
      <c r="G43" s="9">
        <f t="shared" si="7"/>
        <v>6474648.1327136969</v>
      </c>
    </row>
    <row r="44" spans="3:9" ht="18.75" customHeight="1">
      <c r="C44" s="24" t="s">
        <v>117</v>
      </c>
      <c r="D44" s="9">
        <v>1197592</v>
      </c>
      <c r="E44" s="9">
        <v>682754</v>
      </c>
      <c r="F44" s="9">
        <f t="shared" si="6"/>
        <v>1718644.6456144559</v>
      </c>
      <c r="G44" s="9">
        <f t="shared" si="7"/>
        <v>2401398.6456144559</v>
      </c>
    </row>
    <row r="45" spans="3:9" ht="18.75" customHeight="1">
      <c r="C45" s="24" t="s">
        <v>118</v>
      </c>
      <c r="D45" s="9">
        <v>2114679</v>
      </c>
      <c r="E45" s="9">
        <v>2075360</v>
      </c>
      <c r="F45" s="9">
        <f t="shared" si="6"/>
        <v>4143888.5588095821</v>
      </c>
      <c r="G45" s="9">
        <f t="shared" si="7"/>
        <v>6219248.5588095821</v>
      </c>
    </row>
    <row r="46" spans="3:9" ht="18.75" customHeight="1">
      <c r="C46" s="24" t="s">
        <v>119</v>
      </c>
      <c r="D46" s="9">
        <v>1897338</v>
      </c>
      <c r="E46" s="9">
        <v>893274</v>
      </c>
      <c r="F46" s="9">
        <f t="shared" si="6"/>
        <v>2678556.0313402377</v>
      </c>
      <c r="G46" s="9">
        <f t="shared" si="7"/>
        <v>3571830.0313402377</v>
      </c>
    </row>
    <row r="47" spans="3:9" ht="18.75" customHeight="1">
      <c r="C47" s="24" t="s">
        <v>120</v>
      </c>
      <c r="D47" s="9">
        <v>613555</v>
      </c>
      <c r="E47" s="9">
        <v>287726</v>
      </c>
      <c r="F47" s="9">
        <f t="shared" si="6"/>
        <v>968858.69230517093</v>
      </c>
      <c r="G47" s="9">
        <f t="shared" si="7"/>
        <v>1256584.6923051709</v>
      </c>
    </row>
    <row r="48" spans="3:9" ht="18.75" customHeight="1">
      <c r="C48" s="24" t="s">
        <v>121</v>
      </c>
      <c r="D48" s="9">
        <v>19429180</v>
      </c>
      <c r="E48" s="9">
        <v>7119381</v>
      </c>
      <c r="F48" s="9">
        <f t="shared" si="6"/>
        <v>24633175.12286596</v>
      </c>
      <c r="G48" s="9">
        <f t="shared" si="7"/>
        <v>31752556.12286596</v>
      </c>
    </row>
    <row r="49" spans="3:7" ht="18.75" customHeight="1">
      <c r="C49" s="24" t="s">
        <v>122</v>
      </c>
      <c r="D49" s="9">
        <v>15147355</v>
      </c>
      <c r="E49" s="9">
        <v>6092754</v>
      </c>
      <c r="F49" s="9">
        <f t="shared" si="6"/>
        <v>19519957.016016167</v>
      </c>
      <c r="G49" s="9">
        <f t="shared" si="7"/>
        <v>25612711.016016167</v>
      </c>
    </row>
    <row r="50" spans="3:7" ht="18.75" customHeight="1">
      <c r="C50" s="24" t="s">
        <v>10</v>
      </c>
      <c r="D50" s="9">
        <v>0</v>
      </c>
      <c r="E50" s="9">
        <v>34</v>
      </c>
      <c r="F50" s="9">
        <f t="shared" si="6"/>
        <v>0</v>
      </c>
      <c r="G50" s="9">
        <f t="shared" si="7"/>
        <v>34</v>
      </c>
    </row>
    <row r="51" spans="3:7" s="15" customFormat="1" ht="18.75" customHeight="1">
      <c r="C51" s="27" t="s">
        <v>14</v>
      </c>
      <c r="D51" s="10">
        <v>47555493</v>
      </c>
      <c r="E51" s="10">
        <v>20090413</v>
      </c>
      <c r="F51" s="10">
        <f>SUM(F41:F50)</f>
        <v>62704444.676588923</v>
      </c>
      <c r="G51" s="10">
        <f>SUM(G41:G50)</f>
        <v>82794857.676588923</v>
      </c>
    </row>
    <row r="53" spans="3:7">
      <c r="E53" s="73"/>
    </row>
    <row r="54" spans="3:7">
      <c r="E54" s="72"/>
      <c r="F54" s="53"/>
      <c r="G54" s="53"/>
    </row>
    <row r="55" spans="3:7" ht="31.5" customHeight="1">
      <c r="C55" s="25" t="s">
        <v>131</v>
      </c>
      <c r="D55" s="23">
        <v>97</v>
      </c>
      <c r="E55" s="23" t="s">
        <v>49</v>
      </c>
      <c r="F55" s="23" t="s">
        <v>132</v>
      </c>
      <c r="G55" s="23" t="s">
        <v>16</v>
      </c>
    </row>
    <row r="56" spans="3:7" ht="18.75" customHeight="1">
      <c r="C56" s="24" t="s">
        <v>114</v>
      </c>
      <c r="D56" s="9">
        <v>21663628</v>
      </c>
      <c r="E56" s="9">
        <v>35004077</v>
      </c>
      <c r="F56" s="9">
        <f>F61/E61*E56</f>
        <v>36343469.258375667</v>
      </c>
      <c r="G56" s="9">
        <f>G41/I16*1000000</f>
        <v>35964616.528207362</v>
      </c>
    </row>
    <row r="57" spans="3:7" ht="18.75" customHeight="1">
      <c r="C57" s="24" t="s">
        <v>115</v>
      </c>
      <c r="D57" s="9">
        <v>35603053</v>
      </c>
      <c r="E57" s="9">
        <v>47031250</v>
      </c>
      <c r="F57" s="9">
        <f>E57/G93*K93</f>
        <v>45848367.961080581</v>
      </c>
      <c r="G57" s="9">
        <f t="shared" ref="G57:G64" si="8">G42/I17*1000000</f>
        <v>46000244.519086398</v>
      </c>
    </row>
    <row r="58" spans="3:7" ht="18.75" customHeight="1">
      <c r="C58" s="24" t="s">
        <v>116</v>
      </c>
      <c r="D58" s="9">
        <v>29270672</v>
      </c>
      <c r="E58" s="9">
        <v>46963776</v>
      </c>
      <c r="F58" s="9">
        <f>E58/G94*K94</f>
        <v>43546438.12266472</v>
      </c>
      <c r="G58" s="9">
        <f t="shared" si="8"/>
        <v>44276066.029451765</v>
      </c>
    </row>
    <row r="59" spans="3:7" ht="18.75" customHeight="1">
      <c r="C59" s="24" t="s">
        <v>117</v>
      </c>
      <c r="D59" s="9">
        <v>25523582</v>
      </c>
      <c r="E59" s="9">
        <v>45326562</v>
      </c>
      <c r="F59" s="9">
        <f>E59/G85*K85</f>
        <v>40196987.779091991</v>
      </c>
      <c r="G59" s="9">
        <f t="shared" si="8"/>
        <v>41533354.08862786</v>
      </c>
    </row>
    <row r="60" spans="3:7" ht="18.75" customHeight="1">
      <c r="C60" s="24" t="s">
        <v>118</v>
      </c>
      <c r="D60" s="9">
        <v>34891663</v>
      </c>
      <c r="E60" s="9">
        <v>50899102</v>
      </c>
      <c r="F60" s="9">
        <f>E60/G84*K84</f>
        <v>47427675.901965357</v>
      </c>
      <c r="G60" s="9">
        <f t="shared" si="8"/>
        <v>48532221.230809391</v>
      </c>
    </row>
    <row r="61" spans="3:7" ht="18.75" customHeight="1">
      <c r="C61" s="24" t="s">
        <v>119</v>
      </c>
      <c r="D61" s="9">
        <v>32097884</v>
      </c>
      <c r="E61" s="9">
        <v>48828796</v>
      </c>
      <c r="F61" s="9">
        <f>E61/G97*K97</f>
        <v>50697175.827532798</v>
      </c>
      <c r="G61" s="9">
        <f t="shared" si="8"/>
        <v>50216634.671705261</v>
      </c>
    </row>
    <row r="62" spans="3:7">
      <c r="C62" s="24" t="s">
        <v>120</v>
      </c>
      <c r="D62" s="9">
        <v>34093965</v>
      </c>
      <c r="E62" s="9">
        <v>55836600</v>
      </c>
      <c r="F62" s="9">
        <f>K87</f>
        <v>62680674.333333336</v>
      </c>
      <c r="G62" s="9">
        <f t="shared" si="8"/>
        <v>60969494.370188139</v>
      </c>
    </row>
    <row r="63" spans="3:7">
      <c r="C63" s="24" t="s">
        <v>121</v>
      </c>
      <c r="D63" s="9">
        <v>29384058</v>
      </c>
      <c r="E63" s="9">
        <v>47335051</v>
      </c>
      <c r="F63" s="9">
        <f>K83</f>
        <v>48373971.333333336</v>
      </c>
      <c r="G63" s="9">
        <f t="shared" si="8"/>
        <v>48137083.50647641</v>
      </c>
    </row>
    <row r="64" spans="3:7">
      <c r="C64" s="24" t="s">
        <v>122</v>
      </c>
      <c r="D64" s="9">
        <v>16984596</v>
      </c>
      <c r="E64" s="9">
        <v>23520787</v>
      </c>
      <c r="F64" s="9">
        <f>230*110000</f>
        <v>25300000</v>
      </c>
      <c r="G64" s="9">
        <f t="shared" si="8"/>
        <v>24852792.088220574</v>
      </c>
    </row>
    <row r="65" spans="3:7">
      <c r="C65" s="26" t="s">
        <v>163</v>
      </c>
      <c r="D65" s="8">
        <f>D64/75000</f>
        <v>226.46127999999999</v>
      </c>
      <c r="E65" s="8">
        <f>E64/100000</f>
        <v>235.20787000000001</v>
      </c>
    </row>
    <row r="68" spans="3:7" ht="25.5" customHeight="1">
      <c r="C68" s="25" t="s">
        <v>124</v>
      </c>
      <c r="D68" s="23">
        <v>96</v>
      </c>
      <c r="E68" s="23">
        <v>97</v>
      </c>
      <c r="F68" s="23" t="s">
        <v>49</v>
      </c>
      <c r="G68" s="23" t="s">
        <v>16</v>
      </c>
    </row>
    <row r="69" spans="3:7" ht="25.5" customHeight="1">
      <c r="C69" s="24" t="s">
        <v>125</v>
      </c>
      <c r="D69" s="9">
        <v>1699771</v>
      </c>
      <c r="E69" s="9">
        <v>2101347</v>
      </c>
      <c r="F69" s="9">
        <v>604633</v>
      </c>
      <c r="G69" s="9">
        <f>E69*1.3</f>
        <v>2731751.1</v>
      </c>
    </row>
    <row r="70" spans="3:7" ht="25.5" customHeight="1">
      <c r="C70" s="24" t="s">
        <v>126</v>
      </c>
      <c r="D70" s="9">
        <v>1653378</v>
      </c>
      <c r="E70" s="9">
        <v>1565340</v>
      </c>
      <c r="F70" s="9">
        <v>403270</v>
      </c>
      <c r="G70" s="9">
        <f>F70*4</f>
        <v>1613080</v>
      </c>
    </row>
    <row r="71" spans="3:7" ht="25.5" customHeight="1">
      <c r="C71" s="55" t="s">
        <v>127</v>
      </c>
      <c r="D71" s="56">
        <v>2079883</v>
      </c>
      <c r="E71" s="56">
        <v>3442244</v>
      </c>
      <c r="F71" s="56">
        <v>2407214</v>
      </c>
      <c r="G71" s="56">
        <f>E71/'تولید و فروش'!G24*'تولید و فروش'!I24*(110000/75000)</f>
        <v>5742693.9807487484</v>
      </c>
    </row>
    <row r="72" spans="3:7" ht="25.5" customHeight="1">
      <c r="C72" s="24" t="s">
        <v>128</v>
      </c>
      <c r="D72" s="9">
        <v>979812</v>
      </c>
      <c r="E72" s="9">
        <v>1842675</v>
      </c>
      <c r="F72" s="9">
        <v>435852</v>
      </c>
      <c r="G72" s="9">
        <f>E72/'تولید و فروش'!G24*'تولید و فروش'!I24*1.3</f>
        <v>2724800.4143390702</v>
      </c>
    </row>
    <row r="73" spans="3:7" ht="25.5" customHeight="1">
      <c r="C73" s="24" t="s">
        <v>129</v>
      </c>
      <c r="D73" s="9">
        <v>2387278</v>
      </c>
      <c r="E73" s="9">
        <v>4331409</v>
      </c>
      <c r="F73" s="9">
        <v>870413</v>
      </c>
      <c r="G73" s="9">
        <f>E73</f>
        <v>4331409</v>
      </c>
    </row>
    <row r="74" spans="3:7" s="15" customFormat="1" ht="25.5" customHeight="1">
      <c r="C74" s="27" t="s">
        <v>14</v>
      </c>
      <c r="D74" s="10">
        <f>SUM(D69:D73)</f>
        <v>8800122</v>
      </c>
      <c r="E74" s="10">
        <f>SUM(E69:E73)</f>
        <v>13283015</v>
      </c>
      <c r="F74" s="10">
        <f t="shared" ref="F74:G74" si="9">SUM(F69:F73)</f>
        <v>4721382</v>
      </c>
      <c r="G74" s="10">
        <f t="shared" si="9"/>
        <v>17143734.495087817</v>
      </c>
    </row>
    <row r="75" spans="3:7" ht="25.5" customHeight="1"/>
    <row r="76" spans="3:7" ht="25.5" customHeight="1">
      <c r="C76" s="25" t="s">
        <v>153</v>
      </c>
      <c r="D76" s="23">
        <v>97</v>
      </c>
      <c r="E76" s="23" t="s">
        <v>154</v>
      </c>
      <c r="F76" s="23" t="s">
        <v>132</v>
      </c>
      <c r="G76" s="23" t="s">
        <v>16</v>
      </c>
    </row>
    <row r="77" spans="3:7" ht="25.5" customHeight="1">
      <c r="C77" s="24" t="s">
        <v>155</v>
      </c>
      <c r="D77" s="9">
        <f>'سود و زیان'!G10</f>
        <v>-310014</v>
      </c>
      <c r="E77" s="9">
        <f>'سود و زیان'!H10</f>
        <v>-118560</v>
      </c>
      <c r="F77" s="9">
        <f>-0.18*(ترازنامه!H29+ترازنامه!H35)</f>
        <v>-316710.71999999997</v>
      </c>
      <c r="G77" s="9">
        <f>F77+E77</f>
        <v>-435270.72</v>
      </c>
    </row>
    <row r="81" spans="3:11" ht="20.25">
      <c r="C81" s="66" t="s">
        <v>178</v>
      </c>
      <c r="D81" s="66"/>
      <c r="E81" s="66"/>
      <c r="F81" s="66"/>
      <c r="G81" s="66"/>
      <c r="H81" s="66"/>
      <c r="I81" s="66"/>
      <c r="J81" s="66"/>
      <c r="K81" s="66"/>
    </row>
    <row r="82" spans="3:11" ht="33">
      <c r="C82" s="71" t="s">
        <v>13</v>
      </c>
      <c r="D82" s="68" t="s">
        <v>29</v>
      </c>
      <c r="E82" s="68" t="s">
        <v>30</v>
      </c>
      <c r="F82" s="68" t="s">
        <v>31</v>
      </c>
      <c r="G82" s="69" t="s">
        <v>181</v>
      </c>
      <c r="H82" s="68" t="s">
        <v>32</v>
      </c>
      <c r="I82" s="68" t="s">
        <v>33</v>
      </c>
      <c r="J82" s="68" t="s">
        <v>103</v>
      </c>
      <c r="K82" s="69" t="s">
        <v>182</v>
      </c>
    </row>
    <row r="83" spans="3:11">
      <c r="C83" s="71" t="s">
        <v>121</v>
      </c>
      <c r="D83" s="67">
        <v>45043606</v>
      </c>
      <c r="E83" s="67">
        <v>49957621</v>
      </c>
      <c r="F83" s="67">
        <v>47757578</v>
      </c>
      <c r="G83" s="70">
        <f>AVERAGE(D83:F83)</f>
        <v>47586268.333333336</v>
      </c>
      <c r="H83" s="67">
        <v>51579231</v>
      </c>
      <c r="I83" s="67">
        <v>47410720</v>
      </c>
      <c r="J83" s="67">
        <v>46131963</v>
      </c>
      <c r="K83" s="70">
        <f>AVERAGE(H83:J83)</f>
        <v>48373971.333333336</v>
      </c>
    </row>
    <row r="84" spans="3:11">
      <c r="C84" s="71" t="s">
        <v>118</v>
      </c>
      <c r="D84" s="67">
        <v>47022645</v>
      </c>
      <c r="E84" s="67">
        <v>51620901</v>
      </c>
      <c r="F84" s="67">
        <v>63359465</v>
      </c>
      <c r="G84" s="70">
        <f t="shared" ref="G84:G87" si="10">AVERAGE(D84:F84)</f>
        <v>54001003.666666664</v>
      </c>
      <c r="H84" s="67">
        <v>55715069</v>
      </c>
      <c r="I84" s="67">
        <v>44715148</v>
      </c>
      <c r="J84" s="67">
        <v>50523847</v>
      </c>
      <c r="K84" s="70">
        <f t="shared" ref="K84:K87" si="11">AVERAGE(H84:J84)</f>
        <v>50318021.333333336</v>
      </c>
    </row>
    <row r="85" spans="3:11">
      <c r="C85" s="71" t="s">
        <v>117</v>
      </c>
      <c r="D85" s="67">
        <v>43708180</v>
      </c>
      <c r="E85" s="67">
        <v>45901969</v>
      </c>
      <c r="F85" s="67">
        <v>44144148</v>
      </c>
      <c r="G85" s="70">
        <f t="shared" si="10"/>
        <v>44584765.666666664</v>
      </c>
      <c r="H85" s="67">
        <v>41523810</v>
      </c>
      <c r="I85" s="67">
        <v>39256471</v>
      </c>
      <c r="J85" s="67">
        <v>37837139</v>
      </c>
      <c r="K85" s="70">
        <f t="shared" si="11"/>
        <v>39539140</v>
      </c>
    </row>
    <row r="86" spans="3:11">
      <c r="C86" s="71" t="s">
        <v>177</v>
      </c>
      <c r="D86" s="67">
        <v>46948361</v>
      </c>
      <c r="E86" s="67">
        <v>52269626</v>
      </c>
      <c r="F86" s="67">
        <v>49072860</v>
      </c>
      <c r="G86" s="70">
        <f t="shared" si="10"/>
        <v>49430282.333333336</v>
      </c>
      <c r="H86" s="67">
        <v>53713100</v>
      </c>
      <c r="I86" s="67">
        <v>49555440</v>
      </c>
      <c r="J86" s="67">
        <v>47763746</v>
      </c>
      <c r="K86" s="70">
        <f t="shared" si="11"/>
        <v>50344095.333333336</v>
      </c>
    </row>
    <row r="87" spans="3:11">
      <c r="C87" s="71" t="s">
        <v>120</v>
      </c>
      <c r="D87" s="67">
        <v>54243471</v>
      </c>
      <c r="E87" s="67">
        <v>54664262</v>
      </c>
      <c r="F87" s="67">
        <v>58074785</v>
      </c>
      <c r="G87" s="70">
        <f t="shared" si="10"/>
        <v>55660839.333333336</v>
      </c>
      <c r="H87" s="67">
        <v>63107100</v>
      </c>
      <c r="I87" s="67">
        <v>62667569</v>
      </c>
      <c r="J87" s="67">
        <v>62267354</v>
      </c>
      <c r="K87" s="70">
        <f t="shared" si="11"/>
        <v>62680674.333333336</v>
      </c>
    </row>
    <row r="90" spans="3:11" ht="20.25">
      <c r="C90" s="66" t="s">
        <v>180</v>
      </c>
      <c r="D90" s="66"/>
      <c r="E90" s="66"/>
      <c r="F90" s="66"/>
      <c r="G90" s="66"/>
      <c r="H90" s="66"/>
      <c r="I90" s="66"/>
      <c r="J90" s="66"/>
      <c r="K90" s="66"/>
    </row>
    <row r="91" spans="3:11" ht="33">
      <c r="C91" s="71" t="s">
        <v>13</v>
      </c>
      <c r="D91" s="68" t="s">
        <v>29</v>
      </c>
      <c r="E91" s="68" t="s">
        <v>30</v>
      </c>
      <c r="F91" s="67" t="s">
        <v>31</v>
      </c>
      <c r="G91" s="69" t="s">
        <v>181</v>
      </c>
      <c r="H91" s="68" t="s">
        <v>32</v>
      </c>
      <c r="I91" s="68" t="s">
        <v>33</v>
      </c>
      <c r="J91" s="67" t="s">
        <v>103</v>
      </c>
      <c r="K91" s="69" t="s">
        <v>182</v>
      </c>
    </row>
    <row r="92" spans="3:11">
      <c r="C92" s="71" t="s">
        <v>122</v>
      </c>
      <c r="D92" s="67">
        <v>22915117</v>
      </c>
      <c r="E92" s="67">
        <v>22915277</v>
      </c>
      <c r="F92" s="67">
        <v>23015486</v>
      </c>
      <c r="G92" s="70">
        <f>AVERAGE(D92:F92)</f>
        <v>22948626.666666668</v>
      </c>
      <c r="H92" s="67">
        <v>26232340</v>
      </c>
      <c r="I92" s="67">
        <v>26776733</v>
      </c>
      <c r="J92" s="67">
        <v>26646079</v>
      </c>
      <c r="K92" s="70">
        <f>AVERAGE(H92:J92)</f>
        <v>26551717.333333332</v>
      </c>
    </row>
    <row r="93" spans="3:11" ht="24.75" customHeight="1">
      <c r="C93" s="71" t="s">
        <v>115</v>
      </c>
      <c r="D93" s="67">
        <v>43456954</v>
      </c>
      <c r="E93" s="67">
        <v>41867089</v>
      </c>
      <c r="F93" s="67">
        <v>42601150</v>
      </c>
      <c r="G93" s="70">
        <f t="shared" ref="G93:G95" si="12">AVERAGE(D93:F93)</f>
        <v>42641731</v>
      </c>
      <c r="H93" s="67">
        <v>41492209</v>
      </c>
      <c r="I93" s="67">
        <v>42361421</v>
      </c>
      <c r="J93" s="67">
        <v>40854119</v>
      </c>
      <c r="K93" s="70">
        <f t="shared" ref="K93:K95" si="13">AVERAGE(H93:J93)</f>
        <v>41569249.666666664</v>
      </c>
    </row>
    <row r="94" spans="3:11" ht="24.75" customHeight="1">
      <c r="C94" s="71" t="s">
        <v>116</v>
      </c>
      <c r="D94" s="68">
        <v>45547754</v>
      </c>
      <c r="E94" s="68">
        <v>40527093</v>
      </c>
      <c r="F94" s="67">
        <v>44599226</v>
      </c>
      <c r="G94" s="70">
        <f t="shared" si="12"/>
        <v>43558024.333333336</v>
      </c>
      <c r="H94" s="68">
        <v>39114861</v>
      </c>
      <c r="I94" s="68">
        <v>40109651</v>
      </c>
      <c r="J94" s="67">
        <v>41941010</v>
      </c>
      <c r="K94" s="70">
        <f t="shared" si="13"/>
        <v>40388507.333333336</v>
      </c>
    </row>
    <row r="95" spans="3:11" ht="24.75" customHeight="1">
      <c r="C95" s="71" t="s">
        <v>179</v>
      </c>
      <c r="D95" s="67">
        <v>36279542</v>
      </c>
      <c r="E95" s="67">
        <v>40357371</v>
      </c>
      <c r="F95" s="67">
        <v>42065721</v>
      </c>
      <c r="G95" s="70">
        <f t="shared" si="12"/>
        <v>39567544.666666664</v>
      </c>
      <c r="H95" s="67">
        <v>40980351</v>
      </c>
      <c r="I95" s="67">
        <v>43029963</v>
      </c>
      <c r="J95" s="67">
        <v>42167091</v>
      </c>
      <c r="K95" s="70">
        <f t="shared" si="13"/>
        <v>42059135</v>
      </c>
    </row>
    <row r="97" spans="7:11">
      <c r="G97" s="8">
        <f>AVERAGE(G95,G86)</f>
        <v>44498913.5</v>
      </c>
      <c r="K97" s="8">
        <f>AVERAGE(K95,K86)</f>
        <v>46201615.166666672</v>
      </c>
    </row>
  </sheetData>
  <mergeCells count="2">
    <mergeCell ref="C81:K81"/>
    <mergeCell ref="C90:K9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Q25"/>
  <sheetViews>
    <sheetView rightToLeft="1" zoomScale="90" zoomScaleNormal="90" workbookViewId="0">
      <selection activeCell="F7" sqref="F7"/>
    </sheetView>
  </sheetViews>
  <sheetFormatPr defaultRowHeight="14.25"/>
  <cols>
    <col min="1" max="1" width="9.140625" style="2"/>
    <col min="2" max="2" width="45.28515625" style="28" bestFit="1" customWidth="1"/>
    <col min="3" max="3" width="22.28515625" style="2" customWidth="1"/>
    <col min="4" max="4" width="17" style="2" customWidth="1"/>
    <col min="5" max="5" width="19.28515625" style="2" customWidth="1"/>
    <col min="6" max="6" width="17.140625" style="2" customWidth="1"/>
    <col min="7" max="7" width="14.85546875" style="2" customWidth="1"/>
    <col min="8" max="8" width="13.140625" style="2" bestFit="1" customWidth="1"/>
    <col min="9" max="11" width="9.140625" style="2"/>
    <col min="12" max="12" width="43.42578125" style="2" customWidth="1"/>
    <col min="13" max="17" width="17.7109375" style="2" customWidth="1"/>
    <col min="18" max="16384" width="9.140625" style="2"/>
  </cols>
  <sheetData>
    <row r="4" spans="2:17" ht="33.75" customHeight="1">
      <c r="B4" s="30" t="s">
        <v>139</v>
      </c>
      <c r="C4" s="31">
        <v>96</v>
      </c>
      <c r="D4" s="31">
        <v>97</v>
      </c>
      <c r="E4" s="31" t="s">
        <v>138</v>
      </c>
      <c r="F4" s="31" t="s">
        <v>16</v>
      </c>
      <c r="L4" s="61" t="s">
        <v>176</v>
      </c>
      <c r="M4" s="61" t="s">
        <v>164</v>
      </c>
      <c r="N4" s="61" t="s">
        <v>165</v>
      </c>
      <c r="O4" s="61" t="s">
        <v>166</v>
      </c>
      <c r="P4" s="61" t="s">
        <v>167</v>
      </c>
    </row>
    <row r="5" spans="2:17" ht="43.5" customHeight="1">
      <c r="B5" s="29" t="s">
        <v>135</v>
      </c>
      <c r="C5" s="22">
        <v>544382</v>
      </c>
      <c r="D5" s="22">
        <v>3464898</v>
      </c>
      <c r="E5" s="22">
        <v>0</v>
      </c>
      <c r="F5" s="22">
        <f>Q12</f>
        <v>2954582.531492</v>
      </c>
      <c r="L5" s="29" t="s">
        <v>168</v>
      </c>
      <c r="M5" s="22">
        <v>444819433</v>
      </c>
      <c r="N5" s="22">
        <v>91864440</v>
      </c>
      <c r="O5" s="22">
        <v>370618181</v>
      </c>
      <c r="P5" s="22">
        <v>1205049</v>
      </c>
    </row>
    <row r="6" spans="2:17" ht="43.5" customHeight="1">
      <c r="B6" s="29" t="s">
        <v>140</v>
      </c>
      <c r="C6" s="22">
        <v>0</v>
      </c>
      <c r="D6" s="22">
        <v>0</v>
      </c>
      <c r="E6" s="22">
        <v>-1277376</v>
      </c>
      <c r="F6" s="22">
        <f>E6</f>
        <v>-1277376</v>
      </c>
      <c r="L6" s="29" t="s">
        <v>172</v>
      </c>
      <c r="M6" s="22">
        <v>319000000</v>
      </c>
      <c r="N6" s="22">
        <v>74000000</v>
      </c>
      <c r="O6" s="22">
        <v>0</v>
      </c>
      <c r="P6" s="22">
        <v>0</v>
      </c>
    </row>
    <row r="7" spans="2:17" ht="43.5" customHeight="1">
      <c r="B7" s="29" t="s">
        <v>136</v>
      </c>
      <c r="C7" s="22">
        <v>-323532</v>
      </c>
      <c r="D7" s="22">
        <v>-1921230</v>
      </c>
      <c r="E7" s="22">
        <v>-335106</v>
      </c>
      <c r="F7" s="22">
        <f>C7/('تولید و فروش'!F24-'تولید و فروش'!C11)*('تولید و فروش'!I24-'تولید و فروش'!C11)</f>
        <v>-284056.28403575171</v>
      </c>
      <c r="L7" s="29" t="s">
        <v>175</v>
      </c>
      <c r="M7" s="60">
        <v>51000000</v>
      </c>
      <c r="N7" s="60">
        <v>12000000</v>
      </c>
      <c r="O7" s="60">
        <v>215000000</v>
      </c>
      <c r="P7" s="60">
        <v>0</v>
      </c>
    </row>
    <row r="8" spans="2:17" s="32" customFormat="1" ht="43.5" customHeight="1">
      <c r="B8" s="33" t="s">
        <v>14</v>
      </c>
      <c r="C8" s="34">
        <f t="shared" ref="C8:D8" si="0">SUM(C5:C7)</f>
        <v>220850</v>
      </c>
      <c r="D8" s="34">
        <f t="shared" si="0"/>
        <v>1543668</v>
      </c>
      <c r="E8" s="34">
        <f>SUM(E5:E7)</f>
        <v>-1612482</v>
      </c>
      <c r="F8" s="34">
        <f>SUM(F5:F7)</f>
        <v>1393150.2474562484</v>
      </c>
      <c r="L8" s="59" t="s">
        <v>174</v>
      </c>
      <c r="M8" s="60">
        <v>9670000</v>
      </c>
      <c r="N8" s="60">
        <v>0</v>
      </c>
      <c r="O8" s="60">
        <v>0</v>
      </c>
      <c r="P8" s="60">
        <v>0</v>
      </c>
      <c r="Q8" s="2"/>
    </row>
    <row r="9" spans="2:17" ht="43.5" customHeight="1">
      <c r="L9" s="57" t="s">
        <v>173</v>
      </c>
      <c r="M9" s="58">
        <f>M5-M6-M7-M8</f>
        <v>65149433</v>
      </c>
      <c r="N9" s="58">
        <f t="shared" ref="N9:P9" si="1">N5-N6-N7-N8</f>
        <v>5864440</v>
      </c>
      <c r="O9" s="58">
        <f t="shared" si="1"/>
        <v>155618181</v>
      </c>
      <c r="P9" s="58">
        <f t="shared" si="1"/>
        <v>1205049</v>
      </c>
    </row>
    <row r="10" spans="2:17" ht="43.5" customHeight="1">
      <c r="L10" s="22" t="s">
        <v>169</v>
      </c>
      <c r="M10" s="22">
        <v>86845</v>
      </c>
      <c r="N10" s="22">
        <v>101948</v>
      </c>
      <c r="O10" s="22">
        <v>24268</v>
      </c>
      <c r="P10" s="22">
        <v>805</v>
      </c>
    </row>
    <row r="11" spans="2:17" ht="43.5" customHeight="1">
      <c r="B11" s="30" t="s">
        <v>144</v>
      </c>
      <c r="C11" s="31">
        <v>96</v>
      </c>
      <c r="D11" s="31">
        <v>97</v>
      </c>
      <c r="E11" s="31" t="s">
        <v>138</v>
      </c>
      <c r="F11" s="31" t="s">
        <v>16</v>
      </c>
      <c r="L11" s="22" t="s">
        <v>170</v>
      </c>
      <c r="M11" s="22">
        <v>114000</v>
      </c>
      <c r="N11" s="22">
        <f>M11*1.1</f>
        <v>125400.00000000001</v>
      </c>
      <c r="O11" s="22">
        <v>31000</v>
      </c>
      <c r="P11" s="22">
        <v>1050</v>
      </c>
    </row>
    <row r="12" spans="2:17" ht="43.5" customHeight="1">
      <c r="B12" s="29" t="s">
        <v>141</v>
      </c>
      <c r="C12" s="22">
        <v>40051</v>
      </c>
      <c r="D12" s="22">
        <v>-441546</v>
      </c>
      <c r="E12" s="22">
        <v>0</v>
      </c>
      <c r="F12" s="22">
        <v>0</v>
      </c>
      <c r="L12" s="34" t="s">
        <v>171</v>
      </c>
      <c r="M12" s="34">
        <f>M9*(M11-M10)/1000000</f>
        <v>1769132.8531150001</v>
      </c>
      <c r="N12" s="34">
        <f t="shared" ref="N12:P12" si="2">N9*(N11-N10)/1000000</f>
        <v>137532.84688000008</v>
      </c>
      <c r="O12" s="34">
        <f t="shared" si="2"/>
        <v>1047621.5944919999</v>
      </c>
      <c r="P12" s="34">
        <f t="shared" si="2"/>
        <v>295.23700500000001</v>
      </c>
      <c r="Q12" s="10">
        <f>SUM(M12:P12)</f>
        <v>2954582.531492</v>
      </c>
    </row>
    <row r="13" spans="2:17" ht="21.75" customHeight="1">
      <c r="B13" s="29" t="s">
        <v>142</v>
      </c>
      <c r="C13" s="22">
        <v>140607</v>
      </c>
      <c r="D13" s="22">
        <v>194969</v>
      </c>
      <c r="E13" s="22">
        <v>37386</v>
      </c>
      <c r="F13" s="22">
        <f>D13</f>
        <v>194969</v>
      </c>
    </row>
    <row r="14" spans="2:17" ht="21.75" customHeight="1">
      <c r="B14" s="29" t="s">
        <v>137</v>
      </c>
      <c r="C14" s="22">
        <v>5756</v>
      </c>
      <c r="D14" s="22">
        <v>0</v>
      </c>
      <c r="E14" s="22">
        <v>1152</v>
      </c>
      <c r="F14" s="22">
        <f>E14*4</f>
        <v>4608</v>
      </c>
    </row>
    <row r="15" spans="2:17" ht="21.75" customHeight="1">
      <c r="B15" s="29" t="s">
        <v>143</v>
      </c>
      <c r="C15" s="22">
        <v>0</v>
      </c>
      <c r="D15" s="22">
        <v>1737</v>
      </c>
      <c r="E15" s="22">
        <v>0</v>
      </c>
      <c r="F15" s="22">
        <v>0</v>
      </c>
    </row>
    <row r="16" spans="2:17" ht="21.75" customHeight="1">
      <c r="B16" s="29" t="s">
        <v>10</v>
      </c>
      <c r="C16" s="22">
        <v>-10455</v>
      </c>
      <c r="D16" s="22">
        <v>2889</v>
      </c>
      <c r="E16" s="22">
        <v>0</v>
      </c>
      <c r="F16" s="22">
        <v>0</v>
      </c>
    </row>
    <row r="17" spans="2:8" s="32" customFormat="1" ht="24" customHeight="1">
      <c r="B17" s="33" t="s">
        <v>14</v>
      </c>
      <c r="C17" s="34">
        <f>SUM(C12:C16)</f>
        <v>175959</v>
      </c>
      <c r="D17" s="34">
        <f t="shared" ref="D17:F17" si="3">SUM(D12:D16)</f>
        <v>-241951</v>
      </c>
      <c r="E17" s="34">
        <f t="shared" si="3"/>
        <v>38538</v>
      </c>
      <c r="F17" s="34">
        <f t="shared" si="3"/>
        <v>199577</v>
      </c>
    </row>
    <row r="20" spans="2:8" ht="21.75" customHeight="1">
      <c r="B20" s="35" t="s">
        <v>145</v>
      </c>
      <c r="C20" s="31">
        <v>96</v>
      </c>
      <c r="D20" s="31">
        <v>97</v>
      </c>
      <c r="E20" s="31" t="s">
        <v>138</v>
      </c>
      <c r="F20" s="31" t="s">
        <v>16</v>
      </c>
      <c r="G20" s="31" t="s">
        <v>156</v>
      </c>
      <c r="H20" s="31" t="s">
        <v>157</v>
      </c>
    </row>
    <row r="21" spans="2:8" ht="23.25" customHeight="1">
      <c r="B21" s="36" t="s">
        <v>146</v>
      </c>
      <c r="C21" s="22">
        <v>1666000</v>
      </c>
      <c r="D21" s="22">
        <v>2866500</v>
      </c>
      <c r="E21" s="22">
        <v>2086726</v>
      </c>
      <c r="F21" s="22">
        <f>14000000*H21*G21+(E21)</f>
        <v>7950696</v>
      </c>
      <c r="G21" s="45">
        <v>0.44090000000000001</v>
      </c>
      <c r="H21" s="45">
        <v>0.95</v>
      </c>
    </row>
    <row r="22" spans="2:8" ht="23.25" customHeight="1">
      <c r="B22" s="36" t="s">
        <v>147</v>
      </c>
      <c r="C22" s="22">
        <v>856729</v>
      </c>
      <c r="D22" s="22">
        <v>1027450</v>
      </c>
      <c r="E22" s="22">
        <v>0</v>
      </c>
      <c r="F22" s="22">
        <f>G22*H22*H21*G21*14500000</f>
        <v>1873217.990925</v>
      </c>
      <c r="G22" s="45">
        <v>0.3427</v>
      </c>
      <c r="H22" s="45">
        <v>0.9</v>
      </c>
    </row>
    <row r="23" spans="2:8" ht="23.25" customHeight="1">
      <c r="B23" s="36" t="s">
        <v>148</v>
      </c>
      <c r="C23" s="22">
        <v>35000</v>
      </c>
      <c r="D23" s="22">
        <v>155000</v>
      </c>
      <c r="E23" s="22">
        <v>0</v>
      </c>
      <c r="F23" s="22">
        <f>D23/D22*F22</f>
        <v>282591.64785962825</v>
      </c>
      <c r="G23" s="45">
        <v>1</v>
      </c>
      <c r="H23" s="45">
        <v>0.75</v>
      </c>
    </row>
    <row r="24" spans="2:8" ht="23.25" customHeight="1">
      <c r="B24" s="36" t="s">
        <v>149</v>
      </c>
      <c r="C24" s="22">
        <v>60</v>
      </c>
      <c r="D24" s="22">
        <v>23758</v>
      </c>
      <c r="E24" s="22">
        <v>0</v>
      </c>
      <c r="F24" s="22">
        <f>D24/D22*F22</f>
        <v>43314.918515155143</v>
      </c>
      <c r="G24" s="45">
        <v>1</v>
      </c>
      <c r="H24" s="45">
        <v>0.75</v>
      </c>
    </row>
    <row r="25" spans="2:8" s="32" customFormat="1" ht="21.75" customHeight="1">
      <c r="B25" s="37" t="s">
        <v>14</v>
      </c>
      <c r="C25" s="34">
        <f>SUM(C21:C24)</f>
        <v>2557789</v>
      </c>
      <c r="D25" s="34">
        <f>SUM(D21:D24)</f>
        <v>4072708</v>
      </c>
      <c r="E25" s="34">
        <f t="shared" ref="E25:F25" si="4">SUM(E21:E24)</f>
        <v>2086726</v>
      </c>
      <c r="F25" s="34">
        <f t="shared" si="4"/>
        <v>10149820.557299782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9"/>
  <sheetViews>
    <sheetView rightToLeft="1" workbookViewId="0">
      <selection activeCell="E22" sqref="E22"/>
    </sheetView>
  </sheetViews>
  <sheetFormatPr defaultRowHeight="15"/>
  <cols>
    <col min="2" max="2" width="41.7109375" bestFit="1" customWidth="1"/>
    <col min="3" max="9" width="17.140625" customWidth="1"/>
  </cols>
  <sheetData>
    <row r="3" spans="2:9" ht="34.5" customHeight="1">
      <c r="B3" s="13" t="s">
        <v>34</v>
      </c>
      <c r="C3" s="13">
        <v>93</v>
      </c>
      <c r="D3" s="13">
        <v>94</v>
      </c>
      <c r="E3" s="13">
        <v>95</v>
      </c>
      <c r="F3" s="13">
        <v>96</v>
      </c>
      <c r="G3" s="13">
        <v>97</v>
      </c>
      <c r="H3" s="13" t="s">
        <v>49</v>
      </c>
      <c r="I3" s="13" t="s">
        <v>16</v>
      </c>
    </row>
    <row r="4" spans="2:9" ht="19.5" customHeight="1">
      <c r="B4" s="9" t="s">
        <v>35</v>
      </c>
      <c r="C4" s="9">
        <v>46565869</v>
      </c>
      <c r="D4" s="9">
        <v>45465423</v>
      </c>
      <c r="E4" s="9">
        <v>51028777</v>
      </c>
      <c r="F4" s="9">
        <v>60861430</v>
      </c>
      <c r="G4" s="9">
        <v>85235829</v>
      </c>
      <c r="H4" s="9">
        <v>32701049</v>
      </c>
      <c r="I4" s="9">
        <f>'تولید و فروش'!I75</f>
        <v>140788872.75628048</v>
      </c>
    </row>
    <row r="5" spans="2:9" ht="19.5" customHeight="1">
      <c r="B5" s="9" t="s">
        <v>36</v>
      </c>
      <c r="C5" s="9">
        <v>-29297647</v>
      </c>
      <c r="D5" s="9">
        <v>-27962347</v>
      </c>
      <c r="E5" s="9">
        <v>-32044963</v>
      </c>
      <c r="F5" s="9">
        <v>-37378616</v>
      </c>
      <c r="G5" s="9">
        <v>-58222820</v>
      </c>
      <c r="H5" s="9">
        <v>-22865354</v>
      </c>
      <c r="I5" s="9">
        <f>-'بهای تمام شده'!H11</f>
        <v>-100863681.48764098</v>
      </c>
    </row>
    <row r="6" spans="2:9" ht="19.5" customHeight="1">
      <c r="B6" s="18" t="s">
        <v>37</v>
      </c>
      <c r="C6" s="18">
        <v>17268222</v>
      </c>
      <c r="D6" s="18">
        <v>17503076</v>
      </c>
      <c r="E6" s="18">
        <v>18983814</v>
      </c>
      <c r="F6" s="18">
        <v>23482814</v>
      </c>
      <c r="G6" s="18">
        <v>27013009</v>
      </c>
      <c r="H6" s="18">
        <v>9835695</v>
      </c>
      <c r="I6" s="18">
        <f>SUM(I4:I5)</f>
        <v>39925191.268639505</v>
      </c>
    </row>
    <row r="7" spans="2:9" ht="19.5" customHeight="1">
      <c r="B7" s="9" t="s">
        <v>38</v>
      </c>
      <c r="C7" s="9">
        <v>-3386483</v>
      </c>
      <c r="D7" s="9">
        <v>-5005232</v>
      </c>
      <c r="E7" s="9">
        <v>-4308920</v>
      </c>
      <c r="F7" s="9">
        <v>-4599607</v>
      </c>
      <c r="G7" s="9">
        <v>-5451701</v>
      </c>
      <c r="H7" s="9">
        <v>-1551364</v>
      </c>
      <c r="I7" s="9">
        <f>G7*1.3</f>
        <v>-7087211.2999999998</v>
      </c>
    </row>
    <row r="8" spans="2:9" ht="19.5" customHeight="1">
      <c r="B8" s="9" t="s">
        <v>151</v>
      </c>
      <c r="C8" s="9">
        <v>877094</v>
      </c>
      <c r="D8" s="9">
        <v>1610922</v>
      </c>
      <c r="E8" s="9">
        <v>1829704</v>
      </c>
      <c r="F8" s="9">
        <v>220850</v>
      </c>
      <c r="G8" s="9">
        <v>1543668</v>
      </c>
      <c r="H8" s="9">
        <v>-1612482</v>
      </c>
      <c r="I8" s="9">
        <f>'سایر درامدها'!F8</f>
        <v>1393150.2474562484</v>
      </c>
    </row>
    <row r="9" spans="2:9" ht="19.5" customHeight="1">
      <c r="B9" s="18" t="s">
        <v>39</v>
      </c>
      <c r="C9" s="18">
        <v>14758833</v>
      </c>
      <c r="D9" s="18">
        <v>14108766</v>
      </c>
      <c r="E9" s="18">
        <v>16504598</v>
      </c>
      <c r="F9" s="18">
        <v>19104057</v>
      </c>
      <c r="G9" s="18">
        <v>23104976</v>
      </c>
      <c r="H9" s="18">
        <v>6671849</v>
      </c>
      <c r="I9" s="18">
        <f>SUM(I6:I8)</f>
        <v>34231130.216095753</v>
      </c>
    </row>
    <row r="10" spans="2:9" ht="19.5" customHeight="1">
      <c r="B10" s="9" t="s">
        <v>40</v>
      </c>
      <c r="C10" s="9">
        <v>-1052859</v>
      </c>
      <c r="D10" s="9">
        <v>-279663</v>
      </c>
      <c r="E10" s="9">
        <v>-10559</v>
      </c>
      <c r="F10" s="9">
        <v>-10795</v>
      </c>
      <c r="G10" s="9">
        <v>-310014</v>
      </c>
      <c r="H10" s="9">
        <v>-118560</v>
      </c>
      <c r="I10" s="9">
        <f>'بهای تمام شده'!G77</f>
        <v>-435270.72</v>
      </c>
    </row>
    <row r="11" spans="2:9" ht="19.5" customHeight="1">
      <c r="B11" s="9" t="s">
        <v>150</v>
      </c>
      <c r="C11" s="9">
        <v>1644168</v>
      </c>
      <c r="D11" s="9">
        <v>652593</v>
      </c>
      <c r="E11" s="9">
        <v>167007</v>
      </c>
      <c r="F11" s="9">
        <v>2733748</v>
      </c>
      <c r="G11" s="9">
        <v>3830757</v>
      </c>
      <c r="H11" s="9">
        <v>2125264</v>
      </c>
      <c r="I11" s="9">
        <f>'سایر درامدها'!F17+'سایر درامدها'!F25</f>
        <v>10349397.557299782</v>
      </c>
    </row>
    <row r="12" spans="2:9" ht="19.5" customHeight="1">
      <c r="B12" s="9" t="s">
        <v>41</v>
      </c>
      <c r="C12" s="9">
        <v>15350142</v>
      </c>
      <c r="D12" s="9">
        <v>14481696</v>
      </c>
      <c r="E12" s="9">
        <v>16661046</v>
      </c>
      <c r="F12" s="9">
        <v>21827010</v>
      </c>
      <c r="G12" s="9">
        <v>26625719</v>
      </c>
      <c r="H12" s="9">
        <v>8678553</v>
      </c>
      <c r="I12" s="9">
        <f>SUM(I9:I11)</f>
        <v>44145257.05339554</v>
      </c>
    </row>
    <row r="13" spans="2:9" ht="19.5" customHeight="1">
      <c r="B13" s="9" t="s">
        <v>42</v>
      </c>
      <c r="C13" s="9">
        <v>-323108</v>
      </c>
      <c r="D13" s="9">
        <v>0</v>
      </c>
      <c r="E13" s="9">
        <v>-140910</v>
      </c>
      <c r="F13" s="9">
        <v>0</v>
      </c>
      <c r="G13" s="9">
        <v>0</v>
      </c>
      <c r="H13" s="9">
        <v>0</v>
      </c>
      <c r="I13" s="9">
        <v>0</v>
      </c>
    </row>
    <row r="14" spans="2:9" ht="19.5" customHeight="1">
      <c r="B14" s="18" t="s">
        <v>43</v>
      </c>
      <c r="C14" s="18">
        <v>15027034</v>
      </c>
      <c r="D14" s="18">
        <v>14481696</v>
      </c>
      <c r="E14" s="18">
        <v>16520136</v>
      </c>
      <c r="F14" s="18">
        <v>21827010</v>
      </c>
      <c r="G14" s="18">
        <v>26625719</v>
      </c>
      <c r="H14" s="18">
        <v>8678553</v>
      </c>
      <c r="I14" s="18">
        <f>SUM(I12:I13)</f>
        <v>44145257.05339554</v>
      </c>
    </row>
    <row r="15" spans="2:9" ht="19.5" customHeight="1">
      <c r="B15" s="18" t="s">
        <v>44</v>
      </c>
      <c r="C15" s="18">
        <v>1565</v>
      </c>
      <c r="D15" s="18">
        <v>1509</v>
      </c>
      <c r="E15" s="18">
        <v>1721</v>
      </c>
      <c r="F15" s="18">
        <v>2274</v>
      </c>
      <c r="G15" s="18">
        <v>1929</v>
      </c>
      <c r="H15" s="18">
        <v>629</v>
      </c>
      <c r="I15" s="18">
        <f>I14/I16*1000</f>
        <v>3198.9316705359083</v>
      </c>
    </row>
    <row r="16" spans="2:9" ht="19.5" customHeight="1">
      <c r="B16" s="9" t="s">
        <v>45</v>
      </c>
      <c r="C16" s="9">
        <v>9600000</v>
      </c>
      <c r="D16" s="9">
        <v>9600000</v>
      </c>
      <c r="E16" s="9">
        <v>9600000</v>
      </c>
      <c r="F16" s="9">
        <v>9600000</v>
      </c>
      <c r="G16" s="9">
        <v>13800000</v>
      </c>
      <c r="H16" s="9">
        <v>13800000</v>
      </c>
      <c r="I16" s="9">
        <f>H16</f>
        <v>13800000</v>
      </c>
    </row>
    <row r="17" spans="2:9" ht="19.5" customHeight="1">
      <c r="B17" s="9" t="s">
        <v>46</v>
      </c>
      <c r="C17" s="19">
        <f>C6/C4</f>
        <v>0.37083431214394386</v>
      </c>
      <c r="D17" s="19">
        <f t="shared" ref="D17:G17" si="0">D6/D4</f>
        <v>0.38497554504221815</v>
      </c>
      <c r="E17" s="19">
        <f t="shared" si="0"/>
        <v>0.37202173197292188</v>
      </c>
      <c r="F17" s="19">
        <f t="shared" si="0"/>
        <v>0.38584065474636398</v>
      </c>
      <c r="G17" s="19">
        <f t="shared" si="0"/>
        <v>0.31692082211108663</v>
      </c>
      <c r="H17" s="19">
        <f t="shared" ref="H17:I17" si="1">H6/H4</f>
        <v>0.30077613106539791</v>
      </c>
      <c r="I17" s="19">
        <f t="shared" si="1"/>
        <v>0.28358200820141499</v>
      </c>
    </row>
    <row r="18" spans="2:9" ht="19.5" customHeight="1">
      <c r="B18" s="9" t="s">
        <v>47</v>
      </c>
      <c r="C18" s="19">
        <f>C9/C4</f>
        <v>0.31694529312875058</v>
      </c>
      <c r="D18" s="19">
        <f t="shared" ref="D18:G18" si="2">D9/D4</f>
        <v>0.31031859089928626</v>
      </c>
      <c r="E18" s="19">
        <f t="shared" si="2"/>
        <v>0.32343706767653868</v>
      </c>
      <c r="F18" s="19">
        <f t="shared" si="2"/>
        <v>0.31389431697546377</v>
      </c>
      <c r="G18" s="19">
        <f t="shared" si="2"/>
        <v>0.27107117125592806</v>
      </c>
      <c r="H18" s="19">
        <f t="shared" ref="H18:I18" si="3">H9/H4</f>
        <v>0.20402553447138652</v>
      </c>
      <c r="I18" s="19">
        <f t="shared" si="3"/>
        <v>0.24313803744528331</v>
      </c>
    </row>
    <row r="19" spans="2:9" ht="19.5" customHeight="1">
      <c r="B19" s="9" t="s">
        <v>48</v>
      </c>
      <c r="C19" s="19">
        <f>C14/C4</f>
        <v>0.32270489787273166</v>
      </c>
      <c r="D19" s="19">
        <f t="shared" ref="D19:G19" si="4">D14/D4</f>
        <v>0.31852108799251688</v>
      </c>
      <c r="E19" s="19">
        <f t="shared" si="4"/>
        <v>0.32374156253049136</v>
      </c>
      <c r="F19" s="19">
        <f t="shared" si="4"/>
        <v>0.35863452436132376</v>
      </c>
      <c r="G19" s="19">
        <f t="shared" si="4"/>
        <v>0.31237707560748895</v>
      </c>
      <c r="H19" s="19">
        <f t="shared" ref="H19:I19" si="5">H14/H4</f>
        <v>0.26539066070938583</v>
      </c>
      <c r="I19" s="19">
        <f t="shared" si="5"/>
        <v>0.31355643517236881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تولید و فروش</vt:lpstr>
      <vt:lpstr>ماهانه</vt:lpstr>
      <vt:lpstr>ترازنامه</vt:lpstr>
      <vt:lpstr>بهای تمام شده</vt:lpstr>
      <vt:lpstr>سایر درامدها</vt:lpstr>
      <vt:lpstr>سود و زیان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Vakili</dc:creator>
  <cp:lastModifiedBy>Vakili</cp:lastModifiedBy>
  <dcterms:created xsi:type="dcterms:W3CDTF">2019-09-24T18:37:27Z</dcterms:created>
  <dcterms:modified xsi:type="dcterms:W3CDTF">2019-10-19T16:25:09Z</dcterms:modified>
</cp:coreProperties>
</file>